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2"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 r:id="rId50"/>
    <externalReference r:id="rId51"/>
    <externalReference r:id="rId52"/>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5" i="74" l="1"/>
  <c r="B15" i="74" l="1"/>
  <c r="I38" i="39" l="1"/>
  <c r="G38" i="39"/>
  <c r="E38" i="39"/>
  <c r="D70" i="39"/>
  <c r="E70" i="39" s="1"/>
  <c r="F70" i="39" s="1"/>
  <c r="G70" i="39" s="1"/>
  <c r="H70" i="39" s="1"/>
  <c r="I70" i="39" s="1"/>
  <c r="J70" i="39" s="1"/>
  <c r="K70" i="39" s="1"/>
  <c r="L70" i="39" s="1"/>
  <c r="M70" i="39" s="1"/>
  <c r="N70" i="39" s="1"/>
  <c r="O70" i="39" s="1"/>
  <c r="I7" i="39"/>
  <c r="G7" i="39"/>
  <c r="E7" i="39"/>
  <c r="I5" i="39"/>
  <c r="G5" i="39"/>
  <c r="E5" i="39"/>
  <c r="D8" i="81" l="1"/>
  <c r="E14" i="81"/>
  <c r="E15" i="81"/>
  <c r="E13" i="81" s="1"/>
  <c r="F16" i="81" s="1"/>
  <c r="E6" i="81"/>
  <c r="E8" i="81" s="1"/>
  <c r="G16" i="73"/>
  <c r="F16" i="73"/>
  <c r="E16" i="73"/>
  <c r="G15" i="73"/>
  <c r="F15" i="73"/>
  <c r="E15"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F70" i="71" s="1"/>
  <c r="E71" i="71"/>
  <c r="B71" i="71"/>
  <c r="Q70" i="71"/>
  <c r="P70" i="71"/>
  <c r="O70" i="71"/>
  <c r="N70" i="71"/>
  <c r="E70" i="71"/>
  <c r="B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O38" i="71"/>
  <c r="Y38" i="71" s="1"/>
  <c r="Z38" i="71" s="1"/>
  <c r="N38" i="71"/>
  <c r="AH37" i="71"/>
  <c r="AG37" i="71"/>
  <c r="AE37" i="71"/>
  <c r="AF37" i="71" s="1"/>
  <c r="AD37" i="71"/>
  <c r="Q37" i="71"/>
  <c r="F38" i="71" s="1"/>
  <c r="F39" i="71" s="1"/>
  <c r="F40" i="71" s="1"/>
  <c r="V40" i="71" s="1"/>
  <c r="P37" i="71"/>
  <c r="E38" i="71" s="1"/>
  <c r="E39" i="71" s="1"/>
  <c r="O37" i="71"/>
  <c r="C38" i="71" s="1"/>
  <c r="N37" i="71"/>
  <c r="B38" i="71" s="1"/>
  <c r="B39"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F35" i="71" s="1"/>
  <c r="F36" i="71" s="1"/>
  <c r="V36" i="71" s="1"/>
  <c r="P33" i="71"/>
  <c r="E34" i="71" s="1"/>
  <c r="O33" i="71"/>
  <c r="C34" i="71" s="1"/>
  <c r="N33" i="71"/>
  <c r="B34" i="71" s="1"/>
  <c r="D33" i="71"/>
  <c r="AH32" i="71"/>
  <c r="AG32" i="71"/>
  <c r="AE32" i="71"/>
  <c r="AF32" i="71" s="1"/>
  <c r="AD32" i="71"/>
  <c r="Q32" i="71"/>
  <c r="P32" i="71"/>
  <c r="O32" i="71"/>
  <c r="N32" i="71"/>
  <c r="AH31" i="71"/>
  <c r="AG31" i="71"/>
  <c r="AE31" i="71"/>
  <c r="AF31" i="71" s="1"/>
  <c r="AD31" i="71"/>
  <c r="Q31" i="71"/>
  <c r="AB31" i="71" s="1"/>
  <c r="P31" i="71"/>
  <c r="O31" i="71"/>
  <c r="N31" i="71"/>
  <c r="AH30" i="71"/>
  <c r="AG30" i="71"/>
  <c r="AE30" i="71"/>
  <c r="AF30" i="71" s="1"/>
  <c r="AD30" i="71"/>
  <c r="Q30" i="71"/>
  <c r="P30" i="71"/>
  <c r="O30" i="71"/>
  <c r="N30" i="71"/>
  <c r="AH29" i="71"/>
  <c r="AG29" i="71"/>
  <c r="AE29" i="71"/>
  <c r="AF29" i="71" s="1"/>
  <c r="AD29" i="71"/>
  <c r="Q29" i="71"/>
  <c r="F30" i="71" s="1"/>
  <c r="F31" i="71" s="1"/>
  <c r="F32" i="71" s="1"/>
  <c r="V32" i="71" s="1"/>
  <c r="P29" i="71"/>
  <c r="O29" i="71"/>
  <c r="C30" i="71" s="1"/>
  <c r="N29" i="71"/>
  <c r="B30" i="71" s="1"/>
  <c r="D29" i="71"/>
  <c r="AH28" i="71"/>
  <c r="AG28" i="71"/>
  <c r="AE28" i="71"/>
  <c r="AF28" i="71" s="1"/>
  <c r="AD28" i="71"/>
  <c r="Q28" i="71"/>
  <c r="P28" i="71"/>
  <c r="O28" i="71"/>
  <c r="C28" i="71" s="1"/>
  <c r="T28" i="71" s="1"/>
  <c r="N28" i="71"/>
  <c r="F28" i="71"/>
  <c r="E28" i="71"/>
  <c r="V28" i="71" s="1"/>
  <c r="D28" i="71"/>
  <c r="B28" i="71"/>
  <c r="S28" i="71" s="1"/>
  <c r="AH27" i="71"/>
  <c r="AG27" i="71"/>
  <c r="AE27" i="71"/>
  <c r="AF27" i="71" s="1"/>
  <c r="AD27" i="71"/>
  <c r="Q27" i="71"/>
  <c r="P27" i="71"/>
  <c r="O27" i="71"/>
  <c r="N27" i="71"/>
  <c r="C27" i="71"/>
  <c r="D27" i="71" s="1"/>
  <c r="AH26" i="71"/>
  <c r="AG26" i="71"/>
  <c r="AE26" i="71"/>
  <c r="AF26" i="71" s="1"/>
  <c r="AD26" i="71"/>
  <c r="Q26" i="71"/>
  <c r="P26" i="71"/>
  <c r="O26" i="71"/>
  <c r="N26" i="71"/>
  <c r="AH25" i="71"/>
  <c r="AG25" i="71"/>
  <c r="AE25" i="71"/>
  <c r="AF25" i="71" s="1"/>
  <c r="AD25" i="71"/>
  <c r="AB25" i="71"/>
  <c r="Q25" i="71"/>
  <c r="P25" i="71"/>
  <c r="AA25" i="71" s="1"/>
  <c r="O25" i="71"/>
  <c r="N25" i="71"/>
  <c r="X25" i="71" s="1"/>
  <c r="D25" i="71"/>
  <c r="AH24" i="71"/>
  <c r="AG24" i="71"/>
  <c r="AF24" i="71"/>
  <c r="AE24" i="71"/>
  <c r="AD24" i="71"/>
  <c r="Q24" i="71"/>
  <c r="P24" i="71"/>
  <c r="AA24" i="71" s="1"/>
  <c r="O24" i="71"/>
  <c r="C24" i="71" s="1"/>
  <c r="N24" i="71"/>
  <c r="X24" i="71" s="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AB19" i="71" s="1"/>
  <c r="P19" i="71"/>
  <c r="O19" i="71"/>
  <c r="Y19" i="71" s="1"/>
  <c r="Z19" i="71" s="1"/>
  <c r="N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Q11" i="71"/>
  <c r="AB11" i="71" s="1"/>
  <c r="P11" i="71"/>
  <c r="O11" i="71"/>
  <c r="Y11" i="71" s="1"/>
  <c r="Z11" i="71" s="1"/>
  <c r="N11" i="71"/>
  <c r="AH10" i="71"/>
  <c r="AG10" i="71"/>
  <c r="AF10" i="71"/>
  <c r="AE10" i="71"/>
  <c r="AD10" i="71"/>
  <c r="Q10" i="71"/>
  <c r="P10" i="71"/>
  <c r="AA10" i="71" s="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A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B3" i="79" s="1"/>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O8" i="79"/>
  <c r="N8" i="79"/>
  <c r="M8" i="79"/>
  <c r="P8" i="79" s="1"/>
  <c r="L8" i="79"/>
  <c r="K8" i="79"/>
  <c r="I8" i="79"/>
  <c r="O7" i="79"/>
  <c r="N7" i="79"/>
  <c r="M7" i="79"/>
  <c r="L7" i="79"/>
  <c r="K7" i="79"/>
  <c r="I7" i="79"/>
  <c r="O6" i="79"/>
  <c r="N6" i="79"/>
  <c r="M6" i="79"/>
  <c r="L6" i="79"/>
  <c r="K6" i="79"/>
  <c r="I6" i="79"/>
  <c r="AC5" i="79"/>
  <c r="AB5" i="79"/>
  <c r="AA5" i="79"/>
  <c r="AD5" i="79" s="1"/>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90"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80" i="43" s="1"/>
  <c r="E72" i="43"/>
  <c r="B70" i="43" s="1"/>
  <c r="D72" i="43"/>
  <c r="D69" i="43"/>
  <c r="B63" i="43"/>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7" i="43" s="1"/>
  <c r="D50" i="43"/>
  <c r="B50" i="43"/>
  <c r="H42" i="43"/>
  <c r="H41" i="43"/>
  <c r="H39" i="43"/>
  <c r="H38" i="43"/>
  <c r="H37" i="43"/>
  <c r="J24" i="43"/>
  <c r="G24" i="43"/>
  <c r="E44" i="43" s="1"/>
  <c r="C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J26" i="43" s="1"/>
  <c r="I2" i="43"/>
  <c r="M12" i="43" s="1"/>
  <c r="G2" i="43"/>
  <c r="H116" i="43" s="1"/>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H32" i="40" s="1"/>
  <c r="AB32" i="40" s="1"/>
  <c r="B101" i="40"/>
  <c r="H31" i="40" s="1"/>
  <c r="AB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U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H13" i="40" s="1"/>
  <c r="AB13" i="40" s="1"/>
  <c r="B77" i="40"/>
  <c r="H12" i="40" s="1"/>
  <c r="AB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Q39" i="40"/>
  <c r="Z39" i="40" s="1"/>
  <c r="J39" i="40"/>
  <c r="F39" i="40"/>
  <c r="Q38" i="40"/>
  <c r="Z38" i="40" s="1"/>
  <c r="Q37" i="40"/>
  <c r="Z37" i="40" s="1"/>
  <c r="J37" i="40"/>
  <c r="H37" i="40"/>
  <c r="AB37" i="40" s="1"/>
  <c r="F37" i="40"/>
  <c r="S37" i="40" s="1"/>
  <c r="Q36" i="40"/>
  <c r="Z36" i="40" s="1"/>
  <c r="J36" i="40"/>
  <c r="AC36" i="40" s="1"/>
  <c r="H36" i="40"/>
  <c r="F36" i="40"/>
  <c r="AA36" i="40" s="1"/>
  <c r="Q35" i="40"/>
  <c r="Z35" i="40" s="1"/>
  <c r="J35" i="40"/>
  <c r="AC35" i="40" s="1"/>
  <c r="H35" i="40"/>
  <c r="AB35" i="40" s="1"/>
  <c r="F35" i="40"/>
  <c r="AA35" i="40" s="1"/>
  <c r="Q34" i="40"/>
  <c r="Z34" i="40" s="1"/>
  <c r="J34" i="40"/>
  <c r="AC34" i="40" s="1"/>
  <c r="H34" i="40"/>
  <c r="F34" i="40"/>
  <c r="AA34" i="40" s="1"/>
  <c r="Q33" i="40"/>
  <c r="Z33" i="40" s="1"/>
  <c r="H33" i="40"/>
  <c r="AB33" i="40" s="1"/>
  <c r="Q32" i="40"/>
  <c r="Z32" i="40" s="1"/>
  <c r="Q31" i="40"/>
  <c r="Z31" i="40" s="1"/>
  <c r="J31" i="40"/>
  <c r="AC31" i="40" s="1"/>
  <c r="F31" i="40"/>
  <c r="AA31" i="40" s="1"/>
  <c r="Q30" i="40"/>
  <c r="Z30" i="40" s="1"/>
  <c r="C30" i="40"/>
  <c r="H30" i="40" s="1"/>
  <c r="Q28" i="40"/>
  <c r="Z28" i="40" s="1"/>
  <c r="J28" i="40"/>
  <c r="AC28" i="40" s="1"/>
  <c r="H28" i="40"/>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F14" i="40"/>
  <c r="AA14" i="40" s="1"/>
  <c r="Q13" i="40"/>
  <c r="Z13" i="40" s="1"/>
  <c r="Q12" i="40"/>
  <c r="Z12" i="40" s="1"/>
  <c r="J12" i="40"/>
  <c r="F12" i="40"/>
  <c r="AA12" i="40" s="1"/>
  <c r="Q11" i="40"/>
  <c r="Z11" i="40" s="1"/>
  <c r="J11" i="40"/>
  <c r="AC11" i="40" s="1"/>
  <c r="H11" i="40"/>
  <c r="F11" i="40"/>
  <c r="AA11" i="40" s="1"/>
  <c r="Q10" i="40"/>
  <c r="Z10" i="40" s="1"/>
  <c r="Q9" i="40"/>
  <c r="Z9" i="40" s="1"/>
  <c r="J9" i="40"/>
  <c r="AC9" i="40" s="1"/>
  <c r="H9" i="40"/>
  <c r="F9" i="40"/>
  <c r="AA9" i="40" s="1"/>
  <c r="J8" i="40"/>
  <c r="H8" i="40"/>
  <c r="AB8" i="40" s="1"/>
  <c r="F8" i="40"/>
  <c r="S8" i="40" s="1"/>
  <c r="B130" i="39"/>
  <c r="B128" i="39"/>
  <c r="B126" i="39"/>
  <c r="D125" i="39"/>
  <c r="E125" i="39" s="1"/>
  <c r="F125" i="39" s="1"/>
  <c r="G125" i="39" s="1"/>
  <c r="H125" i="39" s="1"/>
  <c r="I125" i="39" s="1"/>
  <c r="J125" i="39" s="1"/>
  <c r="K125" i="39" s="1"/>
  <c r="L125" i="39" s="1"/>
  <c r="M125" i="39" s="1"/>
  <c r="D123" i="39"/>
  <c r="D121" i="39"/>
  <c r="E121" i="39" s="1"/>
  <c r="F121" i="39" s="1"/>
  <c r="G121" i="39" s="1"/>
  <c r="H121" i="39" s="1"/>
  <c r="I121" i="39" s="1"/>
  <c r="J121" i="39" s="1"/>
  <c r="K121" i="39" s="1"/>
  <c r="L121" i="39" s="1"/>
  <c r="M121" i="39" s="1"/>
  <c r="D119" i="39"/>
  <c r="J39" i="39" s="1"/>
  <c r="AC39" i="39" s="1"/>
  <c r="M115" i="39"/>
  <c r="L115" i="39"/>
  <c r="K115" i="39"/>
  <c r="J115" i="39"/>
  <c r="I115" i="39"/>
  <c r="H115" i="39"/>
  <c r="G115" i="39"/>
  <c r="F115" i="39"/>
  <c r="E115" i="39"/>
  <c r="D115" i="39"/>
  <c r="C115" i="39"/>
  <c r="B113" i="39"/>
  <c r="H37" i="39" s="1"/>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D98" i="39"/>
  <c r="H25" i="39" s="1"/>
  <c r="D96" i="39"/>
  <c r="D94" i="39"/>
  <c r="E94" i="39" s="1"/>
  <c r="J21" i="39" s="1"/>
  <c r="AC21" i="39" s="1"/>
  <c r="D92" i="39"/>
  <c r="E92" i="39" s="1"/>
  <c r="F92" i="39" s="1"/>
  <c r="D90" i="39"/>
  <c r="E90" i="39" s="1"/>
  <c r="F90" i="39" s="1"/>
  <c r="G90" i="39" s="1"/>
  <c r="D88" i="39"/>
  <c r="E88" i="39" s="1"/>
  <c r="F88" i="39" s="1"/>
  <c r="G88" i="39" s="1"/>
  <c r="B85" i="39"/>
  <c r="H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Q40" i="39"/>
  <c r="Z40" i="39" s="1"/>
  <c r="J40" i="39"/>
  <c r="H40" i="39"/>
  <c r="AB40" i="39" s="1"/>
  <c r="F40" i="39"/>
  <c r="AA40" i="39" s="1"/>
  <c r="Q39" i="39"/>
  <c r="Z39" i="39" s="1"/>
  <c r="F39" i="39"/>
  <c r="AA39" i="39" s="1"/>
  <c r="Q38" i="39"/>
  <c r="Z38" i="39" s="1"/>
  <c r="J38" i="39"/>
  <c r="AC38" i="39" s="1"/>
  <c r="H38" i="39"/>
  <c r="AB38" i="39" s="1"/>
  <c r="F38" i="39"/>
  <c r="AA38" i="39" s="1"/>
  <c r="Q37" i="39"/>
  <c r="Z37" i="39" s="1"/>
  <c r="J37" i="39"/>
  <c r="AC37" i="39" s="1"/>
  <c r="Q36" i="39"/>
  <c r="Z36" i="39" s="1"/>
  <c r="Q35" i="39"/>
  <c r="Z35" i="39" s="1"/>
  <c r="H35" i="39"/>
  <c r="Q34" i="39"/>
  <c r="Z34" i="39" s="1"/>
  <c r="J34" i="39"/>
  <c r="H34" i="39"/>
  <c r="AB34" i="39" s="1"/>
  <c r="F34" i="39"/>
  <c r="S34" i="39" s="1"/>
  <c r="Q32" i="39"/>
  <c r="Z32" i="39" s="1"/>
  <c r="J32" i="39"/>
  <c r="AC32" i="39" s="1"/>
  <c r="H32" i="39"/>
  <c r="F32" i="39"/>
  <c r="AA32" i="39" s="1"/>
  <c r="Q31" i="39"/>
  <c r="Z31" i="39" s="1"/>
  <c r="Q29" i="39"/>
  <c r="Z29" i="39" s="1"/>
  <c r="J29" i="39"/>
  <c r="AC29" i="39" s="1"/>
  <c r="H29" i="39"/>
  <c r="F29" i="39"/>
  <c r="AA29" i="39" s="1"/>
  <c r="Q27" i="39"/>
  <c r="Z27" i="39" s="1"/>
  <c r="J27" i="39"/>
  <c r="AC27" i="39" s="1"/>
  <c r="F27" i="39"/>
  <c r="AA27" i="39" s="1"/>
  <c r="Q25" i="39"/>
  <c r="Z25" i="39" s="1"/>
  <c r="Q23" i="39"/>
  <c r="Z23" i="39" s="1"/>
  <c r="J23" i="39"/>
  <c r="AC23" i="39" s="1"/>
  <c r="F23" i="39"/>
  <c r="AA23" i="39" s="1"/>
  <c r="C23" i="39"/>
  <c r="Q21" i="39"/>
  <c r="Z21" i="39" s="1"/>
  <c r="F21" i="39"/>
  <c r="AA21" i="39" s="1"/>
  <c r="Q19" i="39"/>
  <c r="Z19" i="39" s="1"/>
  <c r="J19" i="39"/>
  <c r="AC19" i="39" s="1"/>
  <c r="F19" i="39"/>
  <c r="AA19" i="39" s="1"/>
  <c r="Q17" i="39"/>
  <c r="Z17" i="39" s="1"/>
  <c r="J17" i="39"/>
  <c r="AC17" i="39" s="1"/>
  <c r="H17" i="39"/>
  <c r="F17" i="39"/>
  <c r="AA17" i="39" s="1"/>
  <c r="Q15" i="39"/>
  <c r="Z15" i="39" s="1"/>
  <c r="J15" i="39"/>
  <c r="AC15" i="39" s="1"/>
  <c r="H15" i="39"/>
  <c r="F15" i="39"/>
  <c r="AA15" i="39" s="1"/>
  <c r="Q14" i="39"/>
  <c r="Z14" i="39" s="1"/>
  <c r="Q13" i="39"/>
  <c r="Z13" i="39" s="1"/>
  <c r="Q12" i="39"/>
  <c r="Z12" i="39" s="1"/>
  <c r="H12" i="39"/>
  <c r="Q11" i="39"/>
  <c r="Z11" i="39" s="1"/>
  <c r="J11" i="39"/>
  <c r="W11" i="39" s="1"/>
  <c r="H11" i="39"/>
  <c r="AB11" i="39" s="1"/>
  <c r="F11" i="39"/>
  <c r="AA11" i="39" s="1"/>
  <c r="Q10" i="39"/>
  <c r="Z10" i="39" s="1"/>
  <c r="Q9" i="39"/>
  <c r="Z9" i="39" s="1"/>
  <c r="J9" i="39"/>
  <c r="H9" i="39"/>
  <c r="AB9" i="39" s="1"/>
  <c r="F9" i="39"/>
  <c r="AA9" i="39" s="1"/>
  <c r="J8" i="39"/>
  <c r="AC8" i="39" s="1"/>
  <c r="H8" i="39"/>
  <c r="U8" i="39" s="1"/>
  <c r="F8" i="39"/>
  <c r="AA8" i="39" s="1"/>
  <c r="B95" i="36"/>
  <c r="B93" i="36"/>
  <c r="H33" i="36" s="1"/>
  <c r="U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J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H9" i="36" s="1"/>
  <c r="I42" i="36"/>
  <c r="J42" i="36" s="1"/>
  <c r="G42" i="36"/>
  <c r="H42" i="36" s="1"/>
  <c r="E42" i="36"/>
  <c r="F42" i="36" s="1"/>
  <c r="P37" i="36"/>
  <c r="P36" i="36"/>
  <c r="K36" i="36"/>
  <c r="V35" i="36"/>
  <c r="T35" i="36"/>
  <c r="R35" i="36"/>
  <c r="P35" i="36"/>
  <c r="Q34" i="36"/>
  <c r="Z34" i="36" s="1"/>
  <c r="Q33" i="36"/>
  <c r="Z33" i="36" s="1"/>
  <c r="F33" i="36"/>
  <c r="AA33" i="36" s="1"/>
  <c r="Q32" i="36"/>
  <c r="Z32" i="36" s="1"/>
  <c r="H32" i="36"/>
  <c r="AB32" i="36" s="1"/>
  <c r="Q31" i="36"/>
  <c r="Z31" i="36" s="1"/>
  <c r="J31" i="36"/>
  <c r="AC31" i="36" s="1"/>
  <c r="H31" i="36"/>
  <c r="F31" i="36"/>
  <c r="AA31" i="36" s="1"/>
  <c r="Q30" i="36"/>
  <c r="Z30" i="36" s="1"/>
  <c r="J30" i="36"/>
  <c r="W30" i="36" s="1"/>
  <c r="H30" i="36"/>
  <c r="AB30" i="36" s="1"/>
  <c r="F30" i="36"/>
  <c r="AA30" i="36" s="1"/>
  <c r="Q29" i="36"/>
  <c r="Z29" i="36" s="1"/>
  <c r="J29" i="36"/>
  <c r="AC29" i="36" s="1"/>
  <c r="H29" i="36"/>
  <c r="F29" i="36"/>
  <c r="AA29" i="36" s="1"/>
  <c r="Q28" i="36"/>
  <c r="Z28" i="36" s="1"/>
  <c r="J28" i="36"/>
  <c r="H28" i="36"/>
  <c r="AB28" i="36" s="1"/>
  <c r="F28" i="36"/>
  <c r="S28" i="36" s="1"/>
  <c r="Q27" i="36"/>
  <c r="Z27" i="36" s="1"/>
  <c r="J27" i="36"/>
  <c r="AC27" i="36" s="1"/>
  <c r="H27" i="36"/>
  <c r="F27" i="36"/>
  <c r="AA27" i="36" s="1"/>
  <c r="Q26" i="36"/>
  <c r="Z26" i="36" s="1"/>
  <c r="J26" i="36"/>
  <c r="W26" i="36" s="1"/>
  <c r="H26" i="36"/>
  <c r="AB26" i="36" s="1"/>
  <c r="F26" i="36"/>
  <c r="AA26" i="36" s="1"/>
  <c r="Q25" i="36"/>
  <c r="Z25" i="36" s="1"/>
  <c r="H25" i="36"/>
  <c r="U25" i="36" s="1"/>
  <c r="Q24" i="36"/>
  <c r="Z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Q11" i="36"/>
  <c r="Z11" i="36" s="1"/>
  <c r="J11" i="36"/>
  <c r="AC11" i="36" s="1"/>
  <c r="H11" i="36"/>
  <c r="F11" i="36"/>
  <c r="AA11" i="36" s="1"/>
  <c r="Q10" i="36"/>
  <c r="Z10" i="36" s="1"/>
  <c r="J10" i="36"/>
  <c r="AC10" i="36" s="1"/>
  <c r="H10" i="36"/>
  <c r="AB10" i="36" s="1"/>
  <c r="F10" i="36"/>
  <c r="AA10" i="36" s="1"/>
  <c r="Q9" i="36"/>
  <c r="Z9" i="36" s="1"/>
  <c r="J8" i="36"/>
  <c r="H8" i="36"/>
  <c r="AB8" i="36" s="1"/>
  <c r="F8" i="36"/>
  <c r="S8" i="36" s="1"/>
  <c r="D3" i="36"/>
  <c r="B2" i="36"/>
  <c r="B101" i="35"/>
  <c r="F36" i="35" s="1"/>
  <c r="AA36" i="35" s="1"/>
  <c r="B99" i="35"/>
  <c r="H35" i="35" s="1"/>
  <c r="U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H24" i="35" s="1"/>
  <c r="AB24" i="35" s="1"/>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B59" i="35"/>
  <c r="J12" i="35" s="1"/>
  <c r="AC12" i="35" s="1"/>
  <c r="B57" i="35"/>
  <c r="C53" i="35"/>
  <c r="I44" i="35"/>
  <c r="J44" i="35" s="1"/>
  <c r="G44" i="35"/>
  <c r="H44" i="35" s="1"/>
  <c r="E44" i="35"/>
  <c r="F44" i="35" s="1"/>
  <c r="P39" i="35"/>
  <c r="P38" i="35"/>
  <c r="K38" i="35"/>
  <c r="B38" i="35"/>
  <c r="V37" i="35"/>
  <c r="T37" i="35"/>
  <c r="R37" i="35"/>
  <c r="P37" i="35"/>
  <c r="Q36" i="35"/>
  <c r="Z36" i="35" s="1"/>
  <c r="Q35" i="35"/>
  <c r="Z35" i="35" s="1"/>
  <c r="Q34" i="35"/>
  <c r="Z34" i="35" s="1"/>
  <c r="J34" i="35"/>
  <c r="Q33" i="35"/>
  <c r="Z33" i="35" s="1"/>
  <c r="J33" i="35"/>
  <c r="AC33" i="35" s="1"/>
  <c r="H33" i="35"/>
  <c r="F33" i="35"/>
  <c r="AA33" i="35" s="1"/>
  <c r="Q32" i="35"/>
  <c r="Z32" i="35" s="1"/>
  <c r="J32" i="35"/>
  <c r="AC32" i="35" s="1"/>
  <c r="H32" i="35"/>
  <c r="AB32" i="35" s="1"/>
  <c r="F32" i="35"/>
  <c r="AA32" i="35" s="1"/>
  <c r="Q31" i="35"/>
  <c r="Z31" i="35" s="1"/>
  <c r="J31" i="35"/>
  <c r="AC31" i="35" s="1"/>
  <c r="H31" i="35"/>
  <c r="F31" i="35"/>
  <c r="AA31" i="35" s="1"/>
  <c r="Q30" i="35"/>
  <c r="Z30" i="35" s="1"/>
  <c r="J30" i="35"/>
  <c r="H30" i="35"/>
  <c r="AB30" i="35" s="1"/>
  <c r="F30" i="35"/>
  <c r="S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F25" i="35"/>
  <c r="S25" i="35" s="1"/>
  <c r="Q24" i="35"/>
  <c r="Z24" i="35" s="1"/>
  <c r="Q23" i="35"/>
  <c r="Z23" i="35" s="1"/>
  <c r="J23" i="35"/>
  <c r="AC23" i="35" s="1"/>
  <c r="F23" i="35"/>
  <c r="AA23" i="35" s="1"/>
  <c r="Q22" i="35"/>
  <c r="Z22" i="35" s="1"/>
  <c r="J22" i="35"/>
  <c r="AC22" i="35" s="1"/>
  <c r="H22" i="35"/>
  <c r="F22" i="35"/>
  <c r="AA22" i="35" s="1"/>
  <c r="Q20" i="35"/>
  <c r="Z20" i="35" s="1"/>
  <c r="J20" i="35"/>
  <c r="H20" i="35"/>
  <c r="AB20" i="35" s="1"/>
  <c r="F20" i="35"/>
  <c r="S20" i="35" s="1"/>
  <c r="C20" i="35"/>
  <c r="Q18" i="35"/>
  <c r="Z18" i="35" s="1"/>
  <c r="J18" i="35"/>
  <c r="AC18" i="35" s="1"/>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Q12" i="35"/>
  <c r="Z12" i="35" s="1"/>
  <c r="Q11" i="35"/>
  <c r="Z11" i="35" s="1"/>
  <c r="J11" i="35"/>
  <c r="Q10" i="35"/>
  <c r="Z10" i="35" s="1"/>
  <c r="J10" i="35"/>
  <c r="AC10" i="35" s="1"/>
  <c r="H10" i="35"/>
  <c r="F10" i="35"/>
  <c r="AA10" i="35" s="1"/>
  <c r="Q9" i="35"/>
  <c r="Z9" i="35" s="1"/>
  <c r="J8" i="35"/>
  <c r="H8" i="35"/>
  <c r="U8" i="35" s="1"/>
  <c r="F8" i="35"/>
  <c r="D3" i="35"/>
  <c r="B2" i="35"/>
  <c r="B112" i="37"/>
  <c r="H40" i="37" s="1"/>
  <c r="U40" i="37" s="1"/>
  <c r="B110" i="37"/>
  <c r="H39" i="37" s="1"/>
  <c r="AB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F27" i="37" s="1"/>
  <c r="S27" i="37" s="1"/>
  <c r="B82" i="37"/>
  <c r="H26" i="37" s="1"/>
  <c r="B80" i="37"/>
  <c r="J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Q37" i="37"/>
  <c r="Z37" i="37" s="1"/>
  <c r="J37" i="37"/>
  <c r="W37" i="37" s="1"/>
  <c r="H37" i="37"/>
  <c r="AB37" i="37" s="1"/>
  <c r="F37" i="37"/>
  <c r="AA37" i="37" s="1"/>
  <c r="Q36" i="37"/>
  <c r="Z36" i="37" s="1"/>
  <c r="J36" i="37"/>
  <c r="AC36" i="37" s="1"/>
  <c r="H36" i="37"/>
  <c r="F36" i="37"/>
  <c r="AA36" i="37" s="1"/>
  <c r="Q35" i="37"/>
  <c r="Z35" i="37" s="1"/>
  <c r="J35" i="37"/>
  <c r="H35" i="37"/>
  <c r="AB35" i="37" s="1"/>
  <c r="F35" i="37"/>
  <c r="S35" i="37" s="1"/>
  <c r="Q34" i="37"/>
  <c r="Z34" i="37" s="1"/>
  <c r="J34" i="37"/>
  <c r="AC34" i="37" s="1"/>
  <c r="H34" i="37"/>
  <c r="F34" i="37"/>
  <c r="AA34" i="37" s="1"/>
  <c r="Q33" i="37"/>
  <c r="Z33" i="37" s="1"/>
  <c r="J33" i="37"/>
  <c r="W33" i="37" s="1"/>
  <c r="H33" i="37"/>
  <c r="AB33" i="37" s="1"/>
  <c r="F33" i="37"/>
  <c r="AA33" i="37" s="1"/>
  <c r="Q32" i="37"/>
  <c r="Z32" i="37" s="1"/>
  <c r="J32" i="37"/>
  <c r="AC32" i="37" s="1"/>
  <c r="H32" i="37"/>
  <c r="F32" i="37"/>
  <c r="AA32" i="37" s="1"/>
  <c r="Q31" i="37"/>
  <c r="Z31" i="37" s="1"/>
  <c r="J31" i="37"/>
  <c r="H31" i="37"/>
  <c r="AB31" i="37" s="1"/>
  <c r="F31" i="37"/>
  <c r="S31" i="37" s="1"/>
  <c r="Q30" i="37"/>
  <c r="Z30" i="37" s="1"/>
  <c r="J30" i="37"/>
  <c r="AC30" i="37" s="1"/>
  <c r="H30" i="37"/>
  <c r="F30" i="37"/>
  <c r="AA30" i="37" s="1"/>
  <c r="Q29" i="37"/>
  <c r="Z29" i="37" s="1"/>
  <c r="J29" i="37"/>
  <c r="W29" i="37" s="1"/>
  <c r="H29" i="37"/>
  <c r="AB29" i="37" s="1"/>
  <c r="F29" i="37"/>
  <c r="AA29" i="37" s="1"/>
  <c r="Q28" i="37"/>
  <c r="Z28" i="37" s="1"/>
  <c r="Q27" i="37"/>
  <c r="Z27" i="37" s="1"/>
  <c r="Q26" i="37"/>
  <c r="Z26" i="37" s="1"/>
  <c r="J26" i="37"/>
  <c r="AC26" i="37" s="1"/>
  <c r="Q25" i="37"/>
  <c r="Z25" i="37" s="1"/>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Q13" i="37"/>
  <c r="Z13" i="37" s="1"/>
  <c r="J13" i="37"/>
  <c r="Q12" i="37"/>
  <c r="Z12" i="37" s="1"/>
  <c r="Q11" i="37"/>
  <c r="Z11" i="37" s="1"/>
  <c r="J11" i="37"/>
  <c r="H11" i="37"/>
  <c r="AB11" i="37" s="1"/>
  <c r="F11" i="37"/>
  <c r="S11" i="37" s="1"/>
  <c r="Q10" i="37"/>
  <c r="Z10" i="37" s="1"/>
  <c r="J10" i="37"/>
  <c r="AC10" i="37" s="1"/>
  <c r="H10" i="37"/>
  <c r="F10" i="37"/>
  <c r="AA10" i="37" s="1"/>
  <c r="Q9" i="37"/>
  <c r="Z9" i="37" s="1"/>
  <c r="J8" i="37"/>
  <c r="H8" i="37"/>
  <c r="U8" i="37" s="1"/>
  <c r="F8" i="37"/>
  <c r="B2" i="37"/>
  <c r="B130" i="33"/>
  <c r="B128" i="33"/>
  <c r="H45" i="33" s="1"/>
  <c r="AB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AB14" i="33" s="1"/>
  <c r="B72" i="33"/>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F45" i="33"/>
  <c r="AA45" i="33" s="1"/>
  <c r="Q44" i="33"/>
  <c r="Z44" i="33" s="1"/>
  <c r="Q43" i="33"/>
  <c r="Z43" i="33" s="1"/>
  <c r="J43" i="33"/>
  <c r="AC43" i="33" s="1"/>
  <c r="H43" i="33"/>
  <c r="AB43" i="33" s="1"/>
  <c r="F43" i="33"/>
  <c r="AA43" i="33" s="1"/>
  <c r="Q42" i="33"/>
  <c r="Z42" i="33" s="1"/>
  <c r="J42" i="33"/>
  <c r="W42" i="33" s="1"/>
  <c r="H42" i="33"/>
  <c r="AB42" i="33" s="1"/>
  <c r="F42" i="33"/>
  <c r="AA42" i="33" s="1"/>
  <c r="AB41" i="33"/>
  <c r="Q41" i="33"/>
  <c r="Z41" i="33" s="1"/>
  <c r="J41" i="33"/>
  <c r="AC41" i="33" s="1"/>
  <c r="H41" i="33"/>
  <c r="U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W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W34" i="33" s="1"/>
  <c r="H34" i="33"/>
  <c r="AB34" i="33" s="1"/>
  <c r="F34" i="33"/>
  <c r="AA34" i="33" s="1"/>
  <c r="AB33" i="33"/>
  <c r="Q33" i="33"/>
  <c r="Z33" i="33" s="1"/>
  <c r="J33" i="33"/>
  <c r="AC33" i="33" s="1"/>
  <c r="H33" i="33"/>
  <c r="U33" i="33" s="1"/>
  <c r="F33" i="33"/>
  <c r="AA33" i="33" s="1"/>
  <c r="Q32" i="33"/>
  <c r="Z32" i="33" s="1"/>
  <c r="J32" i="33"/>
  <c r="AC32" i="33" s="1"/>
  <c r="H32" i="33"/>
  <c r="AB32" i="33" s="1"/>
  <c r="F32" i="33"/>
  <c r="AA32" i="33" s="1"/>
  <c r="Q31" i="33"/>
  <c r="Z31" i="33" s="1"/>
  <c r="H31" i="33"/>
  <c r="AB31" i="33" s="1"/>
  <c r="Q30" i="33"/>
  <c r="Z30" i="33" s="1"/>
  <c r="J30" i="33"/>
  <c r="W30" i="33" s="1"/>
  <c r="F30" i="33"/>
  <c r="AA30" i="33" s="1"/>
  <c r="Q29" i="33"/>
  <c r="Z29" i="33" s="1"/>
  <c r="J29" i="33"/>
  <c r="AC29" i="33" s="1"/>
  <c r="Q28" i="33"/>
  <c r="Z28" i="33" s="1"/>
  <c r="J28" i="33"/>
  <c r="AC28" i="33" s="1"/>
  <c r="F28" i="33"/>
  <c r="AA28" i="33" s="1"/>
  <c r="Q27" i="33"/>
  <c r="Z27" i="33" s="1"/>
  <c r="Q26" i="33"/>
  <c r="Z26" i="33" s="1"/>
  <c r="J26" i="33"/>
  <c r="W26" i="33" s="1"/>
  <c r="H26" i="33"/>
  <c r="AB26" i="33" s="1"/>
  <c r="F26" i="33"/>
  <c r="AA26" i="33" s="1"/>
  <c r="Q25" i="33"/>
  <c r="Z25" i="33" s="1"/>
  <c r="J25" i="33"/>
  <c r="AC25" i="33" s="1"/>
  <c r="H25" i="33"/>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W17" i="33" s="1"/>
  <c r="H17" i="33"/>
  <c r="AB17" i="33" s="1"/>
  <c r="F17" i="33"/>
  <c r="AA17" i="33" s="1"/>
  <c r="C17" i="33"/>
  <c r="Q15" i="33"/>
  <c r="Z15" i="33" s="1"/>
  <c r="J15" i="33"/>
  <c r="AC15" i="33" s="1"/>
  <c r="H15" i="33"/>
  <c r="AB15" i="33" s="1"/>
  <c r="F15" i="33"/>
  <c r="AA15" i="33" s="1"/>
  <c r="C15" i="33"/>
  <c r="Q14" i="33"/>
  <c r="Z14" i="33" s="1"/>
  <c r="Q13" i="33"/>
  <c r="Z13" i="33" s="1"/>
  <c r="H13" i="33"/>
  <c r="AB13" i="33" s="1"/>
  <c r="Q12" i="33"/>
  <c r="Z12" i="33" s="1"/>
  <c r="Q11" i="33"/>
  <c r="Z11" i="33" s="1"/>
  <c r="J11" i="33"/>
  <c r="AC11" i="33" s="1"/>
  <c r="H11" i="33"/>
  <c r="AB11" i="33" s="1"/>
  <c r="F11" i="33"/>
  <c r="AA11" i="33" s="1"/>
  <c r="Q10" i="33"/>
  <c r="Z10" i="33" s="1"/>
  <c r="J10" i="33"/>
  <c r="W10" i="33" s="1"/>
  <c r="H10" i="33"/>
  <c r="AB10" i="33" s="1"/>
  <c r="F10" i="33"/>
  <c r="AA10" i="33" s="1"/>
  <c r="Q9" i="33"/>
  <c r="Z9" i="33" s="1"/>
  <c r="H9" i="33"/>
  <c r="J8" i="33"/>
  <c r="W8" i="33" s="1"/>
  <c r="H8" i="33"/>
  <c r="AB8" i="33" s="1"/>
  <c r="F8" i="33"/>
  <c r="S8" i="33" s="1"/>
  <c r="B2"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B94" i="21"/>
  <c r="H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H46" i="21"/>
  <c r="Q45" i="21"/>
  <c r="Z45" i="21" s="1"/>
  <c r="F45" i="21"/>
  <c r="S45" i="21" s="1"/>
  <c r="Q44" i="21"/>
  <c r="Z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F32" i="21"/>
  <c r="AA32" i="21" s="1"/>
  <c r="Q31" i="21"/>
  <c r="Z31" i="21" s="1"/>
  <c r="Q30" i="21"/>
  <c r="Z30" i="21" s="1"/>
  <c r="J30" i="21"/>
  <c r="AC30" i="21" s="1"/>
  <c r="Q29" i="21"/>
  <c r="Z29" i="21" s="1"/>
  <c r="U28" i="21"/>
  <c r="Q28" i="21"/>
  <c r="Z28" i="21" s="1"/>
  <c r="J28" i="21"/>
  <c r="AC28" i="21" s="1"/>
  <c r="F28" i="21"/>
  <c r="AA28" i="21" s="1"/>
  <c r="Q27" i="21"/>
  <c r="Z27" i="21" s="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Q13" i="21"/>
  <c r="Z13" i="21" s="1"/>
  <c r="J13" i="21"/>
  <c r="W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F9" i="21"/>
  <c r="AA9" i="21" s="1"/>
  <c r="J8" i="21"/>
  <c r="AC8" i="21" s="1"/>
  <c r="H8" i="21"/>
  <c r="U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R22" i="77"/>
  <c r="R21" i="77"/>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R8" i="77"/>
  <c r="R7" i="77"/>
  <c r="R4" i="77"/>
  <c r="R3" i="77"/>
  <c r="Q72" i="67"/>
  <c r="Q59" i="67"/>
  <c r="K59" i="67"/>
  <c r="P74" i="67" s="1"/>
  <c r="F59" i="67"/>
  <c r="Q58" i="67"/>
  <c r="Q51" i="67"/>
  <c r="J50" i="67"/>
  <c r="M47" i="67"/>
  <c r="D46" i="67"/>
  <c r="F33" i="67"/>
  <c r="F61" i="67" s="1"/>
  <c r="F31" i="67"/>
  <c r="F23" i="67"/>
  <c r="D24" i="67" s="1"/>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s="1"/>
  <c r="H1" i="69"/>
  <c r="F38" i="68"/>
  <c r="E37" i="68"/>
  <c r="F36" i="68"/>
  <c r="F35" i="68"/>
  <c r="F21" i="68"/>
  <c r="F20" i="68"/>
  <c r="F39" i="68" s="1"/>
  <c r="C19" i="68"/>
  <c r="E10" i="68"/>
  <c r="E9" i="68"/>
  <c r="F7" i="68"/>
  <c r="Q72" i="15"/>
  <c r="Q59" i="15"/>
  <c r="K59" i="15"/>
  <c r="P74" i="15" s="1"/>
  <c r="F59" i="15"/>
  <c r="Q58" i="15"/>
  <c r="Q51" i="15"/>
  <c r="J50" i="15"/>
  <c r="M47" i="15"/>
  <c r="D46" i="15"/>
  <c r="F33" i="15"/>
  <c r="F61" i="15" s="1"/>
  <c r="F31" i="15"/>
  <c r="F23" i="15"/>
  <c r="F21" i="15"/>
  <c r="F20" i="15"/>
  <c r="M19" i="15"/>
  <c r="F18" i="15"/>
  <c r="M17" i="15"/>
  <c r="F17" i="15"/>
  <c r="F15" i="15"/>
  <c r="B131" i="34"/>
  <c r="H47" i="34" s="1"/>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H31" i="34" s="1"/>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H46" i="34"/>
  <c r="AB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U33" i="34"/>
  <c r="Q33" i="34"/>
  <c r="Z33" i="34" s="1"/>
  <c r="J33" i="34"/>
  <c r="AC33" i="34" s="1"/>
  <c r="H33" i="34"/>
  <c r="AB33" i="34" s="1"/>
  <c r="F33" i="34"/>
  <c r="AA33" i="34" s="1"/>
  <c r="Q32" i="34"/>
  <c r="Z32" i="34" s="1"/>
  <c r="J32" i="34"/>
  <c r="AC32" i="34" s="1"/>
  <c r="Q31" i="34"/>
  <c r="Z31" i="34" s="1"/>
  <c r="Q30" i="34"/>
  <c r="Z30" i="34" s="1"/>
  <c r="Q29" i="34"/>
  <c r="Z29" i="34" s="1"/>
  <c r="H29" i="34"/>
  <c r="AB29" i="34" s="1"/>
  <c r="Q28" i="34"/>
  <c r="Z28" i="34" s="1"/>
  <c r="Q27" i="34"/>
  <c r="Z27" i="34" s="1"/>
  <c r="Q25" i="34"/>
  <c r="Z25" i="34" s="1"/>
  <c r="J25" i="34"/>
  <c r="W25" i="34" s="1"/>
  <c r="H25" i="34"/>
  <c r="AB25" i="34" s="1"/>
  <c r="F25" i="34"/>
  <c r="AA25" i="34" s="1"/>
  <c r="Q23" i="34"/>
  <c r="Z23" i="34" s="1"/>
  <c r="J23" i="34"/>
  <c r="AC23" i="34" s="1"/>
  <c r="H23" i="34"/>
  <c r="U23" i="34" s="1"/>
  <c r="F23" i="34"/>
  <c r="AA23" i="34" s="1"/>
  <c r="C23" i="34"/>
  <c r="Q21" i="34"/>
  <c r="Z21" i="34" s="1"/>
  <c r="J21" i="34"/>
  <c r="AC21" i="34" s="1"/>
  <c r="H21" i="34"/>
  <c r="AB21" i="34" s="1"/>
  <c r="F21" i="34"/>
  <c r="AA21" i="34" s="1"/>
  <c r="C21" i="34"/>
  <c r="Q19" i="34"/>
  <c r="Z19" i="34" s="1"/>
  <c r="J19" i="34"/>
  <c r="AC19" i="34" s="1"/>
  <c r="H19" i="34"/>
  <c r="U19" i="34" s="1"/>
  <c r="F19" i="34"/>
  <c r="AA19" i="34" s="1"/>
  <c r="C19" i="34"/>
  <c r="Q17" i="34"/>
  <c r="Z17" i="34" s="1"/>
  <c r="J17" i="34"/>
  <c r="AC17" i="34" s="1"/>
  <c r="H17" i="34"/>
  <c r="AB17" i="34" s="1"/>
  <c r="F17" i="34"/>
  <c r="AA17" i="34" s="1"/>
  <c r="C17" i="34"/>
  <c r="Q15" i="34"/>
  <c r="Z15" i="34" s="1"/>
  <c r="J15" i="34"/>
  <c r="AC15" i="34" s="1"/>
  <c r="H15" i="34"/>
  <c r="U15" i="34" s="1"/>
  <c r="F15" i="34"/>
  <c r="AA15" i="34" s="1"/>
  <c r="C15" i="34"/>
  <c r="Q14" i="34"/>
  <c r="Z14" i="34" s="1"/>
  <c r="F14" i="34"/>
  <c r="AA14" i="34" s="1"/>
  <c r="Q13" i="34"/>
  <c r="Z13" i="34" s="1"/>
  <c r="J13" i="34"/>
  <c r="AC13" i="34" s="1"/>
  <c r="Q12" i="34"/>
  <c r="Z12" i="34" s="1"/>
  <c r="H12" i="34"/>
  <c r="Q11" i="34"/>
  <c r="Z11" i="34" s="1"/>
  <c r="J11" i="34"/>
  <c r="AC11" i="34" s="1"/>
  <c r="H11" i="34"/>
  <c r="AB11" i="34" s="1"/>
  <c r="F11" i="34"/>
  <c r="AA11" i="34" s="1"/>
  <c r="Q10" i="34"/>
  <c r="Z10" i="34" s="1"/>
  <c r="J10" i="34"/>
  <c r="AC10" i="34" s="1"/>
  <c r="H10" i="34"/>
  <c r="AB10" i="34" s="1"/>
  <c r="F10" i="34"/>
  <c r="AA10" i="34" s="1"/>
  <c r="Q9" i="34"/>
  <c r="Z9" i="34" s="1"/>
  <c r="H9" i="34"/>
  <c r="AB9" i="34" s="1"/>
  <c r="J8" i="34"/>
  <c r="AC8" i="34" s="1"/>
  <c r="H8" i="34"/>
  <c r="U8" i="34" s="1"/>
  <c r="F8" i="34"/>
  <c r="AA8" i="34" s="1"/>
  <c r="A120" i="9"/>
  <c r="E111" i="9"/>
  <c r="E109" i="9"/>
  <c r="E107" i="9"/>
  <c r="A122" i="9" s="1"/>
  <c r="H106" i="9"/>
  <c r="H105" i="9"/>
  <c r="H104" i="9"/>
  <c r="D101" i="9"/>
  <c r="C101" i="9"/>
  <c r="C91" i="9"/>
  <c r="E90" i="9"/>
  <c r="D89" i="9"/>
  <c r="C89" i="9" s="1"/>
  <c r="C87" i="9" s="1"/>
  <c r="C94" i="9" s="1"/>
  <c r="H77" i="9"/>
  <c r="D77" i="9"/>
  <c r="C76" i="9"/>
  <c r="F59" i="9"/>
  <c r="O55" i="9" s="1"/>
  <c r="E59" i="9"/>
  <c r="N55" i="9" s="1"/>
  <c r="F56" i="9"/>
  <c r="K55" i="9"/>
  <c r="J55" i="9"/>
  <c r="I55" i="9"/>
  <c r="F55" i="9"/>
  <c r="O53" i="9" s="1"/>
  <c r="O54" i="9"/>
  <c r="N54" i="9"/>
  <c r="N53" i="9"/>
  <c r="K49" i="9"/>
  <c r="E48" i="9"/>
  <c r="N52" i="9" s="1"/>
  <c r="D48" i="9"/>
  <c r="M52" i="9" s="1"/>
  <c r="F33" i="9"/>
  <c r="C25" i="9"/>
  <c r="C24" i="9"/>
  <c r="D17" i="9"/>
  <c r="C17" i="9"/>
  <c r="L4" i="9"/>
  <c r="K4" i="9"/>
  <c r="H1" i="9"/>
  <c r="F23" i="74"/>
  <c r="E23" i="74"/>
  <c r="F22" i="74"/>
  <c r="E22" i="74"/>
  <c r="F21" i="74"/>
  <c r="E21" i="74"/>
  <c r="F20" i="74"/>
  <c r="E20" i="74"/>
  <c r="F19" i="74"/>
  <c r="E19" i="74"/>
  <c r="F18" i="74"/>
  <c r="E18" i="74"/>
  <c r="F17" i="74"/>
  <c r="E17" i="74"/>
  <c r="F16" i="74"/>
  <c r="E16" i="74"/>
  <c r="B10" i="74"/>
  <c r="B8" i="74"/>
  <c r="B7" i="74"/>
  <c r="B3" i="74"/>
  <c r="B2" i="74"/>
  <c r="D7" i="74" s="1"/>
  <c r="C24" i="20"/>
  <c r="C22" i="20"/>
  <c r="C29" i="39" s="1"/>
  <c r="C21" i="20"/>
  <c r="G20" i="20"/>
  <c r="C20" i="20"/>
  <c r="G19" i="20"/>
  <c r="G18" i="20"/>
  <c r="C18" i="20"/>
  <c r="C21" i="39" s="1"/>
  <c r="C17" i="20"/>
  <c r="B61" i="43" s="1"/>
  <c r="G16" i="20"/>
  <c r="C16" i="20"/>
  <c r="C17" i="39" s="1"/>
  <c r="G15" i="20"/>
  <c r="C15" i="20"/>
  <c r="B72" i="43" s="1"/>
  <c r="B52" i="1"/>
  <c r="M20" i="67" s="1"/>
  <c r="B43" i="1"/>
  <c r="B31" i="1"/>
  <c r="E19" i="11" s="1"/>
  <c r="B24" i="1"/>
  <c r="F34" i="68" s="1"/>
  <c r="B23" i="1"/>
  <c r="B22" i="1"/>
  <c r="N19" i="1"/>
  <c r="N21" i="1" s="1"/>
  <c r="Y6" i="1" s="1"/>
  <c r="P14" i="1"/>
  <c r="O14" i="1"/>
  <c r="AP13" i="1"/>
  <c r="AG13" i="1"/>
  <c r="AE13" i="1"/>
  <c r="P13" i="1"/>
  <c r="O13" i="1"/>
  <c r="F13" i="1"/>
  <c r="D13" i="1"/>
  <c r="A13" i="1"/>
  <c r="AP12" i="1"/>
  <c r="AG12" i="1"/>
  <c r="AE12" i="1"/>
  <c r="P12" i="1"/>
  <c r="O12" i="1"/>
  <c r="F12" i="1"/>
  <c r="D12" i="1"/>
  <c r="A12" i="1"/>
  <c r="K12" i="1" s="1"/>
  <c r="M12" i="1" s="1"/>
  <c r="AP11" i="1"/>
  <c r="AG11" i="1"/>
  <c r="AE11" i="1"/>
  <c r="P11" i="1"/>
  <c r="O11" i="1"/>
  <c r="F11" i="1"/>
  <c r="D11" i="1"/>
  <c r="A11" i="1"/>
  <c r="AP10" i="1"/>
  <c r="AG10" i="1"/>
  <c r="AE10" i="1"/>
  <c r="P10" i="1"/>
  <c r="O10" i="1"/>
  <c r="F10" i="1"/>
  <c r="D10" i="1"/>
  <c r="A10" i="1"/>
  <c r="K10" i="1" s="1"/>
  <c r="M10" i="1" s="1"/>
  <c r="AP9" i="1"/>
  <c r="AG9" i="1"/>
  <c r="AE9" i="1"/>
  <c r="S9" i="1"/>
  <c r="AQ9" i="1" s="1"/>
  <c r="P9" i="1"/>
  <c r="O9" i="1"/>
  <c r="F9" i="1"/>
  <c r="D9" i="1"/>
  <c r="G9" i="1" s="1"/>
  <c r="A9" i="1"/>
  <c r="AP8" i="1"/>
  <c r="AG8" i="1"/>
  <c r="AE8" i="1"/>
  <c r="P8" i="1"/>
  <c r="O8" i="1"/>
  <c r="F8" i="1"/>
  <c r="D8" i="1"/>
  <c r="A8" i="1"/>
  <c r="K8" i="1" s="1"/>
  <c r="M8" i="1" s="1"/>
  <c r="AP7" i="1"/>
  <c r="AG7" i="1"/>
  <c r="AE7" i="1"/>
  <c r="P7" i="1"/>
  <c r="O7" i="1"/>
  <c r="F7" i="1"/>
  <c r="D7" i="1"/>
  <c r="A7" i="1"/>
  <c r="AP6" i="1"/>
  <c r="AG6" i="1"/>
  <c r="P6" i="1"/>
  <c r="O6" i="1"/>
  <c r="D6" i="1"/>
  <c r="A6" i="1"/>
  <c r="B6" i="1" s="1"/>
  <c r="E6" i="1" s="1"/>
  <c r="T4" i="1"/>
  <c r="B2" i="1"/>
  <c r="C7" i="33" s="1"/>
  <c r="C58" i="33" s="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s="1"/>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S5" i="3" s="1"/>
  <c r="BR14" i="3"/>
  <c r="BQ14" i="3"/>
  <c r="BQ5" i="3" s="1"/>
  <c r="F28" i="6" s="1"/>
  <c r="BP14" i="3"/>
  <c r="BO14" i="3"/>
  <c r="BO5" i="3" s="1"/>
  <c r="BN14" i="3"/>
  <c r="BM14" i="3"/>
  <c r="BM5" i="3" s="1"/>
  <c r="F29" i="6" s="1"/>
  <c r="BK14" i="3"/>
  <c r="BJ14" i="3"/>
  <c r="BJ5" i="3" s="1"/>
  <c r="BI14" i="3"/>
  <c r="BH14" i="3"/>
  <c r="BH5" i="3" s="1"/>
  <c r="BG14" i="3"/>
  <c r="BF14" i="3"/>
  <c r="BF5" i="3" s="1"/>
  <c r="BE14" i="3"/>
  <c r="BD14" i="3"/>
  <c r="BD5" i="3" s="1"/>
  <c r="BC14" i="3"/>
  <c r="BB14" i="3"/>
  <c r="BA14" i="3" s="1"/>
  <c r="AX14" i="3"/>
  <c r="AW14" i="3"/>
  <c r="AV14" i="3"/>
  <c r="AC14" i="3"/>
  <c r="AC5" i="3" s="1"/>
  <c r="H14" i="3"/>
  <c r="BT13" i="3"/>
  <c r="BS13" i="3"/>
  <c r="BR13" i="3"/>
  <c r="BR5" i="3" s="1"/>
  <c r="G28" i="6" s="1"/>
  <c r="BQ13" i="3"/>
  <c r="BP13" i="3"/>
  <c r="BO13" i="3"/>
  <c r="BN13" i="3"/>
  <c r="BN5" i="3" s="1"/>
  <c r="G29" i="6" s="1"/>
  <c r="BM13" i="3"/>
  <c r="BK13" i="3"/>
  <c r="BJ13" i="3"/>
  <c r="BI13" i="3"/>
  <c r="BI5" i="3" s="1"/>
  <c r="BH13" i="3"/>
  <c r="BG13" i="3"/>
  <c r="BF13" i="3"/>
  <c r="BE13" i="3"/>
  <c r="BE5" i="3" s="1"/>
  <c r="BD13" i="3"/>
  <c r="AX13" i="3"/>
  <c r="AW13" i="3"/>
  <c r="AV13" i="3"/>
  <c r="AC13" i="3"/>
  <c r="K13" i="3"/>
  <c r="K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L21" i="4"/>
  <c r="L20" i="4"/>
  <c r="A15" i="62" s="1"/>
  <c r="B61" i="72" s="1"/>
  <c r="F19" i="4"/>
  <c r="I15" i="4"/>
  <c r="H15" i="4"/>
  <c r="G15" i="4"/>
  <c r="F15" i="4"/>
  <c r="E15" i="4"/>
  <c r="F6" i="1" s="1"/>
  <c r="D15" i="4"/>
  <c r="C15" i="4"/>
  <c r="K6" i="4"/>
  <c r="I4" i="4"/>
  <c r="G4" i="4"/>
  <c r="S2" i="4"/>
  <c r="C51" i="10" s="1"/>
  <c r="A13" i="51" s="1"/>
  <c r="B11" i="72"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B3" i="78"/>
  <c r="C7" i="78" s="1"/>
  <c r="D7" i="78" s="1"/>
  <c r="C53" i="10"/>
  <c r="B51" i="10"/>
  <c r="H16" i="49"/>
  <c r="D16" i="49"/>
  <c r="D15" i="49"/>
  <c r="B2" i="49"/>
  <c r="F15" i="49" s="1"/>
  <c r="H15" i="49" s="1"/>
  <c r="A21" i="62"/>
  <c r="B67" i="72" s="1"/>
  <c r="A20" i="62"/>
  <c r="A19" i="62"/>
  <c r="B65" i="72" s="1"/>
  <c r="A14" i="62"/>
  <c r="B60" i="72" s="1"/>
  <c r="A13" i="62"/>
  <c r="A12" i="62"/>
  <c r="B58" i="72" s="1"/>
  <c r="A5" i="62"/>
  <c r="B72" i="72" s="1"/>
  <c r="A4" i="62"/>
  <c r="A8" i="52"/>
  <c r="B54" i="72" s="1"/>
  <c r="A6" i="52"/>
  <c r="H2" i="52"/>
  <c r="F2" i="52"/>
  <c r="D2" i="52"/>
  <c r="A1" i="52"/>
  <c r="B19" i="53"/>
  <c r="B16" i="53"/>
  <c r="B13" i="53"/>
  <c r="D12" i="53"/>
  <c r="D11" i="53"/>
  <c r="D10" i="53"/>
  <c r="B8" i="53"/>
  <c r="A3" i="53"/>
  <c r="A2" i="53"/>
  <c r="B19" i="72" s="1"/>
  <c r="A24" i="51"/>
  <c r="B18" i="72" s="1"/>
  <c r="A22" i="51"/>
  <c r="A21" i="51"/>
  <c r="B16" i="72" s="1"/>
  <c r="A20" i="51"/>
  <c r="B15" i="72" s="1"/>
  <c r="A18" i="51"/>
  <c r="B13" i="72" s="1"/>
  <c r="A15" i="51"/>
  <c r="B12" i="72" s="1"/>
  <c r="A4" i="51"/>
  <c r="B6" i="72" s="1"/>
  <c r="A3" i="51"/>
  <c r="B49" i="48"/>
  <c r="B40" i="48"/>
  <c r="B3" i="72" s="1"/>
  <c r="B74" i="72"/>
  <c r="B70" i="72"/>
  <c r="B69" i="72"/>
  <c r="B68" i="72"/>
  <c r="B66" i="72"/>
  <c r="B63" i="72"/>
  <c r="B62" i="72"/>
  <c r="B59" i="72"/>
  <c r="B57" i="72"/>
  <c r="B50" i="72"/>
  <c r="B46" i="72"/>
  <c r="B44" i="72"/>
  <c r="B42" i="72"/>
  <c r="B37" i="72"/>
  <c r="B33" i="72"/>
  <c r="B29" i="72"/>
  <c r="B28" i="72"/>
  <c r="B27" i="72"/>
  <c r="B26" i="72"/>
  <c r="B23" i="72"/>
  <c r="B17" i="72"/>
  <c r="B10" i="72"/>
  <c r="B8" i="72"/>
  <c r="B5" i="72"/>
  <c r="AO13" i="1"/>
  <c r="AO10" i="1"/>
  <c r="D2" i="34"/>
  <c r="B10" i="76"/>
  <c r="E9" i="76"/>
  <c r="E10" i="76"/>
  <c r="F20" i="31"/>
  <c r="D2" i="21"/>
  <c r="E13" i="76"/>
  <c r="AO11" i="1"/>
  <c r="E2" i="69"/>
  <c r="AO9" i="1"/>
  <c r="AO7" i="1"/>
  <c r="B11" i="76"/>
  <c r="AO8" i="1"/>
  <c r="D2" i="33"/>
  <c r="D2" i="35"/>
  <c r="AO12" i="1"/>
  <c r="E12" i="76"/>
  <c r="D2" i="36"/>
  <c r="E8" i="76"/>
  <c r="B9" i="76"/>
  <c r="E7" i="76"/>
  <c r="E2" i="68"/>
  <c r="B12" i="76"/>
  <c r="B8" i="76"/>
  <c r="E11" i="76"/>
  <c r="B7" i="76"/>
  <c r="D2" i="37"/>
  <c r="B13" i="76"/>
  <c r="A4" i="52" l="1"/>
  <c r="B41" i="72" s="1"/>
  <c r="G14" i="3"/>
  <c r="BL15" i="3"/>
  <c r="G16" i="3"/>
  <c r="G18" i="3"/>
  <c r="BL19" i="3"/>
  <c r="G20" i="3"/>
  <c r="BL21" i="3"/>
  <c r="BA23" i="3"/>
  <c r="AZ23" i="3" s="1"/>
  <c r="BA24" i="3"/>
  <c r="BL24" i="3"/>
  <c r="G25" i="3"/>
  <c r="BA26" i="3"/>
  <c r="G34" i="3"/>
  <c r="BL35" i="3"/>
  <c r="G36" i="3"/>
  <c r="BL37" i="3"/>
  <c r="BA39" i="3"/>
  <c r="AZ39" i="3" s="1"/>
  <c r="BA40" i="3"/>
  <c r="BL40" i="3"/>
  <c r="G41" i="3"/>
  <c r="BA42" i="3"/>
  <c r="G50" i="3"/>
  <c r="BL51" i="3"/>
  <c r="G52" i="3"/>
  <c r="BL53" i="3"/>
  <c r="BA55" i="3"/>
  <c r="AZ55" i="3" s="1"/>
  <c r="BA56" i="3"/>
  <c r="BL56" i="3"/>
  <c r="G57" i="3"/>
  <c r="BA58" i="3"/>
  <c r="G66" i="3"/>
  <c r="BL67" i="3"/>
  <c r="G68" i="3"/>
  <c r="BL69" i="3"/>
  <c r="BA71" i="3"/>
  <c r="AZ71" i="3" s="1"/>
  <c r="BA72" i="3"/>
  <c r="BL72" i="3"/>
  <c r="G73" i="3"/>
  <c r="BA74" i="3"/>
  <c r="G82" i="3"/>
  <c r="BL83" i="3"/>
  <c r="G84" i="3"/>
  <c r="BL85" i="3"/>
  <c r="BA87" i="3"/>
  <c r="AZ87" i="3" s="1"/>
  <c r="BA88" i="3"/>
  <c r="BL88" i="3"/>
  <c r="G89" i="3"/>
  <c r="BA90" i="3"/>
  <c r="G98" i="3"/>
  <c r="BL99" i="3"/>
  <c r="G100" i="3"/>
  <c r="BL101" i="3"/>
  <c r="BA103" i="3"/>
  <c r="AZ103" i="3" s="1"/>
  <c r="BA104" i="3"/>
  <c r="BL104" i="3"/>
  <c r="G105" i="3"/>
  <c r="BA106" i="3"/>
  <c r="G114" i="3"/>
  <c r="BL115" i="3"/>
  <c r="G116" i="3"/>
  <c r="BL117" i="3"/>
  <c r="BA119" i="3"/>
  <c r="AZ119" i="3" s="1"/>
  <c r="BA120" i="3"/>
  <c r="BL120" i="3"/>
  <c r="G121" i="3"/>
  <c r="BA122" i="3"/>
  <c r="G130" i="3"/>
  <c r="BL131" i="3"/>
  <c r="G132" i="3"/>
  <c r="BL133" i="3"/>
  <c r="BA135" i="3"/>
  <c r="AZ135" i="3" s="1"/>
  <c r="BA136" i="3"/>
  <c r="BL136" i="3"/>
  <c r="G137" i="3"/>
  <c r="BA138" i="3"/>
  <c r="G146" i="3"/>
  <c r="BL147" i="3"/>
  <c r="G148" i="3"/>
  <c r="BL149" i="3"/>
  <c r="BA151" i="3"/>
  <c r="AZ151" i="3" s="1"/>
  <c r="BA152" i="3"/>
  <c r="BL152" i="3"/>
  <c r="G153" i="3"/>
  <c r="BA154" i="3"/>
  <c r="G162" i="3"/>
  <c r="BL163" i="3"/>
  <c r="G164" i="3"/>
  <c r="BL165" i="3"/>
  <c r="BA167" i="3"/>
  <c r="AZ167" i="3" s="1"/>
  <c r="BA168" i="3"/>
  <c r="BL168" i="3"/>
  <c r="G169" i="3"/>
  <c r="BA170" i="3"/>
  <c r="G178" i="3"/>
  <c r="BL179" i="3"/>
  <c r="G180" i="3"/>
  <c r="BL181" i="3"/>
  <c r="BA183" i="3"/>
  <c r="AZ183" i="3" s="1"/>
  <c r="BA184" i="3"/>
  <c r="BL184" i="3"/>
  <c r="G185" i="3"/>
  <c r="BA186" i="3"/>
  <c r="G194" i="3"/>
  <c r="BL195" i="3"/>
  <c r="G196" i="3"/>
  <c r="BL197" i="3"/>
  <c r="BA199" i="3"/>
  <c r="AZ199" i="3" s="1"/>
  <c r="BA200" i="3"/>
  <c r="BL200" i="3"/>
  <c r="G201" i="3"/>
  <c r="BA202" i="3"/>
  <c r="G210" i="3"/>
  <c r="BL211" i="3"/>
  <c r="G212" i="3"/>
  <c r="BL213" i="3"/>
  <c r="BA215" i="3"/>
  <c r="AZ215" i="3" s="1"/>
  <c r="BA216" i="3"/>
  <c r="BL216" i="3"/>
  <c r="G217" i="3"/>
  <c r="BA218" i="3"/>
  <c r="G226" i="3"/>
  <c r="BL227" i="3"/>
  <c r="G228" i="3"/>
  <c r="BL229" i="3"/>
  <c r="BA231" i="3"/>
  <c r="AZ231" i="3" s="1"/>
  <c r="BA232" i="3"/>
  <c r="BL232" i="3"/>
  <c r="G233" i="3"/>
  <c r="BA234" i="3"/>
  <c r="G242" i="3"/>
  <c r="BL243" i="3"/>
  <c r="G244" i="3"/>
  <c r="BL245" i="3"/>
  <c r="BA247" i="3"/>
  <c r="AZ247" i="3" s="1"/>
  <c r="BA248" i="3"/>
  <c r="BL248" i="3"/>
  <c r="G249" i="3"/>
  <c r="BA250" i="3"/>
  <c r="G258" i="3"/>
  <c r="BL259" i="3"/>
  <c r="G260" i="3"/>
  <c r="BL261" i="3"/>
  <c r="BA263" i="3"/>
  <c r="AZ263" i="3" s="1"/>
  <c r="BA264" i="3"/>
  <c r="BL264" i="3"/>
  <c r="G265" i="3"/>
  <c r="BA266" i="3"/>
  <c r="G274" i="3"/>
  <c r="BL275" i="3"/>
  <c r="G276" i="3"/>
  <c r="BL277" i="3"/>
  <c r="BA279" i="3"/>
  <c r="AZ279" i="3" s="1"/>
  <c r="BA280" i="3"/>
  <c r="BL280" i="3"/>
  <c r="G281" i="3"/>
  <c r="BA282" i="3"/>
  <c r="G290" i="3"/>
  <c r="BL291" i="3"/>
  <c r="G292" i="3"/>
  <c r="BL293" i="3"/>
  <c r="BA295" i="3"/>
  <c r="AZ295" i="3" s="1"/>
  <c r="BA296" i="3"/>
  <c r="BL296" i="3"/>
  <c r="G297" i="3"/>
  <c r="BA298" i="3"/>
  <c r="G306" i="3"/>
  <c r="BL307" i="3"/>
  <c r="G308" i="3"/>
  <c r="BL309" i="3"/>
  <c r="BA311" i="3"/>
  <c r="AZ311" i="3" s="1"/>
  <c r="BA312" i="3"/>
  <c r="BL312" i="3"/>
  <c r="G313" i="3"/>
  <c r="BA314" i="3"/>
  <c r="G326" i="3"/>
  <c r="BL327" i="3"/>
  <c r="G328" i="3"/>
  <c r="BL329" i="3"/>
  <c r="BA331" i="3"/>
  <c r="AZ331" i="3" s="1"/>
  <c r="BA332" i="3"/>
  <c r="BL332" i="3"/>
  <c r="G333" i="3"/>
  <c r="BA334" i="3"/>
  <c r="G342" i="3"/>
  <c r="BL343" i="3"/>
  <c r="G344" i="3"/>
  <c r="BL345" i="3"/>
  <c r="BA347" i="3"/>
  <c r="AZ347" i="3" s="1"/>
  <c r="BA348" i="3"/>
  <c r="BL348" i="3"/>
  <c r="G349" i="3"/>
  <c r="BA350" i="3"/>
  <c r="G358" i="3"/>
  <c r="BL359" i="3"/>
  <c r="G360" i="3"/>
  <c r="BL361" i="3"/>
  <c r="BA363" i="3"/>
  <c r="AZ363" i="3" s="1"/>
  <c r="BA364" i="3"/>
  <c r="BL364" i="3"/>
  <c r="G365" i="3"/>
  <c r="BA366" i="3"/>
  <c r="G374" i="3"/>
  <c r="BL375" i="3"/>
  <c r="G376" i="3"/>
  <c r="BL377" i="3"/>
  <c r="BA379" i="3"/>
  <c r="AZ379" i="3" s="1"/>
  <c r="BA380" i="3"/>
  <c r="BL380" i="3"/>
  <c r="G381" i="3"/>
  <c r="BA382" i="3"/>
  <c r="G390" i="3"/>
  <c r="BL391" i="3"/>
  <c r="G392" i="3"/>
  <c r="BL393" i="3"/>
  <c r="BA395" i="3"/>
  <c r="AZ395" i="3" s="1"/>
  <c r="BA396" i="3"/>
  <c r="BL396" i="3"/>
  <c r="G397" i="3"/>
  <c r="BA398" i="3"/>
  <c r="G406" i="3"/>
  <c r="BL407" i="3"/>
  <c r="G408" i="3"/>
  <c r="BL409" i="3"/>
  <c r="BA411" i="3"/>
  <c r="AZ411" i="3" s="1"/>
  <c r="BA412" i="3"/>
  <c r="BL412" i="3"/>
  <c r="G413" i="3"/>
  <c r="BA414" i="3"/>
  <c r="BA420" i="3"/>
  <c r="BL420" i="3"/>
  <c r="G421" i="3"/>
  <c r="BA422" i="3"/>
  <c r="G430" i="3"/>
  <c r="BL431" i="3"/>
  <c r="G432" i="3"/>
  <c r="BL433" i="3"/>
  <c r="BA435" i="3"/>
  <c r="AZ435" i="3" s="1"/>
  <c r="BA436" i="3"/>
  <c r="BL436" i="3"/>
  <c r="G437" i="3"/>
  <c r="BA438" i="3"/>
  <c r="G446" i="3"/>
  <c r="BL447" i="3"/>
  <c r="G448" i="3"/>
  <c r="BL449" i="3"/>
  <c r="BA451" i="3"/>
  <c r="AZ451" i="3" s="1"/>
  <c r="BA452" i="3"/>
  <c r="BL452" i="3"/>
  <c r="G453" i="3"/>
  <c r="BA454" i="3"/>
  <c r="G465" i="3"/>
  <c r="BL466" i="3"/>
  <c r="G467" i="3"/>
  <c r="BL468" i="3"/>
  <c r="BA470" i="3"/>
  <c r="AZ470" i="3" s="1"/>
  <c r="BA471" i="3"/>
  <c r="AZ471" i="3" s="1"/>
  <c r="BL471" i="3"/>
  <c r="G472" i="3"/>
  <c r="BA473" i="3"/>
  <c r="G481" i="3"/>
  <c r="BL482" i="3"/>
  <c r="G483" i="3"/>
  <c r="BL484" i="3"/>
  <c r="BA486" i="3"/>
  <c r="AZ486" i="3" s="1"/>
  <c r="BA487" i="3"/>
  <c r="BL487" i="3"/>
  <c r="G488" i="3"/>
  <c r="BA489" i="3"/>
  <c r="G497" i="3"/>
  <c r="BL498" i="3"/>
  <c r="G499" i="3"/>
  <c r="BL500" i="3"/>
  <c r="BA502" i="3"/>
  <c r="AZ502" i="3" s="1"/>
  <c r="BA503" i="3"/>
  <c r="AZ503" i="3" s="1"/>
  <c r="BL503" i="3"/>
  <c r="G504" i="3"/>
  <c r="BA505" i="3"/>
  <c r="G513" i="3"/>
  <c r="BL514" i="3"/>
  <c r="G515" i="3"/>
  <c r="BL516" i="3"/>
  <c r="BA518" i="3"/>
  <c r="AZ518" i="3" s="1"/>
  <c r="BA519" i="3"/>
  <c r="BL519" i="3"/>
  <c r="G520" i="3"/>
  <c r="BA521" i="3"/>
  <c r="G529" i="3"/>
  <c r="BL530" i="3"/>
  <c r="G531" i="3"/>
  <c r="BL532" i="3"/>
  <c r="BA534" i="3"/>
  <c r="AZ534" i="3" s="1"/>
  <c r="BA535" i="3"/>
  <c r="AZ535" i="3" s="1"/>
  <c r="BL535" i="3"/>
  <c r="G536" i="3"/>
  <c r="BA537" i="3"/>
  <c r="G545" i="3"/>
  <c r="BL546" i="3"/>
  <c r="G547" i="3"/>
  <c r="BL548" i="3"/>
  <c r="BA550" i="3"/>
  <c r="AZ550" i="3" s="1"/>
  <c r="BA551" i="3"/>
  <c r="BL551" i="3"/>
  <c r="G552" i="3"/>
  <c r="BA553" i="3"/>
  <c r="G561" i="3"/>
  <c r="BL562" i="3"/>
  <c r="G563" i="3"/>
  <c r="BL564" i="3"/>
  <c r="BA566" i="3"/>
  <c r="AZ566" i="3" s="1"/>
  <c r="BA567" i="3"/>
  <c r="AZ567" i="3" s="1"/>
  <c r="BL567" i="3"/>
  <c r="G568" i="3"/>
  <c r="BA569" i="3"/>
  <c r="G577" i="3"/>
  <c r="BL578" i="3"/>
  <c r="G579" i="3"/>
  <c r="BL580" i="3"/>
  <c r="BL582" i="3"/>
  <c r="BL584" i="3"/>
  <c r="BL586" i="3"/>
  <c r="P27" i="6"/>
  <c r="L27" i="6"/>
  <c r="S8" i="34"/>
  <c r="J14" i="34"/>
  <c r="AC14" i="34" s="1"/>
  <c r="U14" i="34"/>
  <c r="AB15" i="34"/>
  <c r="U17" i="34"/>
  <c r="AB19" i="34"/>
  <c r="U21" i="34"/>
  <c r="AB23" i="34"/>
  <c r="U41" i="34"/>
  <c r="D23" i="67"/>
  <c r="J9" i="21"/>
  <c r="AC9" i="21" s="1"/>
  <c r="U10" i="21"/>
  <c r="F13" i="21"/>
  <c r="AA13" i="21" s="1"/>
  <c r="J27" i="21"/>
  <c r="AC27" i="21" s="1"/>
  <c r="J29" i="21"/>
  <c r="AC29" i="21" s="1"/>
  <c r="J31" i="21"/>
  <c r="AC31" i="21" s="1"/>
  <c r="U36" i="21"/>
  <c r="AB37" i="33"/>
  <c r="F26" i="37"/>
  <c r="AA26" i="37" s="1"/>
  <c r="AB31" i="35"/>
  <c r="U31" i="35"/>
  <c r="U29" i="36"/>
  <c r="AB29" i="36"/>
  <c r="J33" i="36"/>
  <c r="AC33" i="36" s="1"/>
  <c r="AB33" i="36"/>
  <c r="F37" i="39"/>
  <c r="AA37" i="39" s="1"/>
  <c r="J33" i="40"/>
  <c r="F33" i="40"/>
  <c r="AA33" i="40" s="1"/>
  <c r="AB17" i="37"/>
  <c r="U17" i="37"/>
  <c r="U36" i="37"/>
  <c r="AB36" i="37"/>
  <c r="H9" i="37"/>
  <c r="AB9" i="37" s="1"/>
  <c r="J9" i="37"/>
  <c r="W9" i="37" s="1"/>
  <c r="J28" i="37"/>
  <c r="AC28" i="37" s="1"/>
  <c r="F28" i="37"/>
  <c r="AA28" i="37" s="1"/>
  <c r="AC8" i="35"/>
  <c r="W8" i="35"/>
  <c r="J35" i="39"/>
  <c r="AC35" i="39" s="1"/>
  <c r="F35" i="39"/>
  <c r="AA35" i="39" s="1"/>
  <c r="E119" i="39"/>
  <c r="F119" i="39" s="1"/>
  <c r="G119" i="39" s="1"/>
  <c r="H119" i="39" s="1"/>
  <c r="I119" i="39" s="1"/>
  <c r="J119" i="39" s="1"/>
  <c r="K119" i="39" s="1"/>
  <c r="L119" i="39" s="1"/>
  <c r="M119" i="39" s="1"/>
  <c r="H39" i="39"/>
  <c r="U28" i="40"/>
  <c r="AB28" i="40"/>
  <c r="Z3" i="79"/>
  <c r="L3" i="79"/>
  <c r="S7" i="79"/>
  <c r="U7" i="79"/>
  <c r="S8" i="79"/>
  <c r="U8" i="79"/>
  <c r="R9" i="79"/>
  <c r="T9" i="79"/>
  <c r="W9" i="79" s="1"/>
  <c r="V9" i="79"/>
  <c r="S10" i="79"/>
  <c r="U10" i="79"/>
  <c r="R11" i="79"/>
  <c r="T11" i="79"/>
  <c r="W11" i="79" s="1"/>
  <c r="V11" i="79"/>
  <c r="S12" i="79"/>
  <c r="U12" i="79"/>
  <c r="Y23" i="71"/>
  <c r="Z23" i="71" s="1"/>
  <c r="AB23" i="71"/>
  <c r="X26" i="71"/>
  <c r="AA26" i="71"/>
  <c r="AB27" i="71"/>
  <c r="X30" i="71"/>
  <c r="AA30" i="71"/>
  <c r="X31" i="71"/>
  <c r="AA31" i="71"/>
  <c r="Y32" i="71"/>
  <c r="Z32" i="71" s="1"/>
  <c r="AB32" i="71"/>
  <c r="X34" i="71"/>
  <c r="AA34" i="71"/>
  <c r="X35" i="71"/>
  <c r="AA35" i="71"/>
  <c r="X36" i="71"/>
  <c r="AA36" i="71"/>
  <c r="H83" i="43"/>
  <c r="H85" i="43"/>
  <c r="E23" i="71"/>
  <c r="E22" i="71" s="1"/>
  <c r="E21" i="71" s="1"/>
  <c r="E20" i="71" s="1"/>
  <c r="BL13" i="3"/>
  <c r="BA15" i="3"/>
  <c r="AZ15" i="3" s="1"/>
  <c r="BA16" i="3"/>
  <c r="BL16" i="3"/>
  <c r="G17" i="3"/>
  <c r="BL17" i="3"/>
  <c r="BA19" i="3"/>
  <c r="AZ19" i="3" s="1"/>
  <c r="BA20" i="3"/>
  <c r="BL20" i="3"/>
  <c r="G21" i="3"/>
  <c r="G24" i="3"/>
  <c r="BL25" i="3"/>
  <c r="BA27" i="3"/>
  <c r="AZ27" i="3" s="1"/>
  <c r="BA28" i="3"/>
  <c r="BL28" i="3"/>
  <c r="G29" i="3"/>
  <c r="G32" i="3"/>
  <c r="BL33" i="3"/>
  <c r="BA35" i="3"/>
  <c r="AZ35" i="3" s="1"/>
  <c r="BA36" i="3"/>
  <c r="BL36" i="3"/>
  <c r="G37" i="3"/>
  <c r="G40" i="3"/>
  <c r="BL41" i="3"/>
  <c r="BA43" i="3"/>
  <c r="AZ43" i="3" s="1"/>
  <c r="BA44" i="3"/>
  <c r="BL44" i="3"/>
  <c r="G45" i="3"/>
  <c r="G48" i="3"/>
  <c r="BL49" i="3"/>
  <c r="BA51" i="3"/>
  <c r="AZ51" i="3" s="1"/>
  <c r="BA52" i="3"/>
  <c r="BL52" i="3"/>
  <c r="G53" i="3"/>
  <c r="G56" i="3"/>
  <c r="BL57" i="3"/>
  <c r="BA59" i="3"/>
  <c r="AZ59" i="3" s="1"/>
  <c r="BA60" i="3"/>
  <c r="BL60" i="3"/>
  <c r="G61" i="3"/>
  <c r="G64" i="3"/>
  <c r="BL65" i="3"/>
  <c r="BA67" i="3"/>
  <c r="AZ67" i="3" s="1"/>
  <c r="BA68" i="3"/>
  <c r="BL68" i="3"/>
  <c r="G69" i="3"/>
  <c r="G72" i="3"/>
  <c r="BL73" i="3"/>
  <c r="BA75" i="3"/>
  <c r="AZ75" i="3" s="1"/>
  <c r="BA76" i="3"/>
  <c r="BL76" i="3"/>
  <c r="G77" i="3"/>
  <c r="G80" i="3"/>
  <c r="BL81" i="3"/>
  <c r="BA83" i="3"/>
  <c r="AZ83" i="3" s="1"/>
  <c r="BA84" i="3"/>
  <c r="BL84" i="3"/>
  <c r="G85" i="3"/>
  <c r="G88" i="3"/>
  <c r="BL89" i="3"/>
  <c r="BA91" i="3"/>
  <c r="AZ91" i="3" s="1"/>
  <c r="BA92" i="3"/>
  <c r="BL92" i="3"/>
  <c r="G93" i="3"/>
  <c r="G96" i="3"/>
  <c r="BL97" i="3"/>
  <c r="BA99" i="3"/>
  <c r="AZ99" i="3" s="1"/>
  <c r="BA100" i="3"/>
  <c r="BL100" i="3"/>
  <c r="G101" i="3"/>
  <c r="G104" i="3"/>
  <c r="BL105" i="3"/>
  <c r="BA107" i="3"/>
  <c r="AZ107" i="3" s="1"/>
  <c r="BA108" i="3"/>
  <c r="BL108" i="3"/>
  <c r="G109" i="3"/>
  <c r="G112" i="3"/>
  <c r="BL113" i="3"/>
  <c r="BA115" i="3"/>
  <c r="AZ115" i="3" s="1"/>
  <c r="BA116" i="3"/>
  <c r="BL116" i="3"/>
  <c r="G117" i="3"/>
  <c r="G120" i="3"/>
  <c r="BL121" i="3"/>
  <c r="BA123" i="3"/>
  <c r="AZ123" i="3" s="1"/>
  <c r="BA124" i="3"/>
  <c r="BL124" i="3"/>
  <c r="G125" i="3"/>
  <c r="G128" i="3"/>
  <c r="BL129" i="3"/>
  <c r="BA131" i="3"/>
  <c r="AZ131" i="3" s="1"/>
  <c r="BA132" i="3"/>
  <c r="BL132" i="3"/>
  <c r="G133" i="3"/>
  <c r="G136" i="3"/>
  <c r="BL137" i="3"/>
  <c r="BA139" i="3"/>
  <c r="AZ139" i="3" s="1"/>
  <c r="BA140" i="3"/>
  <c r="BL140" i="3"/>
  <c r="G141" i="3"/>
  <c r="G144" i="3"/>
  <c r="BL145" i="3"/>
  <c r="BA147" i="3"/>
  <c r="AZ147" i="3" s="1"/>
  <c r="BA148" i="3"/>
  <c r="BL148" i="3"/>
  <c r="G149" i="3"/>
  <c r="G152" i="3"/>
  <c r="BL153" i="3"/>
  <c r="BA155" i="3"/>
  <c r="AZ155" i="3" s="1"/>
  <c r="BA156" i="3"/>
  <c r="BL156" i="3"/>
  <c r="G157" i="3"/>
  <c r="G160" i="3"/>
  <c r="BL161" i="3"/>
  <c r="BA163" i="3"/>
  <c r="AZ163" i="3" s="1"/>
  <c r="BA164" i="3"/>
  <c r="BL164" i="3"/>
  <c r="G165" i="3"/>
  <c r="G168" i="3"/>
  <c r="BL169" i="3"/>
  <c r="BA171" i="3"/>
  <c r="AZ171" i="3" s="1"/>
  <c r="BA172" i="3"/>
  <c r="BL172" i="3"/>
  <c r="G173" i="3"/>
  <c r="G176" i="3"/>
  <c r="BL177" i="3"/>
  <c r="BA179" i="3"/>
  <c r="AZ179" i="3" s="1"/>
  <c r="BA180" i="3"/>
  <c r="BL180" i="3"/>
  <c r="G181" i="3"/>
  <c r="G184" i="3"/>
  <c r="BL185" i="3"/>
  <c r="BA187" i="3"/>
  <c r="AZ187" i="3" s="1"/>
  <c r="BA188" i="3"/>
  <c r="BL188" i="3"/>
  <c r="G189" i="3"/>
  <c r="G192" i="3"/>
  <c r="BL193" i="3"/>
  <c r="BA195" i="3"/>
  <c r="AZ195" i="3" s="1"/>
  <c r="BA196" i="3"/>
  <c r="BL196" i="3"/>
  <c r="G197" i="3"/>
  <c r="G200" i="3"/>
  <c r="BL201" i="3"/>
  <c r="BA203" i="3"/>
  <c r="AZ203" i="3" s="1"/>
  <c r="BA204" i="3"/>
  <c r="BL204" i="3"/>
  <c r="G205" i="3"/>
  <c r="G208" i="3"/>
  <c r="BL209" i="3"/>
  <c r="BA211" i="3"/>
  <c r="AZ211" i="3" s="1"/>
  <c r="BA212" i="3"/>
  <c r="BL212" i="3"/>
  <c r="G213" i="3"/>
  <c r="G216" i="3"/>
  <c r="BL217" i="3"/>
  <c r="BA219" i="3"/>
  <c r="AZ219" i="3" s="1"/>
  <c r="BA220" i="3"/>
  <c r="BL220" i="3"/>
  <c r="G221" i="3"/>
  <c r="G224" i="3"/>
  <c r="BL225" i="3"/>
  <c r="BA227" i="3"/>
  <c r="AZ227" i="3" s="1"/>
  <c r="BA228" i="3"/>
  <c r="BL228" i="3"/>
  <c r="G229" i="3"/>
  <c r="G232" i="3"/>
  <c r="BL233" i="3"/>
  <c r="BA235" i="3"/>
  <c r="AZ235" i="3" s="1"/>
  <c r="BA236" i="3"/>
  <c r="BL236" i="3"/>
  <c r="G237" i="3"/>
  <c r="G240" i="3"/>
  <c r="BL241" i="3"/>
  <c r="BA243" i="3"/>
  <c r="AZ243" i="3" s="1"/>
  <c r="BA244" i="3"/>
  <c r="BL244" i="3"/>
  <c r="G245" i="3"/>
  <c r="G248" i="3"/>
  <c r="BL249" i="3"/>
  <c r="BA251" i="3"/>
  <c r="AZ251" i="3" s="1"/>
  <c r="BA252" i="3"/>
  <c r="BL252" i="3"/>
  <c r="G253" i="3"/>
  <c r="G256" i="3"/>
  <c r="BL257" i="3"/>
  <c r="BA259" i="3"/>
  <c r="AZ259" i="3" s="1"/>
  <c r="BA260" i="3"/>
  <c r="BL260" i="3"/>
  <c r="G261" i="3"/>
  <c r="G264" i="3"/>
  <c r="BL265" i="3"/>
  <c r="BA267" i="3"/>
  <c r="AZ267" i="3" s="1"/>
  <c r="BA268" i="3"/>
  <c r="BL268" i="3"/>
  <c r="G269" i="3"/>
  <c r="G272" i="3"/>
  <c r="BL273" i="3"/>
  <c r="BA275" i="3"/>
  <c r="AZ275" i="3" s="1"/>
  <c r="BA276" i="3"/>
  <c r="BL276" i="3"/>
  <c r="G277" i="3"/>
  <c r="G280" i="3"/>
  <c r="BL281" i="3"/>
  <c r="BA283" i="3"/>
  <c r="AZ283" i="3" s="1"/>
  <c r="BA284" i="3"/>
  <c r="BL284" i="3"/>
  <c r="G285" i="3"/>
  <c r="G288" i="3"/>
  <c r="BL289" i="3"/>
  <c r="BA291" i="3"/>
  <c r="AZ291" i="3" s="1"/>
  <c r="BA292" i="3"/>
  <c r="BL292" i="3"/>
  <c r="G293" i="3"/>
  <c r="G296" i="3"/>
  <c r="BL297" i="3"/>
  <c r="BA299" i="3"/>
  <c r="AZ299" i="3" s="1"/>
  <c r="BA300" i="3"/>
  <c r="BL300" i="3"/>
  <c r="G301" i="3"/>
  <c r="G304" i="3"/>
  <c r="BL305" i="3"/>
  <c r="BA307" i="3"/>
  <c r="AZ307" i="3" s="1"/>
  <c r="BA308" i="3"/>
  <c r="BL308" i="3"/>
  <c r="G309" i="3"/>
  <c r="G312" i="3"/>
  <c r="BL313" i="3"/>
  <c r="BA315" i="3"/>
  <c r="AZ315" i="3" s="1"/>
  <c r="BA316" i="3"/>
  <c r="BL316" i="3"/>
  <c r="G317" i="3"/>
  <c r="R13" i="1"/>
  <c r="B13" i="1"/>
  <c r="E13" i="1" s="1"/>
  <c r="D78" i="9"/>
  <c r="B41" i="1"/>
  <c r="F32" i="67" s="1"/>
  <c r="F60" i="67" s="1"/>
  <c r="J9" i="34"/>
  <c r="AC9" i="34" s="1"/>
  <c r="F9" i="34"/>
  <c r="AA9" i="34" s="1"/>
  <c r="J46" i="34"/>
  <c r="AC46" i="34" s="1"/>
  <c r="F46" i="34"/>
  <c r="AA46" i="34" s="1"/>
  <c r="F40" i="68"/>
  <c r="C21" i="68"/>
  <c r="AA8" i="21"/>
  <c r="S8" i="21"/>
  <c r="AB32" i="21"/>
  <c r="U32" i="21"/>
  <c r="U46" i="21"/>
  <c r="AB46" i="21"/>
  <c r="H44" i="21"/>
  <c r="J44" i="21"/>
  <c r="AC44" i="21" s="1"/>
  <c r="J46" i="21"/>
  <c r="AC46" i="21" s="1"/>
  <c r="F46" i="21"/>
  <c r="AA46" i="21" s="1"/>
  <c r="U9" i="33"/>
  <c r="AB9" i="33"/>
  <c r="AC10" i="33"/>
  <c r="J9" i="33"/>
  <c r="AC9" i="33" s="1"/>
  <c r="F9" i="33"/>
  <c r="AA9" i="33" s="1"/>
  <c r="AC8" i="37"/>
  <c r="W8" i="37"/>
  <c r="AC9" i="37"/>
  <c r="AC29" i="37"/>
  <c r="AB10" i="35"/>
  <c r="U10" i="35"/>
  <c r="BA320" i="3"/>
  <c r="BL320" i="3"/>
  <c r="G321" i="3"/>
  <c r="G324" i="3"/>
  <c r="BL325" i="3"/>
  <c r="BA327" i="3"/>
  <c r="AZ327" i="3" s="1"/>
  <c r="BA328" i="3"/>
  <c r="BL328" i="3"/>
  <c r="G329" i="3"/>
  <c r="G332" i="3"/>
  <c r="BL333" i="3"/>
  <c r="BA335" i="3"/>
  <c r="AZ335" i="3" s="1"/>
  <c r="BA336" i="3"/>
  <c r="BL336" i="3"/>
  <c r="G337" i="3"/>
  <c r="G340" i="3"/>
  <c r="BL341" i="3"/>
  <c r="BA343" i="3"/>
  <c r="AZ343" i="3" s="1"/>
  <c r="BA344" i="3"/>
  <c r="BL344" i="3"/>
  <c r="G345" i="3"/>
  <c r="G348" i="3"/>
  <c r="BL349" i="3"/>
  <c r="BA351" i="3"/>
  <c r="AZ351" i="3" s="1"/>
  <c r="BA352" i="3"/>
  <c r="BL352" i="3"/>
  <c r="G353" i="3"/>
  <c r="G356" i="3"/>
  <c r="BL357" i="3"/>
  <c r="BA359" i="3"/>
  <c r="AZ359" i="3" s="1"/>
  <c r="BA360" i="3"/>
  <c r="BL360" i="3"/>
  <c r="G361" i="3"/>
  <c r="G364" i="3"/>
  <c r="BL365" i="3"/>
  <c r="BA367" i="3"/>
  <c r="AZ367" i="3" s="1"/>
  <c r="BA368" i="3"/>
  <c r="BL368" i="3"/>
  <c r="G369" i="3"/>
  <c r="G372" i="3"/>
  <c r="BL373" i="3"/>
  <c r="BA375" i="3"/>
  <c r="AZ375" i="3" s="1"/>
  <c r="BA376" i="3"/>
  <c r="BL376" i="3"/>
  <c r="G377" i="3"/>
  <c r="G380" i="3"/>
  <c r="BL381" i="3"/>
  <c r="BA383" i="3"/>
  <c r="AZ383" i="3" s="1"/>
  <c r="BA384" i="3"/>
  <c r="BL384" i="3"/>
  <c r="G385" i="3"/>
  <c r="G388" i="3"/>
  <c r="BL389" i="3"/>
  <c r="BA391" i="3"/>
  <c r="AZ391" i="3" s="1"/>
  <c r="BA392" i="3"/>
  <c r="BL392" i="3"/>
  <c r="G393" i="3"/>
  <c r="G396" i="3"/>
  <c r="BL397" i="3"/>
  <c r="BA399" i="3"/>
  <c r="AZ399" i="3" s="1"/>
  <c r="BA400" i="3"/>
  <c r="BL400" i="3"/>
  <c r="G401" i="3"/>
  <c r="G404" i="3"/>
  <c r="BL405" i="3"/>
  <c r="BA407" i="3"/>
  <c r="AZ407" i="3" s="1"/>
  <c r="BA408" i="3"/>
  <c r="BL408" i="3"/>
  <c r="G409" i="3"/>
  <c r="G412" i="3"/>
  <c r="BL413" i="3"/>
  <c r="BA415" i="3"/>
  <c r="AZ415" i="3" s="1"/>
  <c r="BA416" i="3"/>
  <c r="BL416" i="3"/>
  <c r="G417" i="3"/>
  <c r="G420" i="3"/>
  <c r="BL421" i="3"/>
  <c r="BA423" i="3"/>
  <c r="AZ423" i="3" s="1"/>
  <c r="BA424" i="3"/>
  <c r="BL424" i="3"/>
  <c r="G425" i="3"/>
  <c r="G428" i="3"/>
  <c r="BL429" i="3"/>
  <c r="BA431" i="3"/>
  <c r="AZ431" i="3" s="1"/>
  <c r="BA432" i="3"/>
  <c r="BL432" i="3"/>
  <c r="G433" i="3"/>
  <c r="G436" i="3"/>
  <c r="BL437" i="3"/>
  <c r="BA439" i="3"/>
  <c r="AZ439" i="3" s="1"/>
  <c r="BA440" i="3"/>
  <c r="BL440" i="3"/>
  <c r="G441" i="3"/>
  <c r="G444" i="3"/>
  <c r="BL445" i="3"/>
  <c r="BA447" i="3"/>
  <c r="AZ447" i="3" s="1"/>
  <c r="BA448" i="3"/>
  <c r="BL448" i="3"/>
  <c r="G449" i="3"/>
  <c r="G452" i="3"/>
  <c r="BL453" i="3"/>
  <c r="BA455" i="3"/>
  <c r="AZ455" i="3" s="1"/>
  <c r="BA456" i="3"/>
  <c r="BL456" i="3"/>
  <c r="G457" i="3"/>
  <c r="BA458" i="3"/>
  <c r="AZ458" i="3" s="1"/>
  <c r="BL458" i="3"/>
  <c r="G459" i="3"/>
  <c r="G463" i="3"/>
  <c r="BL464" i="3"/>
  <c r="BA466" i="3"/>
  <c r="AZ466" i="3" s="1"/>
  <c r="R9" i="1"/>
  <c r="B9" i="1"/>
  <c r="E9" i="1" s="1"/>
  <c r="S13" i="1"/>
  <c r="AQ13" i="1" s="1"/>
  <c r="AB12" i="34"/>
  <c r="U12" i="34"/>
  <c r="AB37" i="34"/>
  <c r="U37" i="34"/>
  <c r="J12" i="34"/>
  <c r="AC12" i="34" s="1"/>
  <c r="F12" i="34"/>
  <c r="AA12" i="34" s="1"/>
  <c r="AB26" i="21"/>
  <c r="U26" i="21"/>
  <c r="J12" i="37"/>
  <c r="AC12" i="37" s="1"/>
  <c r="F12" i="37"/>
  <c r="AA12" i="37" s="1"/>
  <c r="H12" i="37"/>
  <c r="J14" i="37"/>
  <c r="AC14" i="37" s="1"/>
  <c r="F14" i="37"/>
  <c r="AA14" i="37" s="1"/>
  <c r="H14" i="37"/>
  <c r="J9" i="35"/>
  <c r="F9" i="35"/>
  <c r="S9" i="35" s="1"/>
  <c r="H9" i="35"/>
  <c r="AB9" i="35" s="1"/>
  <c r="H12" i="35"/>
  <c r="F12" i="35"/>
  <c r="AA12" i="35" s="1"/>
  <c r="U35" i="39"/>
  <c r="AB35" i="39"/>
  <c r="AB34" i="40"/>
  <c r="U34" i="40"/>
  <c r="BA467" i="3"/>
  <c r="AZ467" i="3" s="1"/>
  <c r="BL467" i="3"/>
  <c r="G468" i="3"/>
  <c r="G471" i="3"/>
  <c r="BL472" i="3"/>
  <c r="BA474" i="3"/>
  <c r="AZ474" i="3" s="1"/>
  <c r="BA475" i="3"/>
  <c r="AZ475" i="3" s="1"/>
  <c r="BL475" i="3"/>
  <c r="G476" i="3"/>
  <c r="G479" i="3"/>
  <c r="BL480" i="3"/>
  <c r="BA482" i="3"/>
  <c r="AZ482" i="3" s="1"/>
  <c r="BA483" i="3"/>
  <c r="AZ483" i="3" s="1"/>
  <c r="BL483" i="3"/>
  <c r="G484" i="3"/>
  <c r="G487" i="3"/>
  <c r="BL488" i="3"/>
  <c r="BA490" i="3"/>
  <c r="AZ490" i="3" s="1"/>
  <c r="BA491" i="3"/>
  <c r="AZ491" i="3" s="1"/>
  <c r="BL491" i="3"/>
  <c r="G492" i="3"/>
  <c r="G495" i="3"/>
  <c r="BL496" i="3"/>
  <c r="BA498" i="3"/>
  <c r="AZ498" i="3" s="1"/>
  <c r="BA499" i="3"/>
  <c r="AZ499" i="3" s="1"/>
  <c r="BL499" i="3"/>
  <c r="G500" i="3"/>
  <c r="G503" i="3"/>
  <c r="BL504" i="3"/>
  <c r="BA506" i="3"/>
  <c r="AZ506" i="3" s="1"/>
  <c r="BA507" i="3"/>
  <c r="AZ507" i="3" s="1"/>
  <c r="BL507" i="3"/>
  <c r="G508" i="3"/>
  <c r="G511" i="3"/>
  <c r="BL512" i="3"/>
  <c r="BA514" i="3"/>
  <c r="AZ514" i="3" s="1"/>
  <c r="BA515" i="3"/>
  <c r="AZ515" i="3" s="1"/>
  <c r="BL515" i="3"/>
  <c r="G516" i="3"/>
  <c r="G519" i="3"/>
  <c r="BL520" i="3"/>
  <c r="BA522" i="3"/>
  <c r="AZ522" i="3" s="1"/>
  <c r="BA523" i="3"/>
  <c r="AZ523" i="3" s="1"/>
  <c r="BL523" i="3"/>
  <c r="G524" i="3"/>
  <c r="G527" i="3"/>
  <c r="BL528" i="3"/>
  <c r="BA530" i="3"/>
  <c r="AZ530" i="3" s="1"/>
  <c r="BA531" i="3"/>
  <c r="AZ531" i="3" s="1"/>
  <c r="BL531" i="3"/>
  <c r="G532" i="3"/>
  <c r="G535" i="3"/>
  <c r="BL536" i="3"/>
  <c r="BA538" i="3"/>
  <c r="AZ538" i="3" s="1"/>
  <c r="BA539" i="3"/>
  <c r="AZ539" i="3" s="1"/>
  <c r="BL539" i="3"/>
  <c r="G540" i="3"/>
  <c r="G543" i="3"/>
  <c r="BL544" i="3"/>
  <c r="BA546" i="3"/>
  <c r="AZ546" i="3" s="1"/>
  <c r="BA547" i="3"/>
  <c r="AZ547" i="3" s="1"/>
  <c r="BL547" i="3"/>
  <c r="G548" i="3"/>
  <c r="G551" i="3"/>
  <c r="BL552" i="3"/>
  <c r="BA554" i="3"/>
  <c r="AZ554" i="3" s="1"/>
  <c r="BA555" i="3"/>
  <c r="AZ555" i="3" s="1"/>
  <c r="BL555" i="3"/>
  <c r="G556" i="3"/>
  <c r="G559" i="3"/>
  <c r="BL560" i="3"/>
  <c r="BA562" i="3"/>
  <c r="AZ562" i="3" s="1"/>
  <c r="BA563" i="3"/>
  <c r="AZ563" i="3" s="1"/>
  <c r="BL563" i="3"/>
  <c r="G564" i="3"/>
  <c r="G567" i="3"/>
  <c r="BL568" i="3"/>
  <c r="BA570" i="3"/>
  <c r="AZ570" i="3" s="1"/>
  <c r="BA571" i="3"/>
  <c r="AZ571" i="3" s="1"/>
  <c r="BL571" i="3"/>
  <c r="G572" i="3"/>
  <c r="G575" i="3"/>
  <c r="BL576" i="3"/>
  <c r="BA578" i="3"/>
  <c r="AZ578" i="3" s="1"/>
  <c r="BA579" i="3"/>
  <c r="AZ579" i="3" s="1"/>
  <c r="BL579" i="3"/>
  <c r="G580" i="3"/>
  <c r="G1" i="67"/>
  <c r="G7" i="1"/>
  <c r="G11" i="1"/>
  <c r="AC25" i="34"/>
  <c r="G1" i="68"/>
  <c r="R14" i="77"/>
  <c r="R25" i="77" s="1"/>
  <c r="D7" i="77"/>
  <c r="C26" i="77" s="1"/>
  <c r="AC13" i="21"/>
  <c r="AB40" i="21"/>
  <c r="U40" i="21"/>
  <c r="H30" i="21"/>
  <c r="F30" i="21"/>
  <c r="AA30" i="21" s="1"/>
  <c r="AB21" i="37"/>
  <c r="U21" i="37"/>
  <c r="AB26" i="37"/>
  <c r="U26" i="37"/>
  <c r="AB22" i="35"/>
  <c r="U22" i="35"/>
  <c r="AB37" i="39"/>
  <c r="U37" i="39"/>
  <c r="G92" i="39"/>
  <c r="H19" i="39"/>
  <c r="E96" i="39"/>
  <c r="F96" i="39" s="1"/>
  <c r="G96" i="39" s="1"/>
  <c r="H23" i="39"/>
  <c r="F100" i="39"/>
  <c r="G100" i="39" s="1"/>
  <c r="H27" i="39"/>
  <c r="S39" i="40"/>
  <c r="AA39" i="40"/>
  <c r="H87" i="43"/>
  <c r="E93" i="43"/>
  <c r="B91" i="43" s="1"/>
  <c r="S3" i="79"/>
  <c r="S23" i="79"/>
  <c r="AB9" i="71"/>
  <c r="AA14" i="71"/>
  <c r="Y15" i="71"/>
  <c r="Z15" i="71" s="1"/>
  <c r="AB15" i="71"/>
  <c r="AB17" i="71"/>
  <c r="AA22" i="71"/>
  <c r="AC17" i="33"/>
  <c r="AC26" i="33"/>
  <c r="AC30" i="33"/>
  <c r="AC34" i="33"/>
  <c r="AC38" i="33"/>
  <c r="AC42" i="33"/>
  <c r="AC33" i="37"/>
  <c r="AC37" i="37"/>
  <c r="B3" i="35"/>
  <c r="AC14" i="35"/>
  <c r="AC26" i="36"/>
  <c r="AC30" i="36"/>
  <c r="E50" i="43"/>
  <c r="B48" i="43" s="1"/>
  <c r="T23" i="79"/>
  <c r="W23" i="79" s="1"/>
  <c r="M23" i="79"/>
  <c r="P23" i="79" s="1"/>
  <c r="S5" i="79"/>
  <c r="U5" i="79"/>
  <c r="Y3" i="79"/>
  <c r="AC3" i="79"/>
  <c r="R6" i="79"/>
  <c r="T6" i="79"/>
  <c r="W6" i="79" s="1"/>
  <c r="V6" i="79"/>
  <c r="R12" i="79"/>
  <c r="T12" i="79"/>
  <c r="W12" i="79" s="1"/>
  <c r="V12" i="79"/>
  <c r="S13" i="79"/>
  <c r="U13" i="79"/>
  <c r="R14" i="79"/>
  <c r="V14" i="79"/>
  <c r="X3" i="71"/>
  <c r="Y3" i="71"/>
  <c r="Z3" i="71" s="1"/>
  <c r="AB3" i="71"/>
  <c r="X9" i="71"/>
  <c r="AA9" i="71"/>
  <c r="Y10" i="71"/>
  <c r="Z10" i="71" s="1"/>
  <c r="AB10" i="71"/>
  <c r="X12" i="71"/>
  <c r="AA12" i="71"/>
  <c r="X13" i="71"/>
  <c r="AA13" i="71"/>
  <c r="Y14" i="71"/>
  <c r="Z14" i="71" s="1"/>
  <c r="AB14" i="71"/>
  <c r="X16" i="71"/>
  <c r="AA16" i="71"/>
  <c r="X17" i="71"/>
  <c r="AA17" i="71"/>
  <c r="Y18" i="71"/>
  <c r="Z18" i="71" s="1"/>
  <c r="AB18" i="71"/>
  <c r="X20" i="71"/>
  <c r="AA20" i="71"/>
  <c r="X21" i="71"/>
  <c r="AA21" i="71"/>
  <c r="Y22" i="71"/>
  <c r="Z22" i="71" s="1"/>
  <c r="AB22" i="71"/>
  <c r="X23" i="71"/>
  <c r="AA23" i="71"/>
  <c r="AB24" i="71"/>
  <c r="Y25" i="71"/>
  <c r="Z25" i="71" s="1"/>
  <c r="Y26" i="71"/>
  <c r="Z26" i="71" s="1"/>
  <c r="AB26" i="71"/>
  <c r="X27" i="71"/>
  <c r="AA27" i="71"/>
  <c r="U28" i="71"/>
  <c r="F27" i="71"/>
  <c r="F26" i="71" s="1"/>
  <c r="AB28" i="71"/>
  <c r="B31" i="71"/>
  <c r="B32" i="71" s="1"/>
  <c r="S32" i="71" s="1"/>
  <c r="AB29" i="71"/>
  <c r="Y30" i="71"/>
  <c r="Z30" i="71" s="1"/>
  <c r="AB30" i="71"/>
  <c r="Y31" i="71"/>
  <c r="Z31" i="71" s="1"/>
  <c r="X32" i="71"/>
  <c r="AA32" i="71"/>
  <c r="B35" i="71"/>
  <c r="B36" i="71" s="1"/>
  <c r="S36" i="71" s="1"/>
  <c r="E35" i="71"/>
  <c r="E36" i="71" s="1"/>
  <c r="U36" i="71" s="1"/>
  <c r="AB33" i="71"/>
  <c r="Y34" i="71"/>
  <c r="Z34" i="71" s="1"/>
  <c r="AB34" i="71"/>
  <c r="Y35" i="71"/>
  <c r="Z35" i="71" s="1"/>
  <c r="AB35" i="71"/>
  <c r="Y36" i="71"/>
  <c r="Z36" i="71" s="1"/>
  <c r="AB36" i="71"/>
  <c r="B40" i="71"/>
  <c r="S40" i="71" s="1"/>
  <c r="E40" i="71"/>
  <c r="U40" i="71" s="1"/>
  <c r="X38" i="71"/>
  <c r="AA38" i="71"/>
  <c r="C6" i="78"/>
  <c r="D6" i="78" s="1"/>
  <c r="C5" i="78"/>
  <c r="D5" i="78" s="1"/>
  <c r="C15" i="78"/>
  <c r="K5" i="4"/>
  <c r="B47" i="48" s="1"/>
  <c r="BL14" i="3"/>
  <c r="G15" i="3"/>
  <c r="BA17" i="3"/>
  <c r="AZ17" i="3" s="1"/>
  <c r="BL18" i="3"/>
  <c r="G19" i="3"/>
  <c r="BA21" i="3"/>
  <c r="AZ21" i="3" s="1"/>
  <c r="BL22" i="3"/>
  <c r="AZ22" i="3" s="1"/>
  <c r="G23" i="3"/>
  <c r="R11" i="1"/>
  <c r="S11" i="1"/>
  <c r="AQ11" i="1" s="1"/>
  <c r="B11" i="1"/>
  <c r="E11" i="1" s="1"/>
  <c r="G26" i="12"/>
  <c r="G41" i="69"/>
  <c r="W9" i="34"/>
  <c r="W46" i="34"/>
  <c r="J28" i="34"/>
  <c r="AC28" i="34" s="1"/>
  <c r="F28" i="34"/>
  <c r="AA28" i="34" s="1"/>
  <c r="J30" i="34"/>
  <c r="F30" i="34"/>
  <c r="AA30" i="34" s="1"/>
  <c r="M20" i="15"/>
  <c r="C40" i="69"/>
  <c r="C21" i="69"/>
  <c r="G25" i="12"/>
  <c r="F34" i="67"/>
  <c r="W11" i="21"/>
  <c r="U25" i="33"/>
  <c r="AB25" i="33"/>
  <c r="W28" i="33"/>
  <c r="AA11" i="37"/>
  <c r="U12" i="37"/>
  <c r="AB12" i="37"/>
  <c r="U19" i="37"/>
  <c r="AB19" i="37"/>
  <c r="AA27" i="37"/>
  <c r="U28" i="37"/>
  <c r="AB28" i="37"/>
  <c r="H25" i="37"/>
  <c r="F25" i="37"/>
  <c r="H27" i="37"/>
  <c r="J27" i="37"/>
  <c r="F26" i="35"/>
  <c r="C79" i="35"/>
  <c r="H26" i="35" s="1"/>
  <c r="J26" i="35"/>
  <c r="H34" i="35"/>
  <c r="AB34" i="35" s="1"/>
  <c r="F34" i="35"/>
  <c r="S34" i="35" s="1"/>
  <c r="H36" i="35"/>
  <c r="AB36" i="35" s="1"/>
  <c r="J36" i="35"/>
  <c r="U8" i="36"/>
  <c r="W10" i="36"/>
  <c r="AB23" i="36"/>
  <c r="U9" i="36"/>
  <c r="AB9" i="36"/>
  <c r="H12" i="36"/>
  <c r="J12" i="36"/>
  <c r="F12" i="36"/>
  <c r="J32" i="36"/>
  <c r="F32" i="36"/>
  <c r="S32" i="36" s="1"/>
  <c r="J34" i="36"/>
  <c r="F34" i="36"/>
  <c r="AA34" i="36" s="1"/>
  <c r="H34" i="36"/>
  <c r="AB34" i="36" s="1"/>
  <c r="E123" i="39"/>
  <c r="F123" i="39" s="1"/>
  <c r="G123" i="39" s="1"/>
  <c r="J41" i="39" s="1"/>
  <c r="AC41" i="39" s="1"/>
  <c r="H41" i="39"/>
  <c r="AB41" i="39" s="1"/>
  <c r="J43" i="39"/>
  <c r="AC43" i="39" s="1"/>
  <c r="F43" i="39"/>
  <c r="AA43" i="39" s="1"/>
  <c r="H43" i="39"/>
  <c r="J45" i="39"/>
  <c r="AC45" i="39" s="1"/>
  <c r="F45" i="39"/>
  <c r="AA45" i="39" s="1"/>
  <c r="U8" i="40"/>
  <c r="U9" i="40"/>
  <c r="AB9" i="40"/>
  <c r="W15" i="40"/>
  <c r="AA25" i="40"/>
  <c r="H38" i="40"/>
  <c r="F38" i="40"/>
  <c r="AA38" i="40" s="1"/>
  <c r="J38" i="40"/>
  <c r="AC38" i="40" s="1"/>
  <c r="J40" i="40"/>
  <c r="AC40" i="40" s="1"/>
  <c r="F40" i="40"/>
  <c r="AA40" i="40" s="1"/>
  <c r="H40" i="40"/>
  <c r="BA25" i="3"/>
  <c r="AZ25" i="3" s="1"/>
  <c r="BL26" i="3"/>
  <c r="AZ26" i="3" s="1"/>
  <c r="G27" i="3"/>
  <c r="BA29" i="3"/>
  <c r="AZ29" i="3" s="1"/>
  <c r="BL30" i="3"/>
  <c r="AZ30" i="3" s="1"/>
  <c r="G31" i="3"/>
  <c r="BA33" i="3"/>
  <c r="AZ33" i="3" s="1"/>
  <c r="BL34" i="3"/>
  <c r="AZ34" i="3" s="1"/>
  <c r="G35" i="3"/>
  <c r="BA37" i="3"/>
  <c r="AZ37" i="3" s="1"/>
  <c r="BL38" i="3"/>
  <c r="AZ38" i="3" s="1"/>
  <c r="G39" i="3"/>
  <c r="BA41" i="3"/>
  <c r="AZ41" i="3" s="1"/>
  <c r="BL42" i="3"/>
  <c r="AZ42" i="3" s="1"/>
  <c r="G43" i="3"/>
  <c r="BA45" i="3"/>
  <c r="AZ45" i="3" s="1"/>
  <c r="BL46" i="3"/>
  <c r="AZ46" i="3" s="1"/>
  <c r="G47" i="3"/>
  <c r="BA49" i="3"/>
  <c r="AZ49" i="3" s="1"/>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AZ82" i="3" s="1"/>
  <c r="G83" i="3"/>
  <c r="BA85" i="3"/>
  <c r="AZ85" i="3" s="1"/>
  <c r="BL86" i="3"/>
  <c r="AZ86" i="3" s="1"/>
  <c r="G87" i="3"/>
  <c r="BA89" i="3"/>
  <c r="AZ89" i="3" s="1"/>
  <c r="BL90" i="3"/>
  <c r="AZ90" i="3" s="1"/>
  <c r="G91" i="3"/>
  <c r="BA93" i="3"/>
  <c r="AZ93" i="3" s="1"/>
  <c r="BL94" i="3"/>
  <c r="AZ94" i="3" s="1"/>
  <c r="G95" i="3"/>
  <c r="BA97" i="3"/>
  <c r="AZ97" i="3" s="1"/>
  <c r="BL98" i="3"/>
  <c r="AZ98" i="3" s="1"/>
  <c r="G99" i="3"/>
  <c r="BA101" i="3"/>
  <c r="AZ101" i="3" s="1"/>
  <c r="BL102" i="3"/>
  <c r="AZ102" i="3" s="1"/>
  <c r="G103" i="3"/>
  <c r="BA105" i="3"/>
  <c r="AZ105" i="3" s="1"/>
  <c r="BL106" i="3"/>
  <c r="AZ106" i="3" s="1"/>
  <c r="G107" i="3"/>
  <c r="BA109" i="3"/>
  <c r="AZ109" i="3" s="1"/>
  <c r="BL110" i="3"/>
  <c r="AZ110" i="3" s="1"/>
  <c r="G111" i="3"/>
  <c r="BA113" i="3"/>
  <c r="AZ113" i="3" s="1"/>
  <c r="BL114" i="3"/>
  <c r="AZ114" i="3" s="1"/>
  <c r="G115" i="3"/>
  <c r="BA117" i="3"/>
  <c r="AZ117" i="3" s="1"/>
  <c r="BL118" i="3"/>
  <c r="AZ118" i="3" s="1"/>
  <c r="G119" i="3"/>
  <c r="BA121" i="3"/>
  <c r="AZ121" i="3" s="1"/>
  <c r="BL122" i="3"/>
  <c r="AZ122" i="3" s="1"/>
  <c r="G123" i="3"/>
  <c r="BA125" i="3"/>
  <c r="AZ125" i="3" s="1"/>
  <c r="BL126" i="3"/>
  <c r="AZ126" i="3" s="1"/>
  <c r="G127" i="3"/>
  <c r="BA129" i="3"/>
  <c r="AZ129" i="3" s="1"/>
  <c r="BL130" i="3"/>
  <c r="AZ130" i="3" s="1"/>
  <c r="G131" i="3"/>
  <c r="BA133" i="3"/>
  <c r="AZ133" i="3" s="1"/>
  <c r="BL134" i="3"/>
  <c r="AZ134" i="3" s="1"/>
  <c r="G135" i="3"/>
  <c r="BA137" i="3"/>
  <c r="AZ137" i="3" s="1"/>
  <c r="BL138" i="3"/>
  <c r="AZ138" i="3" s="1"/>
  <c r="G139" i="3"/>
  <c r="BA141" i="3"/>
  <c r="AZ141" i="3" s="1"/>
  <c r="BL142" i="3"/>
  <c r="AZ142" i="3" s="1"/>
  <c r="G143" i="3"/>
  <c r="BA145" i="3"/>
  <c r="AZ145" i="3" s="1"/>
  <c r="BL146" i="3"/>
  <c r="AZ146" i="3" s="1"/>
  <c r="G147" i="3"/>
  <c r="BA149" i="3"/>
  <c r="AZ149" i="3" s="1"/>
  <c r="BL150" i="3"/>
  <c r="AZ150" i="3" s="1"/>
  <c r="G151" i="3"/>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G171" i="3"/>
  <c r="BA173" i="3"/>
  <c r="AZ173" i="3" s="1"/>
  <c r="BL174" i="3"/>
  <c r="AZ174" i="3" s="1"/>
  <c r="G175" i="3"/>
  <c r="BA177" i="3"/>
  <c r="AZ177" i="3" s="1"/>
  <c r="BL178" i="3"/>
  <c r="G179" i="3"/>
  <c r="BA181" i="3"/>
  <c r="AZ181" i="3" s="1"/>
  <c r="BL182" i="3"/>
  <c r="G183" i="3"/>
  <c r="BA185" i="3"/>
  <c r="AZ185" i="3" s="1"/>
  <c r="BL186" i="3"/>
  <c r="AZ186" i="3" s="1"/>
  <c r="G187" i="3"/>
  <c r="BA189" i="3"/>
  <c r="AZ189" i="3" s="1"/>
  <c r="BL190" i="3"/>
  <c r="AZ190" i="3" s="1"/>
  <c r="G191" i="3"/>
  <c r="BA193" i="3"/>
  <c r="AZ193" i="3" s="1"/>
  <c r="BL194" i="3"/>
  <c r="AZ194" i="3" s="1"/>
  <c r="G195" i="3"/>
  <c r="BA197" i="3"/>
  <c r="AZ197" i="3" s="1"/>
  <c r="BL198" i="3"/>
  <c r="AZ198" i="3" s="1"/>
  <c r="G199" i="3"/>
  <c r="BA201" i="3"/>
  <c r="AZ201" i="3" s="1"/>
  <c r="BL202" i="3"/>
  <c r="AZ202" i="3" s="1"/>
  <c r="G203" i="3"/>
  <c r="BA205" i="3"/>
  <c r="AZ205" i="3" s="1"/>
  <c r="BL206" i="3"/>
  <c r="AZ206" i="3" s="1"/>
  <c r="G207" i="3"/>
  <c r="BA209" i="3"/>
  <c r="AZ209" i="3" s="1"/>
  <c r="BL210" i="3"/>
  <c r="AZ210" i="3" s="1"/>
  <c r="G211" i="3"/>
  <c r="BA213" i="3"/>
  <c r="AZ213" i="3" s="1"/>
  <c r="BL214" i="3"/>
  <c r="AZ214" i="3" s="1"/>
  <c r="G215" i="3"/>
  <c r="BA217" i="3"/>
  <c r="AZ217" i="3" s="1"/>
  <c r="BL218" i="3"/>
  <c r="AZ218" i="3" s="1"/>
  <c r="G219" i="3"/>
  <c r="BA221" i="3"/>
  <c r="AZ221" i="3" s="1"/>
  <c r="BL222" i="3"/>
  <c r="AZ222" i="3" s="1"/>
  <c r="G223" i="3"/>
  <c r="BA225" i="3"/>
  <c r="AZ225" i="3" s="1"/>
  <c r="BL226" i="3"/>
  <c r="AZ226" i="3" s="1"/>
  <c r="G227" i="3"/>
  <c r="BA229" i="3"/>
  <c r="AZ229" i="3" s="1"/>
  <c r="BL230" i="3"/>
  <c r="AZ230" i="3" s="1"/>
  <c r="G231" i="3"/>
  <c r="BA233" i="3"/>
  <c r="AZ233" i="3" s="1"/>
  <c r="BL234" i="3"/>
  <c r="AZ234" i="3" s="1"/>
  <c r="G235" i="3"/>
  <c r="BA237" i="3"/>
  <c r="AZ237" i="3" s="1"/>
  <c r="BL238" i="3"/>
  <c r="AZ238" i="3" s="1"/>
  <c r="G239" i="3"/>
  <c r="BA241" i="3"/>
  <c r="AZ241" i="3" s="1"/>
  <c r="BL242" i="3"/>
  <c r="G243" i="3"/>
  <c r="BA245" i="3"/>
  <c r="AZ245" i="3" s="1"/>
  <c r="BL246" i="3"/>
  <c r="G247" i="3"/>
  <c r="BA249" i="3"/>
  <c r="AZ249" i="3" s="1"/>
  <c r="BL250" i="3"/>
  <c r="AZ250" i="3" s="1"/>
  <c r="G251" i="3"/>
  <c r="BA253" i="3"/>
  <c r="AZ253" i="3" s="1"/>
  <c r="BL254" i="3"/>
  <c r="AZ254" i="3" s="1"/>
  <c r="G255" i="3"/>
  <c r="BA257" i="3"/>
  <c r="AZ257" i="3" s="1"/>
  <c r="BL258" i="3"/>
  <c r="AZ258" i="3" s="1"/>
  <c r="G259" i="3"/>
  <c r="BA261" i="3"/>
  <c r="AZ261" i="3" s="1"/>
  <c r="BL262" i="3"/>
  <c r="AZ262" i="3" s="1"/>
  <c r="G263" i="3"/>
  <c r="BA265" i="3"/>
  <c r="AZ265" i="3" s="1"/>
  <c r="BL266" i="3"/>
  <c r="AZ266" i="3" s="1"/>
  <c r="G267" i="3"/>
  <c r="BA269" i="3"/>
  <c r="AZ269" i="3" s="1"/>
  <c r="BL270" i="3"/>
  <c r="AZ270" i="3" s="1"/>
  <c r="G271" i="3"/>
  <c r="BA273" i="3"/>
  <c r="AZ273" i="3" s="1"/>
  <c r="BL274" i="3"/>
  <c r="AZ274" i="3" s="1"/>
  <c r="G275" i="3"/>
  <c r="BA277" i="3"/>
  <c r="AZ277" i="3" s="1"/>
  <c r="BL278" i="3"/>
  <c r="AZ278" i="3" s="1"/>
  <c r="G279" i="3"/>
  <c r="BA281" i="3"/>
  <c r="AZ281" i="3" s="1"/>
  <c r="BL282" i="3"/>
  <c r="AZ282" i="3" s="1"/>
  <c r="G283" i="3"/>
  <c r="BA285" i="3"/>
  <c r="AZ285" i="3" s="1"/>
  <c r="BL286" i="3"/>
  <c r="AZ286" i="3" s="1"/>
  <c r="G287" i="3"/>
  <c r="BA289" i="3"/>
  <c r="AZ289" i="3" s="1"/>
  <c r="BL290" i="3"/>
  <c r="G291" i="3"/>
  <c r="BA293" i="3"/>
  <c r="AZ293" i="3" s="1"/>
  <c r="BL294" i="3"/>
  <c r="AZ294" i="3" s="1"/>
  <c r="G295" i="3"/>
  <c r="BA297" i="3"/>
  <c r="AZ297" i="3" s="1"/>
  <c r="BL298" i="3"/>
  <c r="AZ298" i="3" s="1"/>
  <c r="G299" i="3"/>
  <c r="BA301" i="3"/>
  <c r="AZ301" i="3" s="1"/>
  <c r="BL302" i="3"/>
  <c r="AZ302" i="3" s="1"/>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AZ350" i="3" s="1"/>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AZ378" i="3" s="1"/>
  <c r="G379" i="3"/>
  <c r="BA381" i="3"/>
  <c r="AZ381" i="3" s="1"/>
  <c r="BL382" i="3"/>
  <c r="AZ382" i="3" s="1"/>
  <c r="G383" i="3"/>
  <c r="BA385" i="3"/>
  <c r="AZ385" i="3" s="1"/>
  <c r="BL386" i="3"/>
  <c r="AZ386" i="3" s="1"/>
  <c r="G387" i="3"/>
  <c r="BA389" i="3"/>
  <c r="AZ389" i="3" s="1"/>
  <c r="BL390" i="3"/>
  <c r="AZ390" i="3" s="1"/>
  <c r="G391" i="3"/>
  <c r="BA393" i="3"/>
  <c r="AZ393" i="3" s="1"/>
  <c r="BL394" i="3"/>
  <c r="AZ394" i="3" s="1"/>
  <c r="G395" i="3"/>
  <c r="BA397" i="3"/>
  <c r="AZ397" i="3" s="1"/>
  <c r="BL398" i="3"/>
  <c r="AZ398" i="3" s="1"/>
  <c r="G399" i="3"/>
  <c r="BA401" i="3"/>
  <c r="AZ401" i="3" s="1"/>
  <c r="BL402" i="3"/>
  <c r="AZ402" i="3" s="1"/>
  <c r="G403" i="3"/>
  <c r="BA405" i="3"/>
  <c r="AZ405" i="3" s="1"/>
  <c r="BL406" i="3"/>
  <c r="AZ406" i="3" s="1"/>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AZ426" i="3" s="1"/>
  <c r="G427" i="3"/>
  <c r="BA429" i="3"/>
  <c r="AZ429" i="3" s="1"/>
  <c r="BL430" i="3"/>
  <c r="AZ430" i="3" s="1"/>
  <c r="G431" i="3"/>
  <c r="BA433" i="3"/>
  <c r="AZ433" i="3" s="1"/>
  <c r="BL434" i="3"/>
  <c r="AZ434" i="3" s="1"/>
  <c r="G435" i="3"/>
  <c r="BA437" i="3"/>
  <c r="AZ437" i="3" s="1"/>
  <c r="BL438" i="3"/>
  <c r="AZ438" i="3" s="1"/>
  <c r="G439" i="3"/>
  <c r="BA441" i="3"/>
  <c r="AZ441" i="3" s="1"/>
  <c r="BL442" i="3"/>
  <c r="AZ442" i="3" s="1"/>
  <c r="G443" i="3"/>
  <c r="BA445" i="3"/>
  <c r="AZ445" i="3" s="1"/>
  <c r="BL446" i="3"/>
  <c r="AZ446" i="3" s="1"/>
  <c r="G447" i="3"/>
  <c r="BA449" i="3"/>
  <c r="AZ449" i="3" s="1"/>
  <c r="BL450" i="3"/>
  <c r="AZ450" i="3" s="1"/>
  <c r="G451" i="3"/>
  <c r="BA453" i="3"/>
  <c r="AZ453" i="3" s="1"/>
  <c r="BL454" i="3"/>
  <c r="AZ454" i="3" s="1"/>
  <c r="G455" i="3"/>
  <c r="BA457" i="3"/>
  <c r="AZ457" i="3" s="1"/>
  <c r="R7" i="1"/>
  <c r="S7" i="1"/>
  <c r="AQ7" i="1" s="1"/>
  <c r="B7" i="1"/>
  <c r="E7" i="1" s="1"/>
  <c r="G13" i="1"/>
  <c r="H112" i="9"/>
  <c r="H111" i="9"/>
  <c r="A126" i="9"/>
  <c r="A12" i="52" s="1"/>
  <c r="B56" i="72" s="1"/>
  <c r="H28" i="34"/>
  <c r="AB28" i="34" s="1"/>
  <c r="H30" i="34"/>
  <c r="AB30" i="34" s="1"/>
  <c r="F32" i="34"/>
  <c r="AA32" i="34" s="1"/>
  <c r="W34" i="34"/>
  <c r="W38" i="34"/>
  <c r="W42" i="34"/>
  <c r="G1" i="69"/>
  <c r="F40" i="69"/>
  <c r="G27" i="12"/>
  <c r="W33" i="21"/>
  <c r="W37" i="21"/>
  <c r="W41" i="21"/>
  <c r="AA45" i="21"/>
  <c r="J14" i="21"/>
  <c r="AC14" i="21" s="1"/>
  <c r="F14" i="21"/>
  <c r="AA14" i="21" s="1"/>
  <c r="H45" i="21"/>
  <c r="J45" i="21"/>
  <c r="AC45" i="21" s="1"/>
  <c r="U8" i="33"/>
  <c r="J12" i="33"/>
  <c r="AC12" i="33" s="1"/>
  <c r="F12" i="33"/>
  <c r="AA12" i="33" s="1"/>
  <c r="J14" i="33"/>
  <c r="F14" i="33"/>
  <c r="AA14" i="33" s="1"/>
  <c r="J27" i="33"/>
  <c r="AC27" i="33" s="1"/>
  <c r="F27" i="33"/>
  <c r="AA27" i="33" s="1"/>
  <c r="H27" i="33"/>
  <c r="AB27" i="33" s="1"/>
  <c r="H29" i="33"/>
  <c r="AB29" i="33" s="1"/>
  <c r="F29" i="33"/>
  <c r="AA29" i="33" s="1"/>
  <c r="J31" i="33"/>
  <c r="AC31" i="33" s="1"/>
  <c r="F31" i="33"/>
  <c r="AA31" i="33" s="1"/>
  <c r="U15" i="37"/>
  <c r="AB15" i="37"/>
  <c r="U23" i="37"/>
  <c r="AB23" i="37"/>
  <c r="U32" i="37"/>
  <c r="AB32" i="37"/>
  <c r="AB40" i="37"/>
  <c r="AA16" i="35"/>
  <c r="W18" i="35"/>
  <c r="W32" i="35"/>
  <c r="H45" i="39"/>
  <c r="BA459" i="3"/>
  <c r="AZ459" i="3" s="1"/>
  <c r="BL460" i="3"/>
  <c r="G461" i="3"/>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2" i="3"/>
  <c r="AZ582" i="3" s="1"/>
  <c r="BL583" i="3"/>
  <c r="G584" i="3"/>
  <c r="BA584" i="3"/>
  <c r="AZ584" i="3" s="1"/>
  <c r="BL585" i="3"/>
  <c r="G586" i="3"/>
  <c r="BA586" i="3"/>
  <c r="AZ586" i="3" s="1"/>
  <c r="BL587" i="3"/>
  <c r="C36" i="69"/>
  <c r="G8" i="1"/>
  <c r="G12" i="1"/>
  <c r="C18" i="9"/>
  <c r="D18" i="9" s="1"/>
  <c r="H103" i="9"/>
  <c r="W8" i="34"/>
  <c r="G1" i="15"/>
  <c r="J51" i="15"/>
  <c r="C40" i="68"/>
  <c r="R24" i="77"/>
  <c r="W8" i="21"/>
  <c r="W21" i="33"/>
  <c r="H44" i="33"/>
  <c r="F44" i="33"/>
  <c r="AA44" i="33" s="1"/>
  <c r="H46" i="33"/>
  <c r="F46" i="33"/>
  <c r="AA46" i="33" s="1"/>
  <c r="AA8" i="37"/>
  <c r="S8" i="37"/>
  <c r="AA35" i="37"/>
  <c r="H13" i="37"/>
  <c r="F13" i="37"/>
  <c r="J39" i="37"/>
  <c r="F39" i="37"/>
  <c r="AA8" i="35"/>
  <c r="S8" i="35"/>
  <c r="W23" i="35"/>
  <c r="W28" i="35"/>
  <c r="AB25" i="36"/>
  <c r="AA28" i="36"/>
  <c r="J23" i="36"/>
  <c r="AC23" i="36" s="1"/>
  <c r="F23" i="36"/>
  <c r="AA23" i="36" s="1"/>
  <c r="J25" i="36"/>
  <c r="AC25" i="36" s="1"/>
  <c r="F25" i="36"/>
  <c r="AA25" i="36" s="1"/>
  <c r="AA34" i="39"/>
  <c r="J12" i="39"/>
  <c r="AC12" i="39" s="1"/>
  <c r="F12" i="39"/>
  <c r="AA12" i="39" s="1"/>
  <c r="J14" i="39"/>
  <c r="AC14" i="39" s="1"/>
  <c r="F14" i="39"/>
  <c r="AA14" i="39" s="1"/>
  <c r="F94" i="39"/>
  <c r="G94" i="39" s="1"/>
  <c r="H21" i="39"/>
  <c r="E98" i="39"/>
  <c r="F98" i="39" s="1"/>
  <c r="G98" i="39" s="1"/>
  <c r="J25" i="39"/>
  <c r="AC25" i="39" s="1"/>
  <c r="F25" i="39"/>
  <c r="AA25" i="39" s="1"/>
  <c r="W14" i="40"/>
  <c r="W17" i="40"/>
  <c r="AA21" i="40"/>
  <c r="AA9" i="35"/>
  <c r="AA20" i="35"/>
  <c r="AA30" i="35"/>
  <c r="B3" i="36"/>
  <c r="AA19" i="40"/>
  <c r="AA23" i="40"/>
  <c r="AB27" i="40"/>
  <c r="U30" i="40"/>
  <c r="AB30" i="40"/>
  <c r="W31" i="40"/>
  <c r="W35" i="40"/>
  <c r="AA37" i="40"/>
  <c r="S3" i="43"/>
  <c r="S6" i="43"/>
  <c r="X7" i="43"/>
  <c r="I18" i="43"/>
  <c r="E17" i="43" s="1"/>
  <c r="I21" i="43"/>
  <c r="M21" i="43"/>
  <c r="G26" i="43"/>
  <c r="C27" i="43"/>
  <c r="H76" i="43"/>
  <c r="N3" i="79"/>
  <c r="U3" i="79"/>
  <c r="R5" i="79"/>
  <c r="T5" i="79"/>
  <c r="W5" i="79" s="1"/>
  <c r="V5" i="79"/>
  <c r="S6" i="79"/>
  <c r="U6" i="79"/>
  <c r="P6" i="79"/>
  <c r="R7" i="79"/>
  <c r="T7" i="79"/>
  <c r="W7" i="79" s="1"/>
  <c r="V7" i="79"/>
  <c r="R8" i="79"/>
  <c r="T8" i="79"/>
  <c r="W8" i="79" s="1"/>
  <c r="V8" i="79"/>
  <c r="S9" i="79"/>
  <c r="U9" i="79"/>
  <c r="R10" i="79"/>
  <c r="T10" i="79"/>
  <c r="W10" i="79" s="1"/>
  <c r="V10" i="79"/>
  <c r="S11" i="79"/>
  <c r="U11" i="79"/>
  <c r="T14" i="79"/>
  <c r="W14" i="79" s="1"/>
  <c r="P14" i="79"/>
  <c r="S5" i="43"/>
  <c r="D21" i="43"/>
  <c r="K21" i="43"/>
  <c r="O21" i="43"/>
  <c r="E26" i="43"/>
  <c r="F8" i="81"/>
  <c r="V24" i="71"/>
  <c r="AB37" i="71"/>
  <c r="B43" i="71"/>
  <c r="B44" i="71" s="1"/>
  <c r="S44" i="71" s="1"/>
  <c r="B47" i="71"/>
  <c r="B48" i="71" s="1"/>
  <c r="S48" i="71" s="1"/>
  <c r="B59" i="71"/>
  <c r="B60" i="71" s="1"/>
  <c r="S60" i="71" s="1"/>
  <c r="B63" i="71"/>
  <c r="B64" i="71" s="1"/>
  <c r="S64" i="71" s="1"/>
  <c r="C71" i="71"/>
  <c r="R13" i="79"/>
  <c r="T13" i="79"/>
  <c r="W13" i="79" s="1"/>
  <c r="V13" i="79"/>
  <c r="S14" i="79"/>
  <c r="U14" i="79"/>
  <c r="L23" i="79"/>
  <c r="N23" i="79"/>
  <c r="U23" i="79"/>
  <c r="S25" i="79"/>
  <c r="U25" i="79"/>
  <c r="AA23" i="79"/>
  <c r="AD23" i="79" s="1"/>
  <c r="T26" i="79"/>
  <c r="W26" i="79" s="1"/>
  <c r="T27" i="79"/>
  <c r="W27" i="79" s="1"/>
  <c r="T28" i="79"/>
  <c r="W28" i="79" s="1"/>
  <c r="AD29" i="79"/>
  <c r="T29" i="79"/>
  <c r="W29" i="79" s="1"/>
  <c r="S30" i="79"/>
  <c r="U30" i="79"/>
  <c r="AD31" i="79"/>
  <c r="T31" i="79"/>
  <c r="W31" i="79" s="1"/>
  <c r="S32" i="79"/>
  <c r="U32" i="79"/>
  <c r="AD33" i="79"/>
  <c r="T33" i="79"/>
  <c r="W33" i="79" s="1"/>
  <c r="S34" i="79"/>
  <c r="U34" i="79"/>
  <c r="AD35" i="79"/>
  <c r="Y9" i="71"/>
  <c r="Z9" i="71" s="1"/>
  <c r="X10" i="71"/>
  <c r="X11" i="71"/>
  <c r="AA11" i="71"/>
  <c r="Y12" i="71"/>
  <c r="Z12" i="71" s="1"/>
  <c r="AB12" i="71"/>
  <c r="Y13" i="71"/>
  <c r="Z13" i="71" s="1"/>
  <c r="X14" i="71"/>
  <c r="X15" i="71"/>
  <c r="AA15" i="71"/>
  <c r="Y16" i="71"/>
  <c r="Z16" i="71" s="1"/>
  <c r="AB16" i="71"/>
  <c r="Y17" i="71"/>
  <c r="Z17" i="71" s="1"/>
  <c r="X18" i="71"/>
  <c r="X19" i="71"/>
  <c r="AA19" i="71"/>
  <c r="Y20" i="71"/>
  <c r="Z20" i="71" s="1"/>
  <c r="AB20" i="71"/>
  <c r="Y21" i="71"/>
  <c r="Z21" i="71" s="1"/>
  <c r="X22" i="71"/>
  <c r="B24" i="71"/>
  <c r="S24" i="71" s="1"/>
  <c r="F23" i="71"/>
  <c r="F22" i="71" s="1"/>
  <c r="F21" i="71" s="1"/>
  <c r="F20" i="71" s="1"/>
  <c r="F19" i="71" s="1"/>
  <c r="F18" i="71" s="1"/>
  <c r="F17" i="71" s="1"/>
  <c r="F16" i="71" s="1"/>
  <c r="F15" i="71" s="1"/>
  <c r="F14" i="71" s="1"/>
  <c r="F13" i="71" s="1"/>
  <c r="F12" i="71" s="1"/>
  <c r="F11" i="71" s="1"/>
  <c r="F10" i="71" s="1"/>
  <c r="F9" i="71" s="1"/>
  <c r="F8" i="71" s="1"/>
  <c r="F7" i="71" s="1"/>
  <c r="F6" i="71" s="1"/>
  <c r="F5" i="71" s="1"/>
  <c r="E27" i="71"/>
  <c r="E26" i="71" s="1"/>
  <c r="Y27" i="71"/>
  <c r="Z27" i="71" s="1"/>
  <c r="X28" i="71"/>
  <c r="Y28" i="71"/>
  <c r="Z28" i="71" s="1"/>
  <c r="H123" i="39"/>
  <c r="I123" i="39" s="1"/>
  <c r="J123" i="39" s="1"/>
  <c r="K123" i="39" s="1"/>
  <c r="L123" i="39" s="1"/>
  <c r="M123" i="39" s="1"/>
  <c r="F41" i="39"/>
  <c r="AA41" i="39" s="1"/>
  <c r="W42" i="39"/>
  <c r="U41" i="39"/>
  <c r="W38" i="39"/>
  <c r="AC11" i="39"/>
  <c r="W8" i="39"/>
  <c r="S8" i="39"/>
  <c r="P16" i="1"/>
  <c r="C11" i="12" s="1"/>
  <c r="C15" i="12" s="1"/>
  <c r="B9" i="70"/>
  <c r="B13" i="70"/>
  <c r="B7" i="70"/>
  <c r="B11" i="70"/>
  <c r="B8" i="70"/>
  <c r="B10" i="70"/>
  <c r="B12" i="70"/>
  <c r="T35" i="4"/>
  <c r="A19" i="51" s="1"/>
  <c r="B14" i="72" s="1"/>
  <c r="AZ14" i="3"/>
  <c r="AZ18" i="3"/>
  <c r="G24" i="78"/>
  <c r="G25" i="78"/>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F14" i="49"/>
  <c r="H14" i="49" s="1"/>
  <c r="C18" i="78"/>
  <c r="M56" i="9"/>
  <c r="J56" i="9"/>
  <c r="J57" i="9" s="1"/>
  <c r="J59" i="9" s="1"/>
  <c r="J61" i="9" s="1"/>
  <c r="K56" i="9"/>
  <c r="N56" i="9"/>
  <c r="G30" i="6"/>
  <c r="D9" i="11"/>
  <c r="C9" i="11" s="1"/>
  <c r="D19" i="12"/>
  <c r="C19" i="12" s="1"/>
  <c r="D9" i="69"/>
  <c r="D40" i="43"/>
  <c r="H40" i="43" s="1"/>
  <c r="G19" i="6"/>
  <c r="G41" i="6" s="1"/>
  <c r="AZ166" i="3"/>
  <c r="AZ170" i="3"/>
  <c r="AZ178" i="3"/>
  <c r="AZ182" i="3"/>
  <c r="AZ242" i="3"/>
  <c r="AZ246" i="3"/>
  <c r="AZ290" i="3"/>
  <c r="AZ330" i="3"/>
  <c r="B15" i="78"/>
  <c r="AB8" i="71"/>
  <c r="X8" i="71"/>
  <c r="AA8" i="71"/>
  <c r="Y8" i="71"/>
  <c r="Z8" i="71" s="1"/>
  <c r="A2" i="9"/>
  <c r="A118" i="9"/>
  <c r="I24" i="43"/>
  <c r="C24" i="43" s="1"/>
  <c r="G6" i="1"/>
  <c r="J50" i="40"/>
  <c r="J55" i="39"/>
  <c r="E29" i="6"/>
  <c r="K15" i="1" s="1"/>
  <c r="F30" i="6"/>
  <c r="E28" i="6"/>
  <c r="I13" i="3"/>
  <c r="BC13" i="3"/>
  <c r="BC5" i="3" s="1"/>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B31" i="34"/>
  <c r="U31" i="34"/>
  <c r="AA31" i="39"/>
  <c r="S31" i="39"/>
  <c r="AZ436" i="3"/>
  <c r="AZ440" i="3"/>
  <c r="AZ444" i="3"/>
  <c r="AZ448" i="3"/>
  <c r="AZ452" i="3"/>
  <c r="AZ456" i="3"/>
  <c r="AZ460"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B47" i="34"/>
  <c r="U47" i="34"/>
  <c r="R5" i="77"/>
  <c r="U5" i="77" s="1"/>
  <c r="K143" i="21"/>
  <c r="K141" i="21"/>
  <c r="D58" i="33"/>
  <c r="E58" i="33" s="1"/>
  <c r="F58" i="33" s="1"/>
  <c r="G58" i="33" s="1"/>
  <c r="H58" i="33" s="1"/>
  <c r="I58" i="33" s="1"/>
  <c r="J58" i="33" s="1"/>
  <c r="K58" i="33" s="1"/>
  <c r="L58" i="33" s="1"/>
  <c r="M58" i="33" s="1"/>
  <c r="N58" i="33" s="1"/>
  <c r="O58" i="33" s="1"/>
  <c r="AZ581" i="3"/>
  <c r="AZ583" i="3"/>
  <c r="AZ585" i="3"/>
  <c r="AZ587" i="3"/>
  <c r="O16" i="1"/>
  <c r="AR7" i="1"/>
  <c r="T7" i="1"/>
  <c r="S8" i="1"/>
  <c r="B8" i="1"/>
  <c r="E8" i="1" s="1"/>
  <c r="R8" i="1"/>
  <c r="G10" i="1"/>
  <c r="AR11" i="1"/>
  <c r="T11" i="1"/>
  <c r="S12" i="1"/>
  <c r="B12" i="1"/>
  <c r="E12" i="1" s="1"/>
  <c r="R12" i="1"/>
  <c r="B90" i="43"/>
  <c r="C21" i="40"/>
  <c r="B79" i="43"/>
  <c r="B101" i="43"/>
  <c r="B69" i="43"/>
  <c r="B58" i="43"/>
  <c r="B76" i="43"/>
  <c r="B99" i="43"/>
  <c r="B67" i="43"/>
  <c r="B56" i="43"/>
  <c r="B97" i="43"/>
  <c r="B75" i="43"/>
  <c r="B65" i="43"/>
  <c r="B54" i="43"/>
  <c r="D8" i="74"/>
  <c r="F48" i="9"/>
  <c r="O52" i="9" s="1"/>
  <c r="D93" i="9"/>
  <c r="A124" i="9"/>
  <c r="A10" i="52" s="1"/>
  <c r="B55" i="72" s="1"/>
  <c r="H109" i="9"/>
  <c r="S9" i="34"/>
  <c r="U10" i="34"/>
  <c r="W11" i="34"/>
  <c r="F13" i="34"/>
  <c r="W13" i="34"/>
  <c r="S25" i="34"/>
  <c r="U27" i="34"/>
  <c r="W28" i="34"/>
  <c r="S30" i="34"/>
  <c r="W32" i="34"/>
  <c r="S34" i="34"/>
  <c r="U35" i="34"/>
  <c r="W36" i="34"/>
  <c r="S38" i="34"/>
  <c r="U39" i="34"/>
  <c r="W40" i="34"/>
  <c r="S42" i="34"/>
  <c r="U43" i="34"/>
  <c r="W44" i="34"/>
  <c r="S46" i="34"/>
  <c r="J27" i="34"/>
  <c r="F27" i="34"/>
  <c r="P61" i="15"/>
  <c r="F30" i="68"/>
  <c r="F30" i="69"/>
  <c r="F62"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W12" i="33"/>
  <c r="S14" i="33"/>
  <c r="W15" i="33"/>
  <c r="S17" i="33"/>
  <c r="W19" i="33"/>
  <c r="S21" i="33"/>
  <c r="W23" i="33"/>
  <c r="S26" i="33"/>
  <c r="U27" i="33"/>
  <c r="S28" i="33"/>
  <c r="U29" i="33"/>
  <c r="S30" i="33"/>
  <c r="U31" i="33"/>
  <c r="W32" i="33"/>
  <c r="S34" i="33"/>
  <c r="U35" i="33"/>
  <c r="W36" i="33"/>
  <c r="S38" i="33"/>
  <c r="U39" i="33"/>
  <c r="W40" i="33"/>
  <c r="S42" i="33"/>
  <c r="U43" i="33"/>
  <c r="J44" i="33"/>
  <c r="S44" i="33"/>
  <c r="U45" i="33"/>
  <c r="J46" i="33"/>
  <c r="S46" i="33"/>
  <c r="J13" i="33"/>
  <c r="F13" i="33"/>
  <c r="AB8" i="37"/>
  <c r="AB10" i="37"/>
  <c r="U10" i="37"/>
  <c r="AC11" i="37"/>
  <c r="W11" i="37"/>
  <c r="AC27" i="37"/>
  <c r="W27" i="37"/>
  <c r="AA31" i="37"/>
  <c r="AB34" i="37"/>
  <c r="U34" i="37"/>
  <c r="AC35" i="37"/>
  <c r="W35" i="37"/>
  <c r="AC39" i="37"/>
  <c r="W39" i="37"/>
  <c r="J38" i="37"/>
  <c r="F38" i="37"/>
  <c r="H38" i="37"/>
  <c r="J40" i="37"/>
  <c r="F40" i="37"/>
  <c r="AC9" i="35"/>
  <c r="W9" i="35"/>
  <c r="AC11" i="35"/>
  <c r="W11" i="35"/>
  <c r="AC13" i="35"/>
  <c r="W13" i="35"/>
  <c r="AC16" i="35"/>
  <c r="W16" i="35"/>
  <c r="AC20" i="35"/>
  <c r="W20" i="35"/>
  <c r="AA25" i="35"/>
  <c r="AB29" i="35"/>
  <c r="U29" i="35"/>
  <c r="AC30" i="35"/>
  <c r="W30" i="35"/>
  <c r="AA34" i="35"/>
  <c r="AB35" i="35"/>
  <c r="H11" i="35"/>
  <c r="F11" i="35"/>
  <c r="H13" i="35"/>
  <c r="F13" i="35"/>
  <c r="AA22" i="36"/>
  <c r="AB27" i="36"/>
  <c r="U27" i="36"/>
  <c r="AC28" i="36"/>
  <c r="W28" i="36"/>
  <c r="AA32" i="36"/>
  <c r="H24" i="36"/>
  <c r="F24" i="36"/>
  <c r="C15" i="39"/>
  <c r="AB15" i="39"/>
  <c r="U15" i="39"/>
  <c r="C19" i="39"/>
  <c r="AB19" i="39"/>
  <c r="U19" i="39"/>
  <c r="AB23" i="39"/>
  <c r="U23" i="39"/>
  <c r="C27" i="39"/>
  <c r="AB27" i="39"/>
  <c r="U27" i="39"/>
  <c r="AB39" i="39"/>
  <c r="U39" i="39"/>
  <c r="AB45" i="39"/>
  <c r="U45" i="39"/>
  <c r="H36" i="39"/>
  <c r="F36" i="39"/>
  <c r="J36" i="39"/>
  <c r="H44" i="39"/>
  <c r="J44" i="39"/>
  <c r="F44" i="39"/>
  <c r="AR9" i="1"/>
  <c r="T9" i="1"/>
  <c r="S10" i="1"/>
  <c r="B10" i="1"/>
  <c r="E10" i="1" s="1"/>
  <c r="R10" i="1"/>
  <c r="AR13" i="1"/>
  <c r="T13" i="1"/>
  <c r="F30" i="11"/>
  <c r="F28" i="67"/>
  <c r="F31" i="12"/>
  <c r="F32" i="15"/>
  <c r="F60" i="15" s="1"/>
  <c r="M18" i="15"/>
  <c r="F54" i="9"/>
  <c r="F52" i="9"/>
  <c r="F53" i="9"/>
  <c r="D68" i="9"/>
  <c r="C92" i="9"/>
  <c r="AB8" i="34"/>
  <c r="S11" i="34"/>
  <c r="S28" i="34"/>
  <c r="U29" i="34"/>
  <c r="S32" i="34"/>
  <c r="S36" i="34"/>
  <c r="S40" i="34"/>
  <c r="S44" i="34"/>
  <c r="U45" i="34"/>
  <c r="AB13" i="34"/>
  <c r="U13" i="34"/>
  <c r="J29" i="34"/>
  <c r="F29" i="34"/>
  <c r="J31" i="34"/>
  <c r="F31" i="34"/>
  <c r="J45" i="34"/>
  <c r="F45" i="34"/>
  <c r="J47" i="34"/>
  <c r="F47" i="34"/>
  <c r="D23" i="15"/>
  <c r="D22" i="15"/>
  <c r="D24" i="15"/>
  <c r="F28" i="15"/>
  <c r="M18" i="67"/>
  <c r="J51" i="67"/>
  <c r="P61" i="67"/>
  <c r="D26" i="77"/>
  <c r="D32" i="77" s="1"/>
  <c r="E23" i="77"/>
  <c r="D38" i="77"/>
  <c r="D39" i="77" s="1"/>
  <c r="S9" i="21"/>
  <c r="S25" i="21"/>
  <c r="S35" i="21"/>
  <c r="S39" i="21"/>
  <c r="S43" i="21"/>
  <c r="AB27" i="21"/>
  <c r="U27" i="21"/>
  <c r="AB29" i="21"/>
  <c r="U29" i="21"/>
  <c r="AB31" i="21"/>
  <c r="U31" i="21"/>
  <c r="K145" i="21"/>
  <c r="AA8" i="33"/>
  <c r="S12" i="33"/>
  <c r="U13" i="33"/>
  <c r="S15" i="33"/>
  <c r="S19" i="33"/>
  <c r="S23" i="33"/>
  <c r="S32" i="33"/>
  <c r="S36" i="33"/>
  <c r="S40" i="33"/>
  <c r="AB28" i="33"/>
  <c r="U28" i="33"/>
  <c r="AB30" i="33"/>
  <c r="U30" i="33"/>
  <c r="AB44" i="33"/>
  <c r="U44" i="33"/>
  <c r="AB46" i="33"/>
  <c r="U46" i="33"/>
  <c r="AC13" i="37"/>
  <c r="W13" i="37"/>
  <c r="AC25" i="37"/>
  <c r="W25" i="37"/>
  <c r="AB30" i="37"/>
  <c r="U30" i="37"/>
  <c r="AC31" i="37"/>
  <c r="W31" i="37"/>
  <c r="AC25" i="35"/>
  <c r="W25" i="35"/>
  <c r="AC26" i="35"/>
  <c r="W26" i="35"/>
  <c r="AB33" i="35"/>
  <c r="U33" i="35"/>
  <c r="AC34" i="35"/>
  <c r="W34" i="35"/>
  <c r="J35" i="35"/>
  <c r="F35" i="35"/>
  <c r="W8" i="36"/>
  <c r="AC8" i="36"/>
  <c r="AA8" i="36"/>
  <c r="AB11" i="36"/>
  <c r="U11" i="36"/>
  <c r="AA12" i="36"/>
  <c r="S12" i="36"/>
  <c r="AB13" i="36"/>
  <c r="U13" i="36"/>
  <c r="AB14" i="36"/>
  <c r="U14" i="36"/>
  <c r="AB16" i="36"/>
  <c r="U16" i="36"/>
  <c r="AB18" i="36"/>
  <c r="U18" i="36"/>
  <c r="AB20" i="36"/>
  <c r="U20" i="36"/>
  <c r="AC22" i="36"/>
  <c r="W22" i="36"/>
  <c r="AC24" i="36"/>
  <c r="W24" i="36"/>
  <c r="AB31" i="36"/>
  <c r="U31" i="36"/>
  <c r="AC32" i="36"/>
  <c r="W32" i="36"/>
  <c r="AC9" i="39"/>
  <c r="W9" i="39"/>
  <c r="S9" i="39"/>
  <c r="AB14" i="39"/>
  <c r="U14" i="39"/>
  <c r="AB17" i="39"/>
  <c r="U17" i="39"/>
  <c r="AB21" i="39"/>
  <c r="U21" i="39"/>
  <c r="C25" i="39"/>
  <c r="AB25" i="39"/>
  <c r="U25" i="39"/>
  <c r="AB29" i="39"/>
  <c r="U29" i="39"/>
  <c r="AC40" i="39"/>
  <c r="W40" i="39"/>
  <c r="S40" i="39"/>
  <c r="H13" i="39"/>
  <c r="J13" i="39"/>
  <c r="F13" i="39"/>
  <c r="H31" i="39"/>
  <c r="J31" i="39"/>
  <c r="AC12" i="40"/>
  <c r="W12" i="40"/>
  <c r="S12" i="40"/>
  <c r="R22" i="31"/>
  <c r="B20" i="31"/>
  <c r="B21" i="31" s="1"/>
  <c r="G23" i="43"/>
  <c r="C7" i="39"/>
  <c r="C67" i="39" s="1"/>
  <c r="C7" i="40"/>
  <c r="C63" i="40" s="1"/>
  <c r="C7" i="35"/>
  <c r="C48" i="35" s="1"/>
  <c r="C7" i="37"/>
  <c r="C52" i="37" s="1"/>
  <c r="F3" i="35"/>
  <c r="K7" i="1"/>
  <c r="K9" i="1"/>
  <c r="M9" i="1" s="1"/>
  <c r="K11" i="1"/>
  <c r="M11" i="1" s="1"/>
  <c r="K13" i="1"/>
  <c r="M13" i="1" s="1"/>
  <c r="E1" i="73"/>
  <c r="K1" i="73" s="1"/>
  <c r="G22" i="11"/>
  <c r="G41" i="11"/>
  <c r="F34" i="11"/>
  <c r="C42" i="1"/>
  <c r="C13" i="12" s="1"/>
  <c r="B83" i="43"/>
  <c r="C15" i="40"/>
  <c r="B84" i="43"/>
  <c r="C17" i="40"/>
  <c r="B94" i="43"/>
  <c r="B73" i="43"/>
  <c r="B51" i="43"/>
  <c r="B62" i="43"/>
  <c r="B87" i="43"/>
  <c r="C23" i="40"/>
  <c r="B88" i="43"/>
  <c r="C25" i="40"/>
  <c r="B100" i="43"/>
  <c r="B77" i="43"/>
  <c r="B57" i="43"/>
  <c r="B68" i="43"/>
  <c r="M47" i="9"/>
  <c r="C7" i="34"/>
  <c r="C59" i="34"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F34" i="15"/>
  <c r="E19" i="68"/>
  <c r="G22" i="68"/>
  <c r="G41" i="68"/>
  <c r="E19" i="69"/>
  <c r="G22" i="69"/>
  <c r="K1" i="12"/>
  <c r="F11" i="12"/>
  <c r="C23" i="12"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U14"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S29" i="37"/>
  <c r="S33" i="37"/>
  <c r="S37" i="37"/>
  <c r="AB13" i="37"/>
  <c r="U13" i="37"/>
  <c r="AB25" i="37"/>
  <c r="U25" i="37"/>
  <c r="AB27" i="37"/>
  <c r="U27" i="37"/>
  <c r="AB8" i="35"/>
  <c r="S14" i="35"/>
  <c r="S18" i="35"/>
  <c r="S23" i="35"/>
  <c r="U24" i="35"/>
  <c r="S28" i="35"/>
  <c r="S32" i="35"/>
  <c r="S36" i="35"/>
  <c r="J24" i="35"/>
  <c r="F24" i="35"/>
  <c r="C7" i="36"/>
  <c r="C46" i="36" s="1"/>
  <c r="S10" i="36"/>
  <c r="S26" i="36"/>
  <c r="S30" i="36"/>
  <c r="S34" i="36"/>
  <c r="J9" i="36"/>
  <c r="F9" i="36"/>
  <c r="AB12" i="36"/>
  <c r="U12" i="36"/>
  <c r="AB12" i="39"/>
  <c r="U12" i="39"/>
  <c r="AB32" i="39"/>
  <c r="U32" i="39"/>
  <c r="AC34" i="39"/>
  <c r="W34" i="39"/>
  <c r="AB43" i="39"/>
  <c r="U43" i="39"/>
  <c r="W8" i="40"/>
  <c r="AC8" i="40"/>
  <c r="AA8" i="40"/>
  <c r="AB11" i="40"/>
  <c r="U11" i="40"/>
  <c r="U13"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8" i="39"/>
  <c r="S42" i="39"/>
  <c r="AC19" i="40"/>
  <c r="W19" i="40"/>
  <c r="AC21" i="40"/>
  <c r="W21" i="40"/>
  <c r="AC23" i="40"/>
  <c r="W23" i="40"/>
  <c r="AC25" i="40"/>
  <c r="W25" i="40"/>
  <c r="AB36" i="40"/>
  <c r="U36" i="40"/>
  <c r="AC37" i="40"/>
  <c r="W37" i="40"/>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4" i="40"/>
  <c r="S15" i="40"/>
  <c r="S17" i="40"/>
  <c r="J30" i="40"/>
  <c r="F30" i="40"/>
  <c r="S31" i="40"/>
  <c r="U32" i="40"/>
  <c r="S35" i="40"/>
  <c r="J13" i="40"/>
  <c r="F13" i="40"/>
  <c r="J27" i="40"/>
  <c r="F27" i="40"/>
  <c r="J32" i="40"/>
  <c r="F32" i="40"/>
  <c r="AB39" i="40"/>
  <c r="U39" i="40"/>
  <c r="E9" i="43"/>
  <c r="E8" i="43"/>
  <c r="E11" i="43"/>
  <c r="E10" i="43"/>
  <c r="N1" i="43"/>
  <c r="M2" i="43"/>
  <c r="S2" i="43"/>
  <c r="N370" i="46"/>
  <c r="B116" i="43"/>
  <c r="N94" i="46"/>
  <c r="N3" i="43"/>
  <c r="M4" i="43"/>
  <c r="S4" i="43"/>
  <c r="N5" i="43"/>
  <c r="N6" i="43"/>
  <c r="N7" i="43"/>
  <c r="Z7" i="43"/>
  <c r="M8" i="43"/>
  <c r="M9" i="43"/>
  <c r="N10" i="43"/>
  <c r="N11" i="43"/>
  <c r="N12" i="43"/>
  <c r="C21" i="43"/>
  <c r="E21" i="43"/>
  <c r="H21" i="43"/>
  <c r="J21" i="43"/>
  <c r="L21" i="43"/>
  <c r="N21" i="43"/>
  <c r="F26" i="43"/>
  <c r="D26" i="43" s="1"/>
  <c r="C25" i="43" s="1"/>
  <c r="H26" i="43"/>
  <c r="M32" i="43"/>
  <c r="O32" i="43"/>
  <c r="Q32" i="43"/>
  <c r="F37" i="43"/>
  <c r="F38" i="43"/>
  <c r="F39" i="43"/>
  <c r="H50" i="43"/>
  <c r="H52" i="43"/>
  <c r="H53" i="43"/>
  <c r="H56" i="43"/>
  <c r="H58" i="43"/>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C6" i="43" s="1"/>
  <c r="M6" i="43"/>
  <c r="M7" i="43"/>
  <c r="N8" i="43"/>
  <c r="N9" i="43"/>
  <c r="M10" i="43"/>
  <c r="M11" i="43"/>
  <c r="N32" i="43"/>
  <c r="F40" i="43"/>
  <c r="F41" i="43"/>
  <c r="F42" i="43"/>
  <c r="H51" i="43"/>
  <c r="H54" i="43"/>
  <c r="H55" i="43"/>
  <c r="F61"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P11" i="79"/>
  <c r="P13" i="79"/>
  <c r="P15" i="79"/>
  <c r="H79" i="43"/>
  <c r="H94" i="43"/>
  <c r="H97" i="43"/>
  <c r="H98" i="43"/>
  <c r="V20" i="71"/>
  <c r="E19" i="71"/>
  <c r="E18" i="71" s="1"/>
  <c r="E17" i="71" s="1"/>
  <c r="E16" i="71" s="1"/>
  <c r="T24" i="71"/>
  <c r="D24" i="71"/>
  <c r="U24" i="71" s="1"/>
  <c r="C23" i="71"/>
  <c r="P25" i="79"/>
  <c r="T25" i="79"/>
  <c r="W25" i="79" s="1"/>
  <c r="P27" i="79"/>
  <c r="P29" i="79"/>
  <c r="P31" i="79"/>
  <c r="P33" i="79"/>
  <c r="P35" i="79"/>
  <c r="Y24" i="71"/>
  <c r="Z24" i="71" s="1"/>
  <c r="E30" i="71"/>
  <c r="E31" i="71" s="1"/>
  <c r="E32" i="71" s="1"/>
  <c r="U32" i="71" s="1"/>
  <c r="AA29" i="71"/>
  <c r="X29" i="71"/>
  <c r="P26" i="79"/>
  <c r="P28" i="79"/>
  <c r="P30" i="79"/>
  <c r="P32" i="79"/>
  <c r="P34" i="79"/>
  <c r="B23" i="71"/>
  <c r="B22" i="71" s="1"/>
  <c r="B21" i="71" s="1"/>
  <c r="B20" i="71" s="1"/>
  <c r="C26" i="71"/>
  <c r="D26" i="71" s="1"/>
  <c r="B27" i="71"/>
  <c r="B26" i="71" s="1"/>
  <c r="AA28" i="71"/>
  <c r="C31" i="71"/>
  <c r="D30" i="71"/>
  <c r="C35" i="71"/>
  <c r="D34" i="71"/>
  <c r="C39" i="71"/>
  <c r="D38" i="71"/>
  <c r="C43" i="71"/>
  <c r="D42" i="71"/>
  <c r="C47" i="71"/>
  <c r="D47" i="71" s="1"/>
  <c r="D46" i="71"/>
  <c r="Y29" i="71"/>
  <c r="Z29" i="71" s="1"/>
  <c r="Y33" i="71"/>
  <c r="Z33" i="71" s="1"/>
  <c r="AA33" i="71"/>
  <c r="Y37" i="71"/>
  <c r="Z37" i="71" s="1"/>
  <c r="AA37" i="71"/>
  <c r="C55" i="71"/>
  <c r="D54" i="71"/>
  <c r="P67" i="71"/>
  <c r="E66" i="71"/>
  <c r="X33" i="71"/>
  <c r="X37" i="71"/>
  <c r="C51" i="71"/>
  <c r="D50" i="71"/>
  <c r="C59" i="71"/>
  <c r="D58" i="71"/>
  <c r="C63" i="71"/>
  <c r="D62" i="71"/>
  <c r="Q66" i="71"/>
  <c r="Q65" i="71"/>
  <c r="Q67" i="71"/>
  <c r="N68" i="71"/>
  <c r="P68" i="71"/>
  <c r="U68" i="71"/>
  <c r="B66" i="71"/>
  <c r="C67" i="71"/>
  <c r="D68" i="71"/>
  <c r="O68" i="71"/>
  <c r="Q68" i="71"/>
  <c r="D72" i="71"/>
  <c r="D76" i="71"/>
  <c r="D80" i="71"/>
  <c r="J1" i="73"/>
  <c r="M9" i="67"/>
  <c r="F7" i="67"/>
  <c r="F43" i="67"/>
  <c r="C36" i="68"/>
  <c r="F13" i="67"/>
  <c r="F6" i="73"/>
  <c r="F40" i="15"/>
  <c r="F8" i="67"/>
  <c r="F41" i="67"/>
  <c r="F42" i="15"/>
  <c r="M6" i="67"/>
  <c r="F37" i="67"/>
  <c r="L47" i="67"/>
  <c r="F35" i="67"/>
  <c r="D9" i="68"/>
  <c r="F8" i="15"/>
  <c r="F27" i="68"/>
  <c r="M28" i="15"/>
  <c r="M26" i="67"/>
  <c r="M29" i="67"/>
  <c r="F3" i="73"/>
  <c r="M23" i="15"/>
  <c r="M21" i="67"/>
  <c r="J15" i="15"/>
  <c r="F9" i="15"/>
  <c r="M27" i="15"/>
  <c r="M27" i="67"/>
  <c r="F42" i="67"/>
  <c r="C76" i="15"/>
  <c r="L48" i="15"/>
  <c r="M8" i="67"/>
  <c r="M22" i="15"/>
  <c r="F5" i="73"/>
  <c r="F38" i="67"/>
  <c r="F4" i="73"/>
  <c r="C76" i="67"/>
  <c r="F16" i="67"/>
  <c r="F26" i="67"/>
  <c r="J15" i="67"/>
  <c r="F26" i="15"/>
  <c r="L47" i="15"/>
  <c r="F6" i="67"/>
  <c r="F7" i="73"/>
  <c r="M23" i="67"/>
  <c r="M6" i="15"/>
  <c r="L48" i="67"/>
  <c r="F13" i="15"/>
  <c r="F36" i="67"/>
  <c r="M8" i="15"/>
  <c r="F37" i="15"/>
  <c r="M24" i="15"/>
  <c r="M28" i="67"/>
  <c r="AZ16" i="3" l="1"/>
  <c r="AZ551" i="3"/>
  <c r="AZ519" i="3"/>
  <c r="AZ487" i="3"/>
  <c r="AZ24" i="3"/>
  <c r="F45" i="68"/>
  <c r="C29" i="68"/>
  <c r="D27" i="68" s="1"/>
  <c r="C47" i="68"/>
  <c r="D45" i="68" s="1"/>
  <c r="AB30" i="21"/>
  <c r="U30" i="21"/>
  <c r="AZ20" i="3"/>
  <c r="AB12" i="35"/>
  <c r="U12" i="35"/>
  <c r="AB14" i="37"/>
  <c r="U14" i="37"/>
  <c r="AB44" i="21"/>
  <c r="U44" i="21"/>
  <c r="AB26" i="35"/>
  <c r="U26" i="35"/>
  <c r="F7" i="33"/>
  <c r="D71" i="71"/>
  <c r="C70" i="71"/>
  <c r="D70" i="71" s="1"/>
  <c r="S39" i="37"/>
  <c r="AA39" i="37"/>
  <c r="AA13" i="37"/>
  <c r="S13" i="37"/>
  <c r="D120" i="9"/>
  <c r="D8" i="53"/>
  <c r="C8" i="74"/>
  <c r="D21" i="53"/>
  <c r="B39" i="72" s="1"/>
  <c r="U40" i="40"/>
  <c r="AB40" i="40"/>
  <c r="W34" i="36"/>
  <c r="AC34" i="36"/>
  <c r="W12" i="36"/>
  <c r="AC12" i="36"/>
  <c r="BL5" i="3"/>
  <c r="C31" i="12"/>
  <c r="W14" i="33"/>
  <c r="AC14" i="33"/>
  <c r="D126" i="9"/>
  <c r="D19" i="53"/>
  <c r="AB38" i="40"/>
  <c r="U38" i="40"/>
  <c r="AC36" i="35"/>
  <c r="W36" i="35"/>
  <c r="AA26" i="35"/>
  <c r="S26" i="35"/>
  <c r="AA25" i="37"/>
  <c r="S25" i="37"/>
  <c r="W30" i="34"/>
  <c r="AC30" i="34"/>
  <c r="C12" i="12"/>
  <c r="D10" i="49"/>
  <c r="E4" i="4"/>
  <c r="B5" i="62" s="1"/>
  <c r="B73" i="72" s="1"/>
  <c r="D11" i="49"/>
  <c r="C4" i="4"/>
  <c r="F71" i="67"/>
  <c r="F50" i="67"/>
  <c r="M7" i="67"/>
  <c r="J6" i="67" s="1"/>
  <c r="J20" i="67"/>
  <c r="C27" i="67"/>
  <c r="F63" i="67"/>
  <c r="C62" i="67" s="1"/>
  <c r="C34" i="67"/>
  <c r="F65" i="67"/>
  <c r="F69" i="67"/>
  <c r="L56" i="67"/>
  <c r="I54" i="67"/>
  <c r="C27" i="15"/>
  <c r="N59" i="15"/>
  <c r="L59" i="15"/>
  <c r="L58" i="15"/>
  <c r="M59" i="15"/>
  <c r="Q71" i="15"/>
  <c r="I1" i="73"/>
  <c r="B39" i="1" s="1"/>
  <c r="C9" i="68"/>
  <c r="F51" i="67"/>
  <c r="F64" i="67"/>
  <c r="F66" i="67"/>
  <c r="N59" i="67"/>
  <c r="L59" i="67"/>
  <c r="L58" i="67"/>
  <c r="M59" i="67"/>
  <c r="Q71" i="67"/>
  <c r="F65" i="15"/>
  <c r="F51" i="15"/>
  <c r="F68" i="15"/>
  <c r="L57" i="15"/>
  <c r="L56" i="15"/>
  <c r="J57" i="15"/>
  <c r="J55" i="15" s="1"/>
  <c r="J58" i="15" s="1"/>
  <c r="Q50" i="15" s="1"/>
  <c r="J53" i="15"/>
  <c r="I54" i="15"/>
  <c r="L60" i="15"/>
  <c r="C60" i="71"/>
  <c r="D59" i="71"/>
  <c r="C52" i="71"/>
  <c r="D51" i="71"/>
  <c r="C56" i="71"/>
  <c r="D55" i="71"/>
  <c r="G21" i="43"/>
  <c r="C20" i="43" s="1"/>
  <c r="D5" i="43" s="1"/>
  <c r="AA32" i="40"/>
  <c r="S32" i="40"/>
  <c r="AA27" i="40"/>
  <c r="S27" i="40"/>
  <c r="AA13" i="40"/>
  <c r="S13" i="40"/>
  <c r="AA30" i="40"/>
  <c r="S30" i="40"/>
  <c r="AC9" i="36"/>
  <c r="W9" i="36"/>
  <c r="AA24" i="35"/>
  <c r="S24" i="35"/>
  <c r="D59" i="34"/>
  <c r="E59" i="34" s="1"/>
  <c r="F59" i="34" s="1"/>
  <c r="G59" i="34" s="1"/>
  <c r="H59" i="34" s="1"/>
  <c r="I59" i="34" s="1"/>
  <c r="J59" i="34" s="1"/>
  <c r="K59" i="34" s="1"/>
  <c r="L59" i="34" s="1"/>
  <c r="M59" i="34" s="1"/>
  <c r="N59" i="34" s="1"/>
  <c r="O59" i="34" s="1"/>
  <c r="M7" i="1"/>
  <c r="D52" i="37"/>
  <c r="E52" i="37" s="1"/>
  <c r="F52" i="37" s="1"/>
  <c r="G52" i="37" s="1"/>
  <c r="H52" i="37" s="1"/>
  <c r="I52" i="37" s="1"/>
  <c r="J52" i="37" s="1"/>
  <c r="K52" i="37" s="1"/>
  <c r="L52" i="37" s="1"/>
  <c r="M52" i="37" s="1"/>
  <c r="N52" i="37" s="1"/>
  <c r="O52" i="37" s="1"/>
  <c r="C65" i="40"/>
  <c r="D63" i="40"/>
  <c r="A1" i="79"/>
  <c r="P29" i="43"/>
  <c r="P25" i="43"/>
  <c r="O23" i="43"/>
  <c r="C23" i="43"/>
  <c r="P28" i="43"/>
  <c r="B66" i="40" s="1"/>
  <c r="P27" i="43"/>
  <c r="P26" i="43"/>
  <c r="AC31" i="39"/>
  <c r="W31" i="39"/>
  <c r="AA13" i="39"/>
  <c r="S13" i="39"/>
  <c r="AB13" i="39"/>
  <c r="U13" i="39"/>
  <c r="AA35" i="35"/>
  <c r="S35" i="35"/>
  <c r="C28" i="15"/>
  <c r="AC47" i="34"/>
  <c r="W47" i="34"/>
  <c r="AC45" i="34"/>
  <c r="W45" i="34"/>
  <c r="AC31" i="34"/>
  <c r="W31" i="34"/>
  <c r="AC29" i="34"/>
  <c r="W29" i="34"/>
  <c r="C28" i="67"/>
  <c r="AQ10" i="1"/>
  <c r="AR10" i="1"/>
  <c r="T10" i="1"/>
  <c r="AA44" i="39"/>
  <c r="S44" i="39"/>
  <c r="AB44" i="39"/>
  <c r="U44" i="39"/>
  <c r="S36" i="39"/>
  <c r="AA36" i="39"/>
  <c r="AB24" i="36"/>
  <c r="U24" i="36"/>
  <c r="AB13" i="35"/>
  <c r="U13" i="35"/>
  <c r="AB11" i="35"/>
  <c r="U11" i="35"/>
  <c r="AC40" i="37"/>
  <c r="W40" i="37"/>
  <c r="AA38" i="37"/>
  <c r="S38" i="37"/>
  <c r="AA13" i="33"/>
  <c r="S13" i="33"/>
  <c r="AC44" i="33"/>
  <c r="W44" i="33"/>
  <c r="AA31" i="21"/>
  <c r="S31" i="21"/>
  <c r="AA29" i="21"/>
  <c r="S29" i="21"/>
  <c r="AA27" i="21"/>
  <c r="S27" i="21"/>
  <c r="J53" i="67"/>
  <c r="C48" i="69"/>
  <c r="C30" i="69"/>
  <c r="F48" i="69"/>
  <c r="F48" i="68"/>
  <c r="C30" i="68"/>
  <c r="C48" i="68"/>
  <c r="AC27" i="34"/>
  <c r="W27" i="34"/>
  <c r="AA7" i="33"/>
  <c r="R48" i="33" s="1"/>
  <c r="S7" i="33"/>
  <c r="J57" i="67"/>
  <c r="J55" i="67" s="1"/>
  <c r="J58" i="67" s="1"/>
  <c r="Q50" i="67" s="1"/>
  <c r="K14" i="1"/>
  <c r="M14" i="1" s="1"/>
  <c r="E30" i="6"/>
  <c r="F37" i="6"/>
  <c r="G27" i="6"/>
  <c r="G31" i="6" s="1"/>
  <c r="C9" i="69"/>
  <c r="O67" i="71"/>
  <c r="D67" i="71"/>
  <c r="C66" i="71"/>
  <c r="C64" i="71"/>
  <c r="D63" i="71"/>
  <c r="D23" i="71"/>
  <c r="C22" i="71"/>
  <c r="H69" i="43"/>
  <c r="G69" i="43" s="1"/>
  <c r="H68" i="43"/>
  <c r="G68" i="43" s="1"/>
  <c r="H67" i="43"/>
  <c r="G67" i="43" s="1"/>
  <c r="H66" i="43"/>
  <c r="G66" i="43" s="1"/>
  <c r="H63" i="43"/>
  <c r="G63" i="43" s="1"/>
  <c r="H62" i="43"/>
  <c r="G62" i="43" s="1"/>
  <c r="H61" i="43"/>
  <c r="G61" i="43" s="1"/>
  <c r="H65" i="43"/>
  <c r="G65" i="43" s="1"/>
  <c r="H64" i="43"/>
  <c r="G64" i="43" s="1"/>
  <c r="N65" i="71"/>
  <c r="N66" i="71"/>
  <c r="P65" i="71"/>
  <c r="P66" i="71"/>
  <c r="C44" i="71"/>
  <c r="D43" i="71"/>
  <c r="C40" i="71"/>
  <c r="D39" i="71"/>
  <c r="C36" i="71"/>
  <c r="D35" i="71"/>
  <c r="C32" i="71"/>
  <c r="D31" i="71"/>
  <c r="S20" i="71"/>
  <c r="B19" i="71"/>
  <c r="B18" i="71" s="1"/>
  <c r="B17" i="71" s="1"/>
  <c r="B16" i="71" s="1"/>
  <c r="V16" i="71"/>
  <c r="E15" i="71"/>
  <c r="E14" i="71" s="1"/>
  <c r="E13" i="71" s="1"/>
  <c r="E12"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9" i="36"/>
  <c r="S9" i="36"/>
  <c r="D46" i="36"/>
  <c r="E46" i="36" s="1"/>
  <c r="F46" i="36" s="1"/>
  <c r="G46" i="36" s="1"/>
  <c r="H46" i="36" s="1"/>
  <c r="I46" i="36" s="1"/>
  <c r="J46" i="36" s="1"/>
  <c r="K46" i="36" s="1"/>
  <c r="L46" i="36" s="1"/>
  <c r="M46" i="36" s="1"/>
  <c r="N46" i="36" s="1"/>
  <c r="O46" i="36" s="1"/>
  <c r="AC24" i="35"/>
  <c r="W24" i="35"/>
  <c r="D58" i="21"/>
  <c r="E58" i="21" s="1"/>
  <c r="F58" i="21" s="1"/>
  <c r="G58" i="21" s="1"/>
  <c r="H58" i="21" s="1"/>
  <c r="I58" i="21" s="1"/>
  <c r="J58" i="21" s="1"/>
  <c r="K58" i="21" s="1"/>
  <c r="L58" i="21" s="1"/>
  <c r="M58" i="21" s="1"/>
  <c r="N58" i="21" s="1"/>
  <c r="O58" i="21" s="1"/>
  <c r="J7" i="21"/>
  <c r="F62" i="15"/>
  <c r="C36" i="11"/>
  <c r="D48" i="35"/>
  <c r="E48" i="35" s="1"/>
  <c r="F48" i="35" s="1"/>
  <c r="G48" i="35" s="1"/>
  <c r="H48" i="35" s="1"/>
  <c r="I48" i="35" s="1"/>
  <c r="J48" i="35" s="1"/>
  <c r="K48" i="35" s="1"/>
  <c r="L48" i="35" s="1"/>
  <c r="M48" i="35" s="1"/>
  <c r="N48" i="35" s="1"/>
  <c r="O48" i="35" s="1"/>
  <c r="F7" i="35"/>
  <c r="C69" i="39"/>
  <c r="D67" i="39"/>
  <c r="AB31" i="39"/>
  <c r="U31" i="39"/>
  <c r="W13" i="39"/>
  <c r="AC13" i="39"/>
  <c r="AC35" i="35"/>
  <c r="W35" i="35"/>
  <c r="E38" i="77"/>
  <c r="E39" i="77" s="1"/>
  <c r="C40" i="77" s="1"/>
  <c r="E29" i="77"/>
  <c r="E26" i="77"/>
  <c r="C24" i="12"/>
  <c r="AA47" i="34"/>
  <c r="S47" i="34"/>
  <c r="AA45" i="34"/>
  <c r="S45" i="34"/>
  <c r="AA31" i="34"/>
  <c r="S31" i="34"/>
  <c r="AA29" i="34"/>
  <c r="S29" i="34"/>
  <c r="C30" i="11"/>
  <c r="C48" i="11"/>
  <c r="W44" i="39"/>
  <c r="AC44" i="39"/>
  <c r="AC36" i="39"/>
  <c r="W36" i="39"/>
  <c r="AB36" i="39"/>
  <c r="U36" i="39"/>
  <c r="S24" i="36"/>
  <c r="AA24" i="36"/>
  <c r="AA13" i="35"/>
  <c r="S13" i="35"/>
  <c r="AA11" i="35"/>
  <c r="S11" i="35"/>
  <c r="AA40" i="37"/>
  <c r="S40" i="37"/>
  <c r="AB38" i="37"/>
  <c r="U38" i="37"/>
  <c r="AC38" i="37"/>
  <c r="W38" i="37"/>
  <c r="AC13" i="33"/>
  <c r="W13" i="33"/>
  <c r="AC46" i="33"/>
  <c r="W46" i="33"/>
  <c r="AA27" i="34"/>
  <c r="S27" i="34"/>
  <c r="AA13" i="34"/>
  <c r="S13" i="34"/>
  <c r="H110" i="9"/>
  <c r="D124" i="9"/>
  <c r="D16" i="53"/>
  <c r="C77" i="9"/>
  <c r="C74" i="9" s="1"/>
  <c r="AQ12" i="1"/>
  <c r="AR12" i="1"/>
  <c r="T12" i="1"/>
  <c r="AQ8" i="1"/>
  <c r="AR8" i="1"/>
  <c r="T8" i="1"/>
  <c r="H7" i="33"/>
  <c r="J7" i="33"/>
  <c r="D33" i="43"/>
  <c r="D1" i="43" s="1"/>
  <c r="F19" i="6"/>
  <c r="F41" i="6" s="1"/>
  <c r="BB13" i="3"/>
  <c r="H13" i="3"/>
  <c r="I5" i="3"/>
  <c r="C16" i="67"/>
  <c r="D5" i="73"/>
  <c r="F38" i="15"/>
  <c r="M22" i="67"/>
  <c r="M9" i="15"/>
  <c r="F6" i="15"/>
  <c r="M26" i="15"/>
  <c r="M24" i="67"/>
  <c r="D3" i="73"/>
  <c r="C17" i="67"/>
  <c r="F40" i="67"/>
  <c r="D7" i="73"/>
  <c r="F9" i="67"/>
  <c r="F16" i="15"/>
  <c r="D6" i="73"/>
  <c r="D4" i="73"/>
  <c r="C14" i="67"/>
  <c r="F36" i="15"/>
  <c r="E41" i="6" l="1"/>
  <c r="F43" i="6"/>
  <c r="J7" i="37"/>
  <c r="F68" i="67"/>
  <c r="C6" i="67"/>
  <c r="C33" i="67" s="1"/>
  <c r="J7" i="35"/>
  <c r="H7" i="35"/>
  <c r="F7" i="21"/>
  <c r="H7" i="21"/>
  <c r="H7" i="36"/>
  <c r="F7" i="36"/>
  <c r="B70" i="39"/>
  <c r="F7" i="34"/>
  <c r="F64" i="15"/>
  <c r="F66" i="15"/>
  <c r="D127" i="9"/>
  <c r="D13" i="52" s="1"/>
  <c r="D12" i="52"/>
  <c r="D121" i="9"/>
  <c r="D7" i="52" s="1"/>
  <c r="D6" i="52"/>
  <c r="K120" i="9"/>
  <c r="A18" i="62" s="1"/>
  <c r="B64" i="72" s="1"/>
  <c r="E32" i="77"/>
  <c r="F7" i="37"/>
  <c r="H7" i="37"/>
  <c r="B38" i="72"/>
  <c r="D20" i="53"/>
  <c r="B40" i="72" s="1"/>
  <c r="B24" i="72"/>
  <c r="D9" i="53"/>
  <c r="B25" i="72" s="1"/>
  <c r="K4" i="4"/>
  <c r="B46" i="48" s="1"/>
  <c r="B4" i="72" s="1"/>
  <c r="B4" i="62"/>
  <c r="B71" i="72" s="1"/>
  <c r="C49" i="67"/>
  <c r="C61" i="67" s="1"/>
  <c r="C5" i="43"/>
  <c r="C18" i="67"/>
  <c r="C15" i="67"/>
  <c r="C41" i="77"/>
  <c r="B2" i="77"/>
  <c r="B3" i="77" s="1"/>
  <c r="I4" i="6"/>
  <c r="BA13" i="3"/>
  <c r="BB5" i="3"/>
  <c r="F36" i="6"/>
  <c r="G38" i="6" s="1"/>
  <c r="E19" i="6"/>
  <c r="AC7" i="33"/>
  <c r="V48" i="33" s="1"/>
  <c r="I48" i="33" s="1"/>
  <c r="W7" i="33"/>
  <c r="D125" i="9"/>
  <c r="D11" i="52" s="1"/>
  <c r="D10" i="52"/>
  <c r="S7" i="35"/>
  <c r="AA7" i="35"/>
  <c r="R38" i="35" s="1"/>
  <c r="W7" i="21"/>
  <c r="AC7" i="21"/>
  <c r="V48" i="21" s="1"/>
  <c r="I48" i="21" s="1"/>
  <c r="J7" i="36"/>
  <c r="T32" i="71"/>
  <c r="D32" i="71"/>
  <c r="T36" i="71"/>
  <c r="D36" i="71"/>
  <c r="T40" i="71"/>
  <c r="D40" i="71"/>
  <c r="T44" i="71"/>
  <c r="D44" i="71"/>
  <c r="M64" i="43"/>
  <c r="N64" i="43" s="1"/>
  <c r="K64" i="43"/>
  <c r="K61" i="43"/>
  <c r="J61" i="43" s="1"/>
  <c r="M61" i="43"/>
  <c r="N61" i="43" s="1"/>
  <c r="K63" i="43"/>
  <c r="M63" i="43"/>
  <c r="N63" i="43" s="1"/>
  <c r="K67" i="43"/>
  <c r="M67" i="43"/>
  <c r="N67" i="43" s="1"/>
  <c r="M69" i="43"/>
  <c r="N69" i="43" s="1"/>
  <c r="K69" i="43"/>
  <c r="J69" i="43" s="1"/>
  <c r="T64" i="71"/>
  <c r="D64" i="71"/>
  <c r="R49" i="33"/>
  <c r="E48" i="33"/>
  <c r="F1" i="67"/>
  <c r="Q52" i="67"/>
  <c r="W7" i="37"/>
  <c r="AC7" i="37"/>
  <c r="V42" i="37" s="1"/>
  <c r="I42" i="37" s="1"/>
  <c r="J7" i="34"/>
  <c r="H7" i="34"/>
  <c r="F1" i="15"/>
  <c r="Q52" i="15"/>
  <c r="Q61" i="67"/>
  <c r="Q74" i="67"/>
  <c r="J18" i="67"/>
  <c r="J19" i="67"/>
  <c r="M11" i="67"/>
  <c r="J10" i="67" s="1"/>
  <c r="J5" i="67" s="1"/>
  <c r="F11" i="15"/>
  <c r="C53" i="15" s="1"/>
  <c r="F11" i="67"/>
  <c r="M11" i="15"/>
  <c r="J10" i="15" s="1"/>
  <c r="Q61" i="15"/>
  <c r="Q74" i="15"/>
  <c r="G13" i="3"/>
  <c r="H5" i="3"/>
  <c r="U7" i="33"/>
  <c r="AB7" i="33"/>
  <c r="T48" i="33" s="1"/>
  <c r="G48" i="33" s="1"/>
  <c r="D17" i="53"/>
  <c r="B36" i="72" s="1"/>
  <c r="B34" i="72"/>
  <c r="D18" i="53"/>
  <c r="B35" i="72" s="1"/>
  <c r="C7" i="74"/>
  <c r="D69" i="39"/>
  <c r="E67" i="39"/>
  <c r="W7" i="35"/>
  <c r="AC7" i="35"/>
  <c r="V38" i="35" s="1"/>
  <c r="I38" i="35" s="1"/>
  <c r="AB7" i="35"/>
  <c r="T38" i="35" s="1"/>
  <c r="G38" i="35" s="1"/>
  <c r="U7" i="35"/>
  <c r="S7" i="21"/>
  <c r="AA7" i="21"/>
  <c r="R48" i="21" s="1"/>
  <c r="AB7" i="21"/>
  <c r="T48" i="21" s="1"/>
  <c r="G48" i="21" s="1"/>
  <c r="U7" i="21"/>
  <c r="U7" i="36"/>
  <c r="AB7" i="36"/>
  <c r="T36" i="36" s="1"/>
  <c r="G36" i="36" s="1"/>
  <c r="AA7" i="36"/>
  <c r="R36" i="36" s="1"/>
  <c r="S7" i="36"/>
  <c r="C118" i="43"/>
  <c r="D116" i="43" s="1"/>
  <c r="V12" i="71"/>
  <c r="E11" i="71"/>
  <c r="E10" i="71" s="1"/>
  <c r="E9" i="71" s="1"/>
  <c r="E8" i="71" s="1"/>
  <c r="E7" i="71" s="1"/>
  <c r="E6" i="71" s="1"/>
  <c r="E5" i="71" s="1"/>
  <c r="S16" i="71"/>
  <c r="B15" i="71"/>
  <c r="B14" i="71" s="1"/>
  <c r="B13" i="71" s="1"/>
  <c r="B12" i="71" s="1"/>
  <c r="M65" i="43"/>
  <c r="N65" i="43" s="1"/>
  <c r="K65" i="43"/>
  <c r="K62" i="43"/>
  <c r="M62" i="43"/>
  <c r="N62" i="43" s="1"/>
  <c r="K66" i="43"/>
  <c r="M66" i="43"/>
  <c r="N66" i="43" s="1"/>
  <c r="K68" i="43"/>
  <c r="J68" i="43" s="1"/>
  <c r="D68" i="43" s="1"/>
  <c r="M68" i="43"/>
  <c r="N68" i="43" s="1"/>
  <c r="D22" i="71"/>
  <c r="C21" i="71"/>
  <c r="O66" i="71"/>
  <c r="D66" i="71"/>
  <c r="O65" i="71"/>
  <c r="D65" i="40"/>
  <c r="E63" i="40"/>
  <c r="S7" i="37"/>
  <c r="AA7" i="37"/>
  <c r="R42" i="37" s="1"/>
  <c r="AB7" i="37"/>
  <c r="T42" i="37" s="1"/>
  <c r="G42" i="37" s="1"/>
  <c r="U7" i="37"/>
  <c r="S7" i="34"/>
  <c r="AA7" i="34"/>
  <c r="R49" i="34" s="1"/>
  <c r="T56" i="71"/>
  <c r="D56" i="71"/>
  <c r="T52" i="71"/>
  <c r="D52" i="71"/>
  <c r="T60" i="71"/>
  <c r="D60" i="71"/>
  <c r="Q66" i="15"/>
  <c r="Q57" i="15"/>
  <c r="Q60" i="67"/>
  <c r="Q73" i="67"/>
  <c r="Q60" i="15"/>
  <c r="Q73" i="15"/>
  <c r="AE6" i="1"/>
  <c r="G1" i="73"/>
  <c r="F44" i="6" l="1"/>
  <c r="C32" i="67"/>
  <c r="C31" i="67" s="1"/>
  <c r="B40" i="1"/>
  <c r="L36" i="43" s="1"/>
  <c r="C19" i="67"/>
  <c r="C20" i="67" s="1"/>
  <c r="C26" i="67" s="1"/>
  <c r="J24" i="67"/>
  <c r="J26" i="67"/>
  <c r="J29" i="67" s="1"/>
  <c r="G46" i="37"/>
  <c r="H46" i="37" s="1"/>
  <c r="G47" i="37"/>
  <c r="H47" i="37" s="1"/>
  <c r="D21" i="71"/>
  <c r="C20" i="71"/>
  <c r="J65" i="43"/>
  <c r="D65" i="43"/>
  <c r="S12" i="71"/>
  <c r="B11" i="71"/>
  <c r="B10" i="71" s="1"/>
  <c r="B9" i="71" s="1"/>
  <c r="B8" i="71" s="1"/>
  <c r="B7" i="71" s="1"/>
  <c r="B6" i="71" s="1"/>
  <c r="B5" i="71" s="1"/>
  <c r="G40" i="36"/>
  <c r="H40" i="36" s="1"/>
  <c r="R49" i="21"/>
  <c r="E48" i="21"/>
  <c r="I42" i="35"/>
  <c r="J42" i="35" s="1"/>
  <c r="E69" i="39"/>
  <c r="F67" i="39"/>
  <c r="G53" i="33"/>
  <c r="H53" i="33" s="1"/>
  <c r="G52" i="33"/>
  <c r="H52" i="33" s="1"/>
  <c r="J17" i="67"/>
  <c r="AB7" i="34"/>
  <c r="T49" i="34" s="1"/>
  <c r="G49" i="34" s="1"/>
  <c r="U7" i="34"/>
  <c r="I46" i="37"/>
  <c r="J46" i="37" s="1"/>
  <c r="C49" i="33"/>
  <c r="C48" i="33"/>
  <c r="D67" i="43"/>
  <c r="J67" i="43"/>
  <c r="D63" i="43"/>
  <c r="J63" i="43"/>
  <c r="I52" i="21"/>
  <c r="J52" i="21" s="1"/>
  <c r="I53" i="21"/>
  <c r="J53" i="21" s="1"/>
  <c r="I52" i="33"/>
  <c r="J52" i="33" s="1"/>
  <c r="I53" i="33"/>
  <c r="J53" i="33" s="1"/>
  <c r="BA5" i="3"/>
  <c r="E27" i="6" s="1"/>
  <c r="AZ13" i="3"/>
  <c r="AZ5" i="3" s="1"/>
  <c r="R50" i="34"/>
  <c r="E49" i="34"/>
  <c r="R43" i="37"/>
  <c r="E42" i="37"/>
  <c r="E65" i="40"/>
  <c r="F63" i="40"/>
  <c r="D66" i="43"/>
  <c r="J66" i="43"/>
  <c r="D62" i="43"/>
  <c r="J62" i="43"/>
  <c r="E36" i="36"/>
  <c r="R37" i="36"/>
  <c r="G53" i="21"/>
  <c r="H53" i="21" s="1"/>
  <c r="G52" i="21"/>
  <c r="H52" i="21" s="1"/>
  <c r="G43" i="35"/>
  <c r="H43" i="35" s="1"/>
  <c r="G42" i="35"/>
  <c r="H42" i="35" s="1"/>
  <c r="G5" i="3"/>
  <c r="B3" i="3" s="1"/>
  <c r="E13" i="3" s="1"/>
  <c r="C53" i="67"/>
  <c r="C48" i="67" s="1"/>
  <c r="C10" i="67"/>
  <c r="C5" i="67" s="1"/>
  <c r="W7" i="34"/>
  <c r="AC7" i="34"/>
  <c r="V49" i="34" s="1"/>
  <c r="I49" i="34" s="1"/>
  <c r="E52" i="33"/>
  <c r="F52" i="33" s="1"/>
  <c r="E53" i="33"/>
  <c r="F53" i="33" s="1"/>
  <c r="J64" i="43"/>
  <c r="D64" i="43"/>
  <c r="AC7" i="36"/>
  <c r="V36" i="36" s="1"/>
  <c r="I36" i="36" s="1"/>
  <c r="G41" i="36" s="1"/>
  <c r="H41" i="36" s="1"/>
  <c r="W7" i="36"/>
  <c r="R39" i="35"/>
  <c r="E38" i="35"/>
  <c r="D3" i="34"/>
  <c r="K6" i="1"/>
  <c r="K19" i="6"/>
  <c r="E8" i="6"/>
  <c r="E13" i="6"/>
  <c r="E14" i="6"/>
  <c r="E10" i="6"/>
  <c r="E15" i="6"/>
  <c r="E11" i="6"/>
  <c r="E12" i="6"/>
  <c r="F41" i="15"/>
  <c r="M29" i="15"/>
  <c r="F43" i="15"/>
  <c r="E61" i="43" l="1"/>
  <c r="B59" i="43" s="1"/>
  <c r="C28" i="43" s="1"/>
  <c r="F22" i="11"/>
  <c r="C44" i="11" s="1"/>
  <c r="D41" i="11" s="1"/>
  <c r="F24" i="67"/>
  <c r="C24" i="67" s="1"/>
  <c r="F22" i="68"/>
  <c r="F41" i="68" s="1"/>
  <c r="F25" i="12"/>
  <c r="C26" i="12" s="1"/>
  <c r="D25" i="12" s="1"/>
  <c r="F22" i="69"/>
  <c r="F41" i="69" s="1"/>
  <c r="F24" i="15"/>
  <c r="C24" i="15" s="1"/>
  <c r="F69" i="15"/>
  <c r="F71" i="15"/>
  <c r="E56" i="40"/>
  <c r="E60" i="39"/>
  <c r="E58" i="40"/>
  <c r="E62" i="39"/>
  <c r="M19" i="6"/>
  <c r="S6" i="1"/>
  <c r="Q36" i="43"/>
  <c r="O36" i="43"/>
  <c r="M36" i="43"/>
  <c r="L37" i="43"/>
  <c r="P36" i="43"/>
  <c r="N36" i="43"/>
  <c r="E57" i="40"/>
  <c r="E61" i="39"/>
  <c r="E60" i="40"/>
  <c r="E64" i="39"/>
  <c r="E59" i="40"/>
  <c r="E63" i="39"/>
  <c r="E51" i="40"/>
  <c r="E56" i="39"/>
  <c r="E65" i="39" s="1"/>
  <c r="F27" i="6"/>
  <c r="F31" i="6" s="1"/>
  <c r="E16" i="6"/>
  <c r="C34" i="69"/>
  <c r="Q16" i="1"/>
  <c r="K16" i="1"/>
  <c r="H16" i="1"/>
  <c r="M6" i="1"/>
  <c r="E6" i="70"/>
  <c r="E2" i="70" s="1"/>
  <c r="G16" i="1"/>
  <c r="E42" i="35"/>
  <c r="F42" i="35" s="1"/>
  <c r="E43" i="35"/>
  <c r="F43" i="35" s="1"/>
  <c r="I54" i="34"/>
  <c r="J54" i="34" s="1"/>
  <c r="I53" i="34"/>
  <c r="J53" i="34" s="1"/>
  <c r="C38" i="67"/>
  <c r="E586" i="3"/>
  <c r="E584" i="3"/>
  <c r="E582" i="3"/>
  <c r="I3" i="6"/>
  <c r="J6" i="3"/>
  <c r="N6" i="3"/>
  <c r="R6" i="3"/>
  <c r="V6" i="3"/>
  <c r="Z6" i="3"/>
  <c r="AD6" i="3"/>
  <c r="AH6" i="3"/>
  <c r="AL6" i="3"/>
  <c r="AP6" i="3"/>
  <c r="E14" i="3"/>
  <c r="E17" i="3"/>
  <c r="E25" i="3"/>
  <c r="M6" i="3"/>
  <c r="Q6" i="3"/>
  <c r="U6" i="3"/>
  <c r="Y6" i="3"/>
  <c r="AE6" i="3"/>
  <c r="AI6" i="3"/>
  <c r="AM6" i="3"/>
  <c r="AQ6" i="3"/>
  <c r="E15" i="3"/>
  <c r="E19" i="3"/>
  <c r="E23"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70" i="3"/>
  <c r="E173" i="3"/>
  <c r="E177" i="3"/>
  <c r="E182" i="3"/>
  <c r="E185" i="3"/>
  <c r="E189" i="3"/>
  <c r="E193" i="3"/>
  <c r="E197" i="3"/>
  <c r="E201" i="3"/>
  <c r="E205" i="3"/>
  <c r="E209" i="3"/>
  <c r="E213" i="3"/>
  <c r="E217" i="3"/>
  <c r="E221" i="3"/>
  <c r="E225" i="3"/>
  <c r="E229" i="3"/>
  <c r="E233" i="3"/>
  <c r="E237" i="3"/>
  <c r="E241" i="3"/>
  <c r="E246" i="3"/>
  <c r="E249" i="3"/>
  <c r="E253" i="3"/>
  <c r="E257" i="3"/>
  <c r="E261" i="3"/>
  <c r="E265" i="3"/>
  <c r="E269" i="3"/>
  <c r="E273" i="3"/>
  <c r="E277" i="3"/>
  <c r="E281" i="3"/>
  <c r="E285" i="3"/>
  <c r="E289" i="3"/>
  <c r="E294" i="3"/>
  <c r="E298" i="3"/>
  <c r="E302" i="3"/>
  <c r="E306" i="3"/>
  <c r="E310" i="3"/>
  <c r="E314" i="3"/>
  <c r="E318" i="3"/>
  <c r="E322" i="3"/>
  <c r="E326" i="3"/>
  <c r="E330"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22" i="3"/>
  <c r="E26" i="3"/>
  <c r="E32" i="3"/>
  <c r="E35" i="3"/>
  <c r="E40" i="3"/>
  <c r="E43"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440" i="3"/>
  <c r="E443" i="3"/>
  <c r="E448" i="3"/>
  <c r="E451" i="3"/>
  <c r="E456" i="3"/>
  <c r="E459"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3" i="3"/>
  <c r="E587" i="3"/>
  <c r="L6" i="3"/>
  <c r="P6" i="3"/>
  <c r="T6" i="3"/>
  <c r="X6" i="3"/>
  <c r="AB6" i="3"/>
  <c r="AF6" i="3"/>
  <c r="AJ6" i="3"/>
  <c r="AN6" i="3"/>
  <c r="AR6" i="3"/>
  <c r="E18" i="3"/>
  <c r="E21" i="3"/>
  <c r="K6" i="3"/>
  <c r="O6" i="3"/>
  <c r="S6" i="3"/>
  <c r="W6" i="3"/>
  <c r="AA6" i="3"/>
  <c r="AG6" i="3"/>
  <c r="AK6" i="3"/>
  <c r="AO6" i="3"/>
  <c r="AS6" i="3"/>
  <c r="E16" i="3"/>
  <c r="E20" i="3"/>
  <c r="E27"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69" i="3"/>
  <c r="E174" i="3"/>
  <c r="E178" i="3"/>
  <c r="E181" i="3"/>
  <c r="E186" i="3"/>
  <c r="E190" i="3"/>
  <c r="E194" i="3"/>
  <c r="E198" i="3"/>
  <c r="E202" i="3"/>
  <c r="E206" i="3"/>
  <c r="E210" i="3"/>
  <c r="E214" i="3"/>
  <c r="E218" i="3"/>
  <c r="E222" i="3"/>
  <c r="E226" i="3"/>
  <c r="E230" i="3"/>
  <c r="E234" i="3"/>
  <c r="E238" i="3"/>
  <c r="E242" i="3"/>
  <c r="E245" i="3"/>
  <c r="E250" i="3"/>
  <c r="E254" i="3"/>
  <c r="E258" i="3"/>
  <c r="E262" i="3"/>
  <c r="E266" i="3"/>
  <c r="E270" i="3"/>
  <c r="E274" i="3"/>
  <c r="E278" i="3"/>
  <c r="E282" i="3"/>
  <c r="E286" i="3"/>
  <c r="E290" i="3"/>
  <c r="E293" i="3"/>
  <c r="E297" i="3"/>
  <c r="E301" i="3"/>
  <c r="E305" i="3"/>
  <c r="E309" i="3"/>
  <c r="E313" i="3"/>
  <c r="E317" i="3"/>
  <c r="E321" i="3"/>
  <c r="E325" i="3"/>
  <c r="E329"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24" i="3"/>
  <c r="E28" i="3"/>
  <c r="E31" i="3"/>
  <c r="E36" i="3"/>
  <c r="E39" i="3"/>
  <c r="E44" i="3"/>
  <c r="E47"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7" i="3"/>
  <c r="E441" i="3"/>
  <c r="E445" i="3"/>
  <c r="E449" i="3"/>
  <c r="E453" i="3"/>
  <c r="E457" i="3"/>
  <c r="E461"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436" i="3"/>
  <c r="E439" i="3"/>
  <c r="E444" i="3"/>
  <c r="E447" i="3"/>
  <c r="E452" i="3"/>
  <c r="E455"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I6" i="3"/>
  <c r="H6" i="3" s="1"/>
  <c r="C36" i="36"/>
  <c r="C37" i="36"/>
  <c r="F65" i="40"/>
  <c r="G63" i="40"/>
  <c r="E47" i="37"/>
  <c r="F47" i="37" s="1"/>
  <c r="E46" i="37"/>
  <c r="F46" i="37" s="1"/>
  <c r="E54" i="34"/>
  <c r="F54" i="34" s="1"/>
  <c r="E53" i="34"/>
  <c r="F53" i="34" s="1"/>
  <c r="E3" i="6"/>
  <c r="AH6" i="1" s="1"/>
  <c r="AY6" i="3"/>
  <c r="C49" i="21"/>
  <c r="C48" i="21"/>
  <c r="C39" i="35"/>
  <c r="M3" i="35" s="1"/>
  <c r="C38" i="35"/>
  <c r="I41" i="36"/>
  <c r="J41" i="36" s="1"/>
  <c r="I40" i="36"/>
  <c r="J40" i="36" s="1"/>
  <c r="C66" i="67"/>
  <c r="C60" i="67"/>
  <c r="C59" i="67" s="1"/>
  <c r="E41" i="36"/>
  <c r="F41" i="36" s="1"/>
  <c r="E40" i="36"/>
  <c r="F40" i="36" s="1"/>
  <c r="C41" i="43"/>
  <c r="C39" i="43"/>
  <c r="C37" i="43"/>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3" i="37"/>
  <c r="C42" i="37"/>
  <c r="C50" i="34"/>
  <c r="C49" i="34"/>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I47" i="37"/>
  <c r="J47" i="37" s="1"/>
  <c r="G53" i="34"/>
  <c r="H53" i="34" s="1"/>
  <c r="G54" i="34"/>
  <c r="H54" i="34" s="1"/>
  <c r="F69" i="39"/>
  <c r="G67" i="39"/>
  <c r="I43" i="35"/>
  <c r="J43" i="35" s="1"/>
  <c r="E52" i="21"/>
  <c r="F52" i="21" s="1"/>
  <c r="E53" i="21"/>
  <c r="F53" i="21" s="1"/>
  <c r="T20" i="71"/>
  <c r="D20" i="71"/>
  <c r="U20" i="71" s="1"/>
  <c r="C19" i="71"/>
  <c r="D10" i="68"/>
  <c r="C16" i="15"/>
  <c r="F7" i="15"/>
  <c r="C17" i="15"/>
  <c r="C26" i="11" l="1"/>
  <c r="D22" i="11" s="1"/>
  <c r="C23" i="11"/>
  <c r="F50" i="15"/>
  <c r="C49" i="15" s="1"/>
  <c r="C6" i="15"/>
  <c r="M7" i="15"/>
  <c r="J6" i="15" s="1"/>
  <c r="C24" i="68"/>
  <c r="C44" i="68"/>
  <c r="D41" i="68" s="1"/>
  <c r="C23" i="67"/>
  <c r="C29" i="67" s="1"/>
  <c r="C36" i="67" s="1"/>
  <c r="C26" i="69"/>
  <c r="D22" i="69" s="1"/>
  <c r="C26" i="68"/>
  <c r="D22" i="68" s="1"/>
  <c r="C44" i="69"/>
  <c r="D41" i="69" s="1"/>
  <c r="C10" i="68"/>
  <c r="D19" i="68"/>
  <c r="D37" i="68" s="1"/>
  <c r="C37" i="68" s="1"/>
  <c r="D19" i="71"/>
  <c r="C18" i="71"/>
  <c r="G38" i="43"/>
  <c r="I38" i="43" s="1"/>
  <c r="E38" i="43"/>
  <c r="G42" i="43"/>
  <c r="I42" i="43" s="1"/>
  <c r="E42" i="43"/>
  <c r="G39" i="43"/>
  <c r="I39" i="43" s="1"/>
  <c r="E39" i="43"/>
  <c r="D37" i="11"/>
  <c r="C37" i="11" s="1"/>
  <c r="D19" i="11"/>
  <c r="C19" i="11" s="1"/>
  <c r="D3" i="37"/>
  <c r="B3" i="37" s="1"/>
  <c r="D3" i="33"/>
  <c r="B3" i="33" s="1"/>
  <c r="D14" i="12"/>
  <c r="M18" i="9"/>
  <c r="B118" i="9" s="1"/>
  <c r="D3" i="21"/>
  <c r="B3" i="21" s="1"/>
  <c r="L18" i="9"/>
  <c r="E6" i="6"/>
  <c r="C17" i="4"/>
  <c r="B4" i="52" s="1"/>
  <c r="B43" i="72" s="1"/>
  <c r="H63" i="40"/>
  <c r="G65" i="40"/>
  <c r="H10" i="40"/>
  <c r="J10" i="40"/>
  <c r="J10" i="39"/>
  <c r="F10" i="39"/>
  <c r="F10" i="40"/>
  <c r="H10" i="39"/>
  <c r="M16" i="1"/>
  <c r="N16" i="1" s="1"/>
  <c r="C38" i="69"/>
  <c r="C35" i="69"/>
  <c r="M27" i="6"/>
  <c r="I19" i="6"/>
  <c r="G69" i="39"/>
  <c r="H67" i="39"/>
  <c r="B14" i="74"/>
  <c r="B1" i="74" s="1"/>
  <c r="F38" i="6"/>
  <c r="H38" i="6" s="1"/>
  <c r="B3" i="34"/>
  <c r="B2" i="34"/>
  <c r="E33" i="43"/>
  <c r="C34" i="43"/>
  <c r="E34" i="43" s="1"/>
  <c r="G40" i="43"/>
  <c r="I40" i="43" s="1"/>
  <c r="E40" i="43"/>
  <c r="G37" i="43"/>
  <c r="I37" i="43" s="1"/>
  <c r="E37" i="43"/>
  <c r="G41" i="43"/>
  <c r="I41" i="43" s="1"/>
  <c r="E41" i="43"/>
  <c r="AY586" i="3"/>
  <c r="AY584" i="3"/>
  <c r="AY58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AC6" i="3"/>
  <c r="E6" i="3" s="1"/>
  <c r="F27" i="11"/>
  <c r="F28" i="12"/>
  <c r="C29" i="12" s="1"/>
  <c r="D28" i="12" s="1"/>
  <c r="F27" i="69"/>
  <c r="Q37" i="43"/>
  <c r="O37" i="43"/>
  <c r="M37" i="43"/>
  <c r="P37" i="43"/>
  <c r="N37" i="43"/>
  <c r="S16" i="1"/>
  <c r="AQ6" i="1"/>
  <c r="T6" i="1"/>
  <c r="AR6" i="1"/>
  <c r="K27" i="6"/>
  <c r="C14" i="15"/>
  <c r="C34" i="68"/>
  <c r="C33" i="15" l="1"/>
  <c r="C10" i="15"/>
  <c r="C5" i="15" s="1"/>
  <c r="C38" i="15" s="1"/>
  <c r="C32" i="15"/>
  <c r="J19" i="15"/>
  <c r="J5" i="15"/>
  <c r="J18" i="15"/>
  <c r="C48" i="15"/>
  <c r="C61" i="15"/>
  <c r="C57" i="67"/>
  <c r="C64" i="67" s="1"/>
  <c r="C13" i="67"/>
  <c r="Q70" i="67" s="1"/>
  <c r="Q49" i="67"/>
  <c r="J59" i="67"/>
  <c r="J60" i="67" s="1"/>
  <c r="L46" i="67" s="1"/>
  <c r="J14" i="67"/>
  <c r="J13" i="67" s="1"/>
  <c r="J23" i="67" s="1"/>
  <c r="C31" i="43"/>
  <c r="C35" i="68"/>
  <c r="C38" i="68"/>
  <c r="C18" i="15"/>
  <c r="C15" i="15"/>
  <c r="F50" i="69"/>
  <c r="F50" i="11"/>
  <c r="F50" i="68"/>
  <c r="T16" i="1"/>
  <c r="C47" i="11"/>
  <c r="D45" i="11" s="1"/>
  <c r="C29" i="11"/>
  <c r="D27" i="11" s="1"/>
  <c r="C30" i="43"/>
  <c r="H69" i="39"/>
  <c r="I67" i="39"/>
  <c r="I27" i="6"/>
  <c r="S19" i="6"/>
  <c r="S27" i="6" s="1"/>
  <c r="AB10" i="39"/>
  <c r="U10" i="39"/>
  <c r="AA10" i="39"/>
  <c r="S10" i="39"/>
  <c r="W10" i="40"/>
  <c r="AC10" i="40"/>
  <c r="D17" i="12"/>
  <c r="C17" i="12" s="1"/>
  <c r="C14" i="12"/>
  <c r="C16" i="12" s="1"/>
  <c r="C75" i="67"/>
  <c r="F45" i="69"/>
  <c r="C29" i="69"/>
  <c r="D27" i="69" s="1"/>
  <c r="C47" i="69"/>
  <c r="D45" i="69" s="1"/>
  <c r="E61" i="40"/>
  <c r="L19" i="9"/>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9" i="6"/>
  <c r="D5" i="6"/>
  <c r="M19" i="9"/>
  <c r="C118" i="9" s="1"/>
  <c r="D8" i="6"/>
  <c r="C18" i="4"/>
  <c r="L16" i="1"/>
  <c r="C34" i="11"/>
  <c r="AA10" i="40"/>
  <c r="S10" i="40"/>
  <c r="AC10" i="39"/>
  <c r="W10" i="39"/>
  <c r="AB10" i="40"/>
  <c r="U10" i="40"/>
  <c r="H65" i="40"/>
  <c r="I63" i="40"/>
  <c r="D10" i="11"/>
  <c r="C10" i="11" s="1"/>
  <c r="D10" i="69"/>
  <c r="D20" i="12"/>
  <c r="C20" i="12" s="1"/>
  <c r="C24" i="11"/>
  <c r="C20" i="11"/>
  <c r="C25" i="11" s="1"/>
  <c r="D18" i="71"/>
  <c r="C17" i="71"/>
  <c r="J22" i="67"/>
  <c r="B29" i="1"/>
  <c r="C8" i="68"/>
  <c r="E6" i="76"/>
  <c r="D16" i="6" l="1"/>
  <c r="C60" i="15"/>
  <c r="C66" i="15"/>
  <c r="J26" i="15"/>
  <c r="J29" i="15" s="1"/>
  <c r="J24" i="15"/>
  <c r="Q48" i="67"/>
  <c r="C56" i="67"/>
  <c r="C65" i="67" s="1"/>
  <c r="C58" i="67" s="1"/>
  <c r="C67" i="67" s="1"/>
  <c r="C68" i="67" s="1"/>
  <c r="C71" i="67" s="1"/>
  <c r="C37" i="67"/>
  <c r="C30" i="67" s="1"/>
  <c r="C39" i="67" s="1"/>
  <c r="C80" i="67" s="1"/>
  <c r="C79" i="67" s="1"/>
  <c r="C33" i="68"/>
  <c r="C42" i="68" s="1"/>
  <c r="C19" i="15"/>
  <c r="C20" i="15" s="1"/>
  <c r="C26" i="15" s="1"/>
  <c r="E2" i="76"/>
  <c r="C22" i="11"/>
  <c r="D17" i="71"/>
  <c r="C16" i="71"/>
  <c r="C18" i="12"/>
  <c r="C21" i="12" s="1"/>
  <c r="J16" i="67"/>
  <c r="J25" i="67" s="1"/>
  <c r="C28" i="11"/>
  <c r="C27" i="11" s="1"/>
  <c r="C10" i="69"/>
  <c r="C8" i="69" s="1"/>
  <c r="C5" i="69" s="1"/>
  <c r="D19" i="69"/>
  <c r="I65" i="40"/>
  <c r="J63" i="40"/>
  <c r="C35" i="11"/>
  <c r="C38" i="11"/>
  <c r="C4" i="52"/>
  <c r="B45" i="72" s="1"/>
  <c r="A10" i="51"/>
  <c r="B9" i="72" s="1"/>
  <c r="A7" i="51"/>
  <c r="B7" i="72" s="1"/>
  <c r="D27" i="6"/>
  <c r="D31" i="6" s="1"/>
  <c r="R19" i="6"/>
  <c r="R20" i="6"/>
  <c r="R21" i="6"/>
  <c r="R22" i="6"/>
  <c r="R23" i="6"/>
  <c r="R24" i="6"/>
  <c r="R25" i="6"/>
  <c r="R26" i="6"/>
  <c r="J67" i="39"/>
  <c r="I69" i="39"/>
  <c r="B2" i="43"/>
  <c r="B6" i="76"/>
  <c r="Q69" i="67" l="1"/>
  <c r="Q68" i="67" s="1"/>
  <c r="C40" i="67"/>
  <c r="Q47" i="67" s="1"/>
  <c r="Q53" i="67" s="1"/>
  <c r="C33" i="11"/>
  <c r="C39" i="11" s="1"/>
  <c r="C43" i="11" s="1"/>
  <c r="C39" i="68"/>
  <c r="C43" i="68" s="1"/>
  <c r="C41" i="68" s="1"/>
  <c r="C31" i="11"/>
  <c r="C23" i="15"/>
  <c r="C29" i="15" s="1"/>
  <c r="B2" i="76"/>
  <c r="B3" i="76" s="1"/>
  <c r="C22" i="12"/>
  <c r="C30" i="12" s="1"/>
  <c r="C28" i="12" s="1"/>
  <c r="R6" i="1"/>
  <c r="R27" i="6"/>
  <c r="J65" i="40"/>
  <c r="K63" i="40"/>
  <c r="D37" i="69"/>
  <c r="C37" i="69" s="1"/>
  <c r="C33" i="69" s="1"/>
  <c r="C19" i="69"/>
  <c r="C24" i="69" s="1"/>
  <c r="B3" i="43"/>
  <c r="J69" i="39"/>
  <c r="K67" i="39"/>
  <c r="I5" i="6"/>
  <c r="I6" i="6"/>
  <c r="C23" i="69"/>
  <c r="T16" i="71"/>
  <c r="D16" i="71"/>
  <c r="C15" i="71"/>
  <c r="L51" i="67"/>
  <c r="M21" i="15"/>
  <c r="F35" i="15"/>
  <c r="Q67" i="67" l="1"/>
  <c r="L57" i="67"/>
  <c r="L60" i="67" s="1"/>
  <c r="Q57" i="67" s="1"/>
  <c r="D2" i="67"/>
  <c r="B3" i="67" s="1"/>
  <c r="C45" i="67"/>
  <c r="C46" i="67" s="1"/>
  <c r="C83" i="67"/>
  <c r="C82" i="67" s="1"/>
  <c r="C43" i="67"/>
  <c r="Q65" i="67"/>
  <c r="Q56" i="67"/>
  <c r="C20" i="69"/>
  <c r="C25" i="69" s="1"/>
  <c r="C22" i="69" s="1"/>
  <c r="C46" i="11"/>
  <c r="C45" i="11" s="1"/>
  <c r="C42" i="11"/>
  <c r="C41" i="11" s="1"/>
  <c r="C49" i="11" s="1"/>
  <c r="C51" i="11" s="1"/>
  <c r="C46" i="68"/>
  <c r="C45" i="68" s="1"/>
  <c r="C49" i="68" s="1"/>
  <c r="C51" i="68" s="1"/>
  <c r="C27" i="12"/>
  <c r="C25" i="12" s="1"/>
  <c r="C32" i="12" s="1"/>
  <c r="B2" i="12" s="1"/>
  <c r="B3" i="12" s="1"/>
  <c r="J20" i="15"/>
  <c r="J17" i="15" s="1"/>
  <c r="F63" i="15"/>
  <c r="C62" i="15" s="1"/>
  <c r="C59" i="15" s="1"/>
  <c r="C34" i="15"/>
  <c r="C31" i="15" s="1"/>
  <c r="U16" i="71"/>
  <c r="M23" i="43"/>
  <c r="K69" i="39"/>
  <c r="L67" i="39"/>
  <c r="K65" i="40"/>
  <c r="L63" i="40"/>
  <c r="C57" i="15"/>
  <c r="C64" i="15" s="1"/>
  <c r="C36" i="15"/>
  <c r="J14" i="15"/>
  <c r="C13" i="15"/>
  <c r="Q49" i="15"/>
  <c r="J59" i="15"/>
  <c r="J60" i="15" s="1"/>
  <c r="D15" i="71"/>
  <c r="C14" i="71"/>
  <c r="C39" i="69"/>
  <c r="C43" i="69" s="1"/>
  <c r="C42" i="69"/>
  <c r="R16" i="1"/>
  <c r="Q66" i="67"/>
  <c r="B2" i="67" l="1"/>
  <c r="Q62" i="67"/>
  <c r="Q75" i="67"/>
  <c r="C28" i="69"/>
  <c r="C27" i="69" s="1"/>
  <c r="C31" i="69" s="1"/>
  <c r="C41" i="69"/>
  <c r="C46" i="69"/>
  <c r="C45" i="69" s="1"/>
  <c r="C52" i="11"/>
  <c r="B2" i="11" s="1"/>
  <c r="B3" i="11" s="1"/>
  <c r="J13" i="15"/>
  <c r="J23" i="15" s="1"/>
  <c r="J22" i="15"/>
  <c r="D14" i="71"/>
  <c r="C13" i="71"/>
  <c r="Q48" i="15"/>
  <c r="L46" i="15"/>
  <c r="C75" i="15"/>
  <c r="Q70" i="15"/>
  <c r="C37" i="15"/>
  <c r="C30" i="15" s="1"/>
  <c r="C39" i="15" s="1"/>
  <c r="I39" i="15" s="1"/>
  <c r="C56" i="15"/>
  <c r="C65" i="15" s="1"/>
  <c r="C58" i="15" s="1"/>
  <c r="C67" i="15" s="1"/>
  <c r="C68" i="15" s="1"/>
  <c r="L65" i="40"/>
  <c r="M63" i="40"/>
  <c r="L69" i="39"/>
  <c r="M67" i="39"/>
  <c r="J16" i="15" l="1"/>
  <c r="J25" i="15" s="1"/>
  <c r="C49" i="69"/>
  <c r="C51" i="69" s="1"/>
  <c r="C56" i="11"/>
  <c r="C57" i="11" s="1"/>
  <c r="C71" i="15"/>
  <c r="M69" i="39"/>
  <c r="N67" i="39"/>
  <c r="Q69" i="15"/>
  <c r="Q68" i="15" s="1"/>
  <c r="C40" i="15"/>
  <c r="C80" i="15"/>
  <c r="C79" i="15" s="1"/>
  <c r="D13" i="71"/>
  <c r="C12" i="71"/>
  <c r="M65" i="40"/>
  <c r="N63" i="40"/>
  <c r="C52" i="69"/>
  <c r="B2" i="69" s="1"/>
  <c r="B3" i="69" s="1"/>
  <c r="L51" i="15"/>
  <c r="Q67" i="15" l="1"/>
  <c r="N65" i="40"/>
  <c r="O63" i="40"/>
  <c r="O65" i="40" s="1"/>
  <c r="T12" i="71"/>
  <c r="D12" i="71"/>
  <c r="U12" i="71" s="1"/>
  <c r="C11" i="71"/>
  <c r="Q47" i="15"/>
  <c r="Q53" i="15" s="1"/>
  <c r="B2" i="15"/>
  <c r="Q65" i="15"/>
  <c r="Q75" i="15" s="1"/>
  <c r="Q56" i="15"/>
  <c r="Q62" i="15" s="1"/>
  <c r="C43" i="15"/>
  <c r="C83" i="15"/>
  <c r="C82" i="15" s="1"/>
  <c r="C57" i="69"/>
  <c r="C56" i="69" s="1"/>
  <c r="N69" i="39"/>
  <c r="O67" i="39"/>
  <c r="O69" i="39" s="1"/>
  <c r="C46" i="15"/>
  <c r="D19" i="9"/>
  <c r="AO6" i="1"/>
  <c r="D102" i="9" l="1"/>
  <c r="D21" i="9"/>
  <c r="B6" i="70"/>
  <c r="B2" i="70" s="1"/>
  <c r="B3" i="70" s="1"/>
  <c r="B3" i="15"/>
  <c r="D11" i="71"/>
  <c r="C10" i="71"/>
  <c r="H7" i="39"/>
  <c r="J7" i="39"/>
  <c r="F7" i="39"/>
  <c r="H7" i="40"/>
  <c r="F7" i="40"/>
  <c r="J7" i="40"/>
  <c r="D20" i="9"/>
  <c r="D103" i="9" l="1"/>
  <c r="AA7" i="40"/>
  <c r="R42" i="40" s="1"/>
  <c r="S7" i="40"/>
  <c r="S7" i="39"/>
  <c r="AA7" i="39"/>
  <c r="R47" i="39" s="1"/>
  <c r="AB7" i="39"/>
  <c r="T47" i="39" s="1"/>
  <c r="G47" i="39" s="1"/>
  <c r="U7" i="39"/>
  <c r="D10" i="71"/>
  <c r="C9" i="71"/>
  <c r="AC7" i="40"/>
  <c r="V42" i="40" s="1"/>
  <c r="I42" i="40" s="1"/>
  <c r="W7" i="40"/>
  <c r="U7" i="40"/>
  <c r="AB7" i="40"/>
  <c r="T42" i="40" s="1"/>
  <c r="G42" i="40" s="1"/>
  <c r="W7" i="39"/>
  <c r="AC7" i="39"/>
  <c r="V47" i="39" s="1"/>
  <c r="I47" i="39" s="1"/>
  <c r="I46" i="40" l="1"/>
  <c r="J46" i="40" s="1"/>
  <c r="G52" i="39"/>
  <c r="H52" i="39" s="1"/>
  <c r="G51" i="39"/>
  <c r="H51" i="39" s="1"/>
  <c r="R43" i="40"/>
  <c r="E42" i="40"/>
  <c r="I47" i="40" s="1"/>
  <c r="J47" i="40" s="1"/>
  <c r="I51" i="39"/>
  <c r="J51" i="39" s="1"/>
  <c r="G46" i="40"/>
  <c r="H46" i="40" s="1"/>
  <c r="G47" i="40"/>
  <c r="H47" i="40" s="1"/>
  <c r="D9" i="71"/>
  <c r="C8" i="71"/>
  <c r="R48" i="39"/>
  <c r="E47" i="39"/>
  <c r="C48" i="39" l="1"/>
  <c r="C47" i="39"/>
  <c r="C43" i="40"/>
  <c r="C42" i="40"/>
  <c r="E51" i="39"/>
  <c r="F51" i="39" s="1"/>
  <c r="E52" i="39"/>
  <c r="F52" i="39" s="1"/>
  <c r="D8" i="71"/>
  <c r="C7" i="71"/>
  <c r="I52" i="39"/>
  <c r="J52" i="39" s="1"/>
  <c r="E47" i="40"/>
  <c r="F47" i="40" s="1"/>
  <c r="E46" i="40"/>
  <c r="F46" i="40" s="1"/>
  <c r="D7" i="71" l="1"/>
  <c r="C6" i="7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B59" i="39"/>
  <c r="F59" i="39" s="1"/>
  <c r="B57" i="39"/>
  <c r="F57" i="39" s="1"/>
  <c r="F65" i="39" l="1"/>
  <c r="B2" i="39" s="1"/>
  <c r="D6" i="71"/>
  <c r="C5" i="71"/>
  <c r="B3" i="39" l="1"/>
  <c r="C6" i="68"/>
  <c r="C7" i="68" s="1"/>
  <c r="C5" i="68" s="1"/>
  <c r="D5" i="71"/>
  <c r="M24" i="43" s="1"/>
  <c r="C23" i="68" l="1"/>
  <c r="C20" i="68"/>
  <c r="C25" i="68" s="1"/>
  <c r="C28" i="68" l="1"/>
  <c r="C27" i="68" s="1"/>
  <c r="C22" i="68"/>
  <c r="C31" i="68" l="1"/>
  <c r="C52" i="68" s="1"/>
  <c r="C57" i="68" s="1"/>
  <c r="C56" i="68" s="1"/>
  <c r="B2" i="68" l="1"/>
  <c r="B3" i="68"/>
  <c r="C20" i="9"/>
  <c r="C19" i="9"/>
  <c r="D34" i="9"/>
  <c r="G20" i="9" l="1"/>
  <c r="C103" i="9"/>
  <c r="G19" i="9"/>
  <c r="C32" i="9" s="1"/>
  <c r="C102" i="9"/>
  <c r="D22" i="9"/>
  <c r="C21" i="9"/>
  <c r="D35" i="9"/>
  <c r="G21" i="9" l="1"/>
  <c r="C27" i="9"/>
  <c r="D27" i="9" s="1"/>
  <c r="D14" i="74"/>
  <c r="E14" i="74" s="1"/>
  <c r="H118" i="9"/>
  <c r="C35" i="9"/>
  <c r="F118" i="9" s="1"/>
  <c r="G14" i="74" l="1"/>
  <c r="F14" i="74"/>
  <c r="C34" i="9"/>
  <c r="D118" i="9" s="1"/>
  <c r="D4" i="52" s="1"/>
  <c r="B47" i="72" s="1"/>
  <c r="F119" i="9"/>
  <c r="F5" i="52" s="1"/>
  <c r="B53" i="72" s="1"/>
  <c r="F4" i="52"/>
  <c r="B51" i="72" s="1"/>
  <c r="G118" i="9"/>
  <c r="G4" i="52" s="1"/>
  <c r="B52" i="72" s="1"/>
  <c r="D119" i="9"/>
  <c r="D5" i="52" s="1"/>
  <c r="B49" i="72" s="1"/>
  <c r="H101" i="9"/>
  <c r="I118" i="9"/>
  <c r="H119" i="9"/>
  <c r="H5" i="52" s="1"/>
  <c r="C104" i="9"/>
  <c r="H4" i="52"/>
  <c r="M48" i="9" l="1"/>
  <c r="D45" i="9"/>
  <c r="H107" i="9"/>
  <c r="D5" i="53"/>
  <c r="C105" i="9"/>
  <c r="E118" i="9"/>
  <c r="E4" i="52" s="1"/>
  <c r="B48" i="72" s="1"/>
  <c r="H102" i="9"/>
  <c r="D7" i="53" s="1"/>
  <c r="B21" i="72" s="1"/>
  <c r="I4" i="52"/>
  <c r="D6" i="53" l="1"/>
  <c r="B22" i="72" s="1"/>
  <c r="B20" i="72"/>
  <c r="C85" i="9"/>
  <c r="C64" i="9"/>
  <c r="C63" i="9" s="1"/>
  <c r="C67" i="9" s="1"/>
  <c r="D53" i="9"/>
  <c r="D52" i="9"/>
  <c r="C93" i="9"/>
  <c r="C86" i="9" s="1"/>
  <c r="C72" i="9"/>
  <c r="D55" i="9"/>
  <c r="M53" i="9" s="1"/>
  <c r="C78" i="9"/>
  <c r="C73" i="9" s="1"/>
  <c r="D122" i="9"/>
  <c r="M49" i="9"/>
  <c r="H108" i="9"/>
  <c r="D15" i="53" s="1"/>
  <c r="B31" i="72" s="1"/>
  <c r="D13" i="53"/>
  <c r="C95" i="9" l="1"/>
  <c r="B30" i="72"/>
  <c r="D14" i="53"/>
  <c r="B32" i="72" s="1"/>
  <c r="L67" i="9"/>
  <c r="M67" i="9" s="1"/>
  <c r="L65" i="9"/>
  <c r="M65" i="9" s="1"/>
  <c r="L64" i="9"/>
  <c r="M64" i="9" s="1"/>
  <c r="L68" i="9"/>
  <c r="M68" i="9" s="1"/>
  <c r="L63" i="9"/>
  <c r="M63" i="9" s="1"/>
  <c r="L66" i="9"/>
  <c r="M66" i="9" s="1"/>
  <c r="C79" i="9"/>
  <c r="D59" i="9"/>
  <c r="M55" i="9" s="1"/>
  <c r="C68" i="9"/>
  <c r="D54" i="9" s="1"/>
  <c r="D8" i="52"/>
  <c r="D123" i="9"/>
  <c r="D9" i="52" s="1"/>
  <c r="C80" i="9" l="1"/>
  <c r="E80" i="9" s="1"/>
  <c r="E81" i="9" s="1"/>
  <c r="M69" i="9"/>
  <c r="N69" i="9" s="1"/>
  <c r="C96" i="9"/>
  <c r="E96" i="9" s="1"/>
  <c r="E97" i="9" s="1"/>
  <c r="C97" i="9" l="1"/>
  <c r="D58" i="9" s="1"/>
  <c r="D56" i="9" s="1"/>
  <c r="M54" i="9" s="1"/>
  <c r="N57" i="9" s="1"/>
  <c r="P57" i="9" s="1"/>
  <c r="C81" i="9"/>
  <c r="N59" i="9" l="1"/>
  <c r="N60" i="9" s="1"/>
  <c r="N58" i="9"/>
  <c r="N61" i="9"/>
  <c r="G15" i="74" l="1"/>
  <c r="B6" i="74" s="1"/>
  <c r="F15" i="74"/>
  <c r="E15" i="74"/>
  <c r="B5" i="74"/>
  <c r="D5" i="74" l="1"/>
  <c r="C5" i="74"/>
  <c r="C6" i="74"/>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<sst xmlns="http://schemas.openxmlformats.org/spreadsheetml/2006/main" count="8317" uniqueCount="2956">
  <si>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</si>
  <si>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</si>
  <si>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</si>
  <si>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</si>
  <si>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</si>
  <si>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</si>
  <si>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</si>
  <si>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</si>
  <si>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</si>
  <si>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</si>
  <si>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</si>
  <si>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</si>
  <si>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</si>
  <si>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</si>
  <si>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</si>
  <si>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</si>
  <si>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</si>
  <si>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</si>
  <si>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</si>
  <si>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</si>
  <si>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</si>
  <si>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</si>
  <si>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</si>
  <si>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</si>
  <si>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</si>
  <si>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</si>
  <si>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</si>
  <si>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</si>
  <si>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</si>
  <si>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</si>
  <si>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</si>
  <si>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</si>
  <si>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</si>
  <si>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</si>
  <si>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</si>
  <si>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</si>
  <si>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</si>
  <si>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</si>
  <si>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</si>
  <si>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</si>
  <si>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</si>
  <si>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</si>
  <si>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</si>
  <si>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</si>
  <si>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</si>
  <si>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</si>
  <si>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</si>
  <si>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</si>
  <si>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</si>
  <si>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</si>
  <si>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</si>
  <si>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</si>
  <si>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</si>
  <si>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</si>
  <si>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</si>
  <si>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</si>
  <si>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</si>
  <si>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</si>
  <si>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</si>
  <si>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</si>
  <si>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</si>
  <si>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</si>
  <si>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</si>
  <si>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</si>
  <si>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</si>
  <si>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</si>
  <si>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</si>
  <si>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</si>
  <si>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</si>
  <si>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</si>
  <si>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</si>
  <si>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</si>
  <si>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</si>
  <si>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</si>
  <si>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</si>
  <si>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</si>
  <si>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</si>
  <si>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</si>
  <si>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</si>
  <si>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</si>
  <si>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</si>
  <si>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</si>
  <si>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</si>
  <si>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</si>
  <si>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</si>
  <si>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</si>
  <si>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</si>
  <si>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</si>
  <si>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</si>
  <si>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</si>
  <si>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</si>
  <si>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</si>
  <si>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</si>
  <si>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</si>
  <si>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</si>
  <si>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</si>
  <si>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</si>
  <si>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</si>
  <si>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</si>
  <si>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</si>
  <si>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</si>
  <si>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</si>
  <si>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</si>
  <si>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</si>
  <si>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</si>
  <si>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</si>
  <si>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</si>
  <si>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</si>
  <si>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</si>
  <si>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</si>
  <si>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</si>
  <si>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</si>
  <si>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</si>
  <si>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</si>
  <si>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</si>
  <si>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</si>
  <si>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</si>
  <si>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</si>
  <si>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</si>
  <si>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</si>
  <si>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</si>
  <si>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</si>
  <si>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</si>
  <si>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</si>
  <si>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</si>
  <si>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</si>
  <si>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</si>
  <si>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</si>
  <si>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</si>
  <si>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</si>
  <si>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</si>
  <si>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</si>
  <si>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</si>
  <si>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</si>
  <si>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</si>
  <si>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</si>
  <si>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</si>
  <si>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</si>
  <si>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</si>
  <si>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</si>
  <si>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</si>
  <si>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</si>
  <si>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</si>
  <si>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</si>
  <si>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</si>
  <si>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</si>
  <si>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</si>
  <si>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</si>
  <si>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</si>
  <si>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</si>
  <si>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</si>
  <si>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</si>
  <si>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</si>
  <si>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</si>
  <si>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</si>
  <si>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</si>
  <si>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</si>
  <si>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</si>
  <si>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</si>
  <si>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</si>
  <si>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</si>
  <si>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</si>
  <si>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</si>
  <si>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</si>
  <si>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</si>
  <si>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</si>
  <si>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</si>
  <si>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</si>
  <si>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</si>
  <si>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</si>
  <si>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</si>
  <si>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</si>
  <si>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</si>
  <si>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</si>
  <si>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</si>
  <si>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</si>
  <si>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</si>
  <si>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</si>
  <si>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</si>
  <si>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</si>
  <si>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</si>
  <si>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</si>
  <si>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</si>
  <si>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</si>
  <si>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</si>
  <si>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</si>
  <si>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</si>
  <si>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</si>
  <si>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</si>
  <si>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</si>
  <si>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</si>
  <si>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</si>
  <si>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</si>
  <si>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</si>
  <si>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</si>
  <si>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</si>
  <si>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</si>
  <si>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</si>
  <si>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</si>
  <si>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</si>
  <si>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</si>
  <si>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</si>
  <si>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</si>
  <si>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</si>
  <si>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</si>
  <si>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</si>
  <si>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</si>
  <si>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</si>
  <si>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</si>
  <si>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</si>
  <si>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</si>
  <si>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</si>
  <si>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</si>
  <si>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</si>
  <si>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</si>
  <si>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</si>
  <si>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</si>
  <si>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</si>
  <si>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</si>
  <si>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</si>
  <si>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</si>
  <si>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</si>
  <si>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</si>
  <si>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</si>
  <si>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</si>
  <si>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</si>
  <si>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</si>
  <si>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</si>
  <si>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</si>
  <si>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</si>
  <si>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</si>
  <si>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</si>
  <si>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</si>
  <si>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</si>
  <si>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</si>
  <si>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</si>
  <si>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</si>
  <si>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</si>
  <si>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</si>
  <si>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</si>
  <si>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</si>
  <si>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</si>
  <si>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</si>
  <si>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</si>
  <si>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</si>
  <si>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</si>
  <si>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</si>
  <si>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</si>
  <si>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</si>
  <si>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</si>
  <si>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</si>
  <si>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</si>
  <si>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</si>
  <si>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</si>
  <si>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</si>
  <si>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</si>
  <si>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</si>
  <si>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</si>
  <si>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</si>
  <si>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</si>
  <si>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</si>
  <si>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</si>
  <si>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</si>
  <si>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</si>
  <si>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</si>
  <si>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</si>
  <si>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</si>
  <si>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</si>
  <si>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</si>
  <si>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</si>
  <si>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</si>
  <si>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</si>
  <si>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</si>
  <si>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</si>
  <si>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</si>
  <si>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</si>
  <si>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</si>
  <si>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</si>
  <si>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</si>
  <si>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</si>
  <si>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</si>
  <si>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</si>
  <si>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</si>
  <si>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</si>
  <si>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</si>
  <si>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</si>
  <si>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</si>
  <si>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</si>
  <si>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</si>
  <si>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</si>
  <si>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</si>
  <si>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</si>
  <si>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</si>
  <si>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</si>
  <si>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</si>
  <si>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</si>
  <si>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</si>
  <si>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</si>
  <si>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</si>
  <si>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</si>
  <si>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</si>
  <si>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</si>
  <si>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</si>
  <si>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</si>
  <si>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</si>
  <si>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</si>
  <si>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</si>
  <si>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</si>
  <si>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</si>
  <si>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</si>
  <si>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</si>
  <si>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</si>
  <si>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</si>
  <si>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</si>
  <si>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</si>
  <si>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</si>
  <si>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</si>
  <si>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</si>
  <si>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</si>
  <si>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</si>
  <si>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</si>
  <si>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</si>
  <si>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</si>
  <si>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</si>
  <si>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</si>
  <si>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</si>
  <si>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</si>
  <si>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</si>
  <si>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</si>
  <si>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</si>
  <si>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</si>
  <si>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</si>
  <si>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</si>
  <si>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</si>
  <si>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</si>
  <si>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</si>
  <si>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</si>
  <si>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</si>
  <si>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</si>
  <si>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</si>
  <si>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</si>
  <si>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</si>
  <si>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</si>
  <si>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</si>
  <si>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</si>
  <si>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</si>
  <si>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</si>
  <si>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</si>
  <si>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</si>
  <si>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</si>
  <si>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</si>
  <si>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</si>
  <si>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</si>
  <si>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</si>
  <si>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</si>
  <si>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</si>
  <si>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</si>
  <si>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</si>
  <si>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</si>
  <si>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</si>
  <si>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</si>
  <si>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</si>
  <si>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</si>
  <si>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</si>
  <si>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</si>
  <si>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</si>
  <si>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</si>
  <si>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</si>
  <si>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</si>
  <si>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</si>
  <si>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</si>
  <si>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</si>
  <si>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</si>
  <si>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</si>
  <si>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</si>
  <si>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</si>
  <si>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</si>
  <si>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</si>
  <si>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</si>
  <si>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</si>
  <si>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</si>
  <si>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</si>
  <si>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</si>
  <si>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</si>
  <si>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</si>
  <si>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</si>
  <si>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</si>
  <si>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</si>
  <si>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</si>
  <si>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</si>
  <si>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</si>
  <si>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</si>
  <si>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</si>
  <si>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</si>
  <si>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</si>
  <si>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</si>
  <si>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</si>
  <si>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</si>
  <si>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</si>
  <si>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</si>
  <si>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</si>
  <si>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</si>
  <si>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</si>
  <si>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</si>
  <si>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</si>
  <si>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</si>
  <si>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</si>
  <si>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</si>
  <si>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</si>
  <si>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</si>
  <si>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</si>
  <si>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</si>
  <si>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</si>
  <si>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</si>
  <si>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</si>
  <si>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</si>
  <si>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</si>
  <si>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</si>
  <si>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</si>
  <si>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</si>
  <si>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</si>
  <si>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</si>
  <si>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</si>
  <si>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</si>
  <si>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</si>
  <si>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</si>
  <si>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</si>
  <si>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</si>
  <si>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</si>
  <si>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</si>
  <si>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</si>
  <si>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</si>
  <si>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</si>
  <si>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</si>
  <si>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</si>
  <si>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</si>
  <si>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</si>
  <si>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</si>
  <si>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</si>
  <si>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</si>
  <si>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</si>
  <si>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</si>
  <si>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</si>
  <si>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</si>
  <si>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</si>
  <si>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</si>
  <si>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</si>
  <si>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</si>
  <si>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</si>
  <si>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</si>
  <si>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</si>
  <si>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</si>
  <si>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</si>
  <si>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</si>
  <si>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</si>
  <si>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</si>
  <si>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</si>
  <si>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</si>
  <si>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</si>
  <si>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</si>
  <si>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</si>
  <si>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</si>
  <si>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</si>
  <si>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</si>
  <si>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</si>
  <si>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</si>
  <si>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</si>
  <si>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</si>
  <si>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</si>
  <si>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</si>
  <si>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</si>
  <si>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</si>
  <si>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</si>
  <si>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</si>
  <si>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</si>
  <si>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</si>
  <si>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</si>
  <si>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</si>
  <si>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</si>
  <si>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</si>
  <si>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</si>
  <si>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</si>
  <si>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</si>
  <si>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</si>
  <si>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</si>
  <si>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</si>
  <si>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</si>
  <si>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</si>
  <si>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</si>
  <si>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</si>
  <si>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</si>
  <si>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</si>
  <si>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</si>
  <si>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</si>
  <si>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</si>
  <si>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</si>
  <si>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</si>
  <si>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</si>
  <si>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</si>
  <si>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</si>
  <si>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</si>
  <si>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</si>
  <si>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</si>
  <si>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</si>
  <si>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</si>
  <si>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</si>
  <si>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</si>
  <si>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</si>
  <si>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</si>
  <si>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</si>
  <si>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</si>
  <si>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</si>
  <si>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</si>
  <si>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</si>
  <si>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</si>
  <si>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</si>
  <si>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</si>
  <si>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</si>
  <si>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</si>
  <si>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</si>
  <si>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</si>
  <si>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</si>
  <si>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</si>
  <si>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</si>
  <si>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</si>
  <si>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</si>
  <si>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</si>
  <si>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</si>
  <si>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</si>
  <si>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</si>
  <si>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</si>
  <si>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</si>
  <si>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</si>
  <si>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</si>
  <si>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</si>
  <si>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</si>
  <si>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</si>
  <si>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</si>
  <si>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</si>
  <si>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</si>
  <si>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</si>
  <si>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</si>
  <si>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</si>
  <si>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</si>
  <si>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</si>
  <si>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</si>
  <si>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</si>
  <si>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</si>
  <si>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</si>
  <si>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</si>
  <si>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</si>
  <si>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</si>
  <si>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</si>
  <si>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</si>
  <si>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</si>
  <si>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</si>
  <si>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</si>
  <si>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</si>
  <si>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</si>
  <si>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</si>
  <si>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</si>
  <si>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</si>
  <si>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</si>
  <si>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</si>
  <si>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</si>
  <si>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</si>
  <si>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</si>
  <si>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</si>
  <si>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</si>
  <si>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</si>
  <si>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</si>
  <si>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</si>
  <si>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</si>
  <si>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</si>
  <si>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</si>
  <si>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</si>
  <si>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</si>
  <si>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</si>
  <si>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</si>
  <si>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</si>
  <si>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</si>
  <si>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</si>
  <si>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</si>
  <si>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</si>
  <si>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</si>
  <si>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</si>
  <si>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</si>
  <si>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</si>
  <si>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</si>
  <si>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</si>
  <si>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</si>
  <si>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</si>
  <si>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</si>
  <si>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</si>
  <si>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</si>
  <si>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</si>
  <si>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</si>
  <si>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</si>
  <si>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</si>
  <si>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</si>
  <si>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</si>
  <si>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</si>
  <si>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</si>
  <si>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</si>
  <si>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</si>
  <si>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</si>
  <si>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</si>
  <si>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</si>
  <si>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</si>
  <si>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</si>
  <si>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</si>
  <si>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</si>
  <si>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</si>
  <si>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</si>
  <si>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</si>
  <si>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</si>
  <si>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</si>
  <si>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</si>
  <si>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</si>
  <si>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</si>
  <si>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</si>
  <si>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</si>
  <si>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</si>
  <si>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</si>
  <si>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</si>
  <si>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</si>
  <si>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</si>
  <si>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</si>
  <si>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</si>
  <si>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</si>
  <si>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</si>
  <si>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</si>
  <si>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</si>
  <si>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</si>
  <si>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</si>
  <si>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</si>
  <si>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</si>
  <si>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</si>
  <si>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</si>
  <si>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</si>
  <si>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</si>
  <si>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</si>
  <si>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</si>
  <si>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</si>
  <si>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</si>
  <si>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</si>
  <si>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</si>
  <si>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</si>
  <si>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</si>
  <si>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</si>
  <si>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</si>
  <si>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</si>
  <si>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</si>
  <si>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</si>
  <si>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</si>
  <si>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</si>
  <si>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</si>
  <si>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</si>
  <si>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</si>
  <si>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</si>
  <si>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</si>
  <si>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</si>
  <si>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</si>
  <si>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</si>
  <si>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</si>
  <si>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</si>
  <si>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</si>
  <si>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</si>
  <si>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</si>
  <si>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</si>
  <si>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</si>
  <si>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</si>
  <si>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</si>
  <si>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</si>
  <si>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</si>
  <si>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</si>
  <si>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</si>
  <si>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</si>
  <si>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</si>
  <si>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</si>
  <si>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</si>
  <si>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</si>
  <si>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</si>
  <si>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</si>
  <si>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</si>
  <si>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</si>
  <si>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</si>
  <si>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</si>
  <si>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</si>
  <si>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</si>
  <si>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</si>
  <si>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</si>
  <si>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</si>
  <si>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</si>
  <si>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</si>
  <si>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</si>
  <si>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</si>
  <si>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</si>
  <si>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</si>
  <si>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</si>
  <si>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</si>
  <si>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</si>
  <si>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</si>
  <si>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</si>
  <si>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</si>
  <si>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</si>
  <si>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</si>
  <si>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</si>
  <si>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</si>
  <si>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</si>
  <si>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</si>
  <si>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</si>
  <si>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</si>
  <si>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</si>
  <si>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</si>
  <si>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</si>
  <si>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</si>
  <si>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</si>
  <si>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</si>
  <si>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</si>
  <si>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</si>
  <si>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</si>
  <si>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</si>
  <si>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</si>
  <si>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</si>
  <si>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</si>
  <si>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</si>
  <si>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</si>
  <si>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</si>
  <si>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</si>
  <si>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</si>
  <si>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</si>
  <si>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</si>
  <si>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</si>
  <si>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</si>
  <si>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</si>
  <si>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</si>
  <si>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</si>
  <si>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</si>
  <si>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</si>
  <si>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</si>
  <si>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</si>
  <si>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</si>
  <si>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</si>
  <si>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</si>
  <si>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</si>
  <si>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</si>
  <si>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</si>
  <si>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</si>
  <si>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</si>
  <si>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</si>
  <si>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</si>
  <si>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</si>
  <si>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</si>
  <si>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</si>
  <si>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</si>
  <si>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</si>
  <si>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</si>
  <si>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</si>
  <si>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</si>
  <si>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</si>
  <si>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</si>
  <si>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</si>
  <si>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</si>
  <si>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</si>
  <si>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</si>
  <si>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</si>
  <si>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</si>
  <si>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</si>
  <si>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</si>
  <si>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</si>
  <si>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</si>
  <si>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</si>
  <si>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</si>
  <si>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</si>
  <si>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</si>
  <si>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</si>
  <si>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</si>
  <si>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</si>
  <si>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</si>
  <si>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</si>
  <si>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</si>
  <si>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</si>
  <si>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</si>
  <si>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</si>
  <si>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</si>
  <si>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</si>
  <si>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</si>
  <si>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</si>
  <si>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</si>
  <si>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</si>
  <si>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</si>
  <si>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</si>
  <si>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</si>
  <si>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</si>
  <si>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</si>
  <si>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</si>
  <si>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</si>
  <si>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</si>
  <si>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</si>
  <si>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</si>
  <si>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</si>
  <si>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</si>
  <si>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</si>
  <si>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</si>
  <si>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</si>
  <si>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</si>
  <si>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</si>
  <si>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</si>
  <si>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</si>
  <si>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</si>
  <si>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</si>
  <si>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</si>
  <si>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</si>
  <si>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</si>
  <si>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</si>
  <si>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</si>
  <si>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</si>
  <si>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</si>
  <si>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</si>
  <si>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</si>
  <si>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</si>
  <si>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</si>
  <si>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</si>
  <si>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</si>
  <si>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</si>
  <si>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</si>
  <si>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</si>
  <si>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</si>
  <si>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</si>
  <si>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</si>
  <si>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</si>
  <si>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</si>
  <si>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</si>
  <si>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</si>
  <si>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</si>
  <si>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</si>
  <si>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</si>
  <si>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</si>
  <si>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</si>
  <si>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</si>
  <si>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</si>
  <si>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</si>
  <si>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</si>
  <si>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</si>
  <si>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</si>
  <si>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</si>
  <si>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</si>
  <si>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</si>
  <si>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</si>
  <si>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</si>
  <si>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</si>
  <si>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</si>
  <si>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</si>
  <si>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</si>
  <si>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</si>
  <si>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</si>
  <si>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</si>
  <si>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</si>
  <si>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</si>
  <si>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</si>
  <si>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</si>
  <si>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</si>
  <si>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</si>
  <si>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</si>
  <si>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</si>
  <si>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</si>
  <si>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</si>
  <si>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</si>
  <si>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</si>
  <si>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</si>
  <si>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</si>
  <si>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</si>
  <si>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</si>
  <si>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</si>
  <si>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</si>
  <si>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</si>
  <si>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</si>
  <si>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</si>
  <si>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</si>
  <si>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</si>
  <si>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</si>
  <si>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</si>
  <si>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</si>
  <si>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</si>
  <si>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</si>
  <si>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</si>
  <si>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</si>
  <si>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</si>
  <si>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</si>
  <si>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</si>
  <si>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</si>
  <si>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</si>
  <si>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</si>
  <si>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</si>
  <si>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</si>
  <si>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</si>
  <si>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</si>
  <si>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</si>
  <si>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</si>
  <si>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</si>
  <si>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</si>
  <si>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</si>
  <si>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</si>
  <si>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</si>
  <si>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</si>
  <si>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</si>
  <si>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</si>
  <si>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</si>
  <si>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</si>
  <si>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</si>
  <si>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</si>
  <si>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</si>
  <si>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</si>
  <si>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</si>
  <si>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</si>
  <si>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</si>
  <si>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</si>
  <si>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</si>
  <si>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</si>
  <si>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</si>
  <si>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</si>
  <si>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</si>
  <si>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</si>
  <si>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</si>
  <si>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</si>
  <si>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</si>
  <si>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</si>
  <si>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</si>
  <si>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</si>
  <si>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</si>
  <si>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</si>
  <si>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</si>
  <si>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</si>
  <si>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</si>
  <si>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</si>
  <si>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</si>
  <si>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</si>
  <si>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</si>
  <si>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</si>
  <si>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</si>
  <si>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</si>
  <si>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</si>
  <si>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</si>
  <si>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</si>
  <si>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</si>
  <si>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</si>
  <si>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</si>
  <si>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</si>
  <si>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</si>
  <si>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</si>
  <si>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</si>
  <si>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</si>
  <si>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</si>
  <si>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</si>
  <si>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</si>
  <si>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</si>
  <si>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</si>
  <si>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</si>
  <si>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</si>
  <si>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</si>
  <si>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</si>
  <si>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</si>
  <si>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</si>
  <si>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</si>
  <si>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</si>
  <si>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</si>
  <si>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</si>
  <si>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</si>
  <si>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</si>
  <si>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</si>
  <si>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</si>
  <si>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</si>
  <si>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</si>
  <si>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</si>
  <si>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</si>
  <si>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</si>
  <si>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</si>
  <si>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</si>
  <si>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</si>
  <si>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</si>
  <si>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</si>
  <si>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</si>
  <si>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</si>
  <si>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</si>
  <si>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</si>
  <si>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</si>
  <si>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</si>
  <si>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</si>
  <si>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</si>
  <si>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</si>
  <si>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</si>
  <si>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</si>
  <si>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</si>
  <si>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</si>
  <si>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</si>
  <si>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</si>
  <si>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</si>
  <si>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</si>
  <si>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</si>
  <si>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</si>
  <si>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</si>
  <si>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</si>
  <si>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</si>
  <si>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</si>
  <si>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</si>
  <si>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</si>
  <si>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</si>
  <si>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</si>
  <si>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</si>
  <si>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</si>
  <si>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</si>
  <si>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</si>
  <si>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</si>
  <si>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</si>
  <si>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</si>
  <si>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</si>
  <si>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</si>
  <si>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</si>
  <si>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</si>
  <si>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</si>
  <si>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</si>
  <si>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</si>
  <si>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</si>
  <si>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</si>
  <si>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</si>
  <si>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</si>
  <si>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</si>
  <si>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</si>
  <si>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</si>
  <si>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</si>
  <si>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</si>
  <si>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</si>
  <si>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</si>
  <si>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</si>
  <si>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</si>
  <si>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</si>
  <si>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</si>
  <si>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</si>
  <si>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</si>
  <si>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</si>
  <si>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</si>
  <si>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</si>
  <si>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</si>
  <si>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</si>
  <si>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</si>
  <si>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</si>
  <si>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</si>
  <si>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</si>
  <si>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</si>
  <si>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</si>
  <si>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</si>
  <si>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</si>
  <si>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</si>
  <si>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</si>
  <si>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</si>
  <si>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</si>
  <si>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</si>
  <si>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</si>
  <si>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</si>
  <si>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</si>
  <si>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</si>
  <si>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</si>
  <si>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</si>
  <si>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</si>
  <si>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</si>
  <si>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</si>
  <si>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</si>
  <si>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</si>
  <si>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</si>
  <si>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</si>
  <si>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</si>
  <si>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</si>
  <si>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</si>
  <si>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</si>
  <si>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</si>
  <si>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</si>
  <si>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</si>
  <si>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</si>
  <si>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</si>
  <si>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</si>
  <si>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</si>
  <si>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</si>
  <si>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</si>
  <si>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</si>
  <si>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</si>
  <si>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</si>
  <si>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</si>
  <si>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</si>
  <si>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</si>
  <si>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</si>
  <si>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</si>
  <si>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</si>
  <si>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</si>
  <si>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</si>
  <si>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</si>
  <si>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</si>
  <si>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</si>
  <si>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</si>
  <si>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</si>
  <si>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</si>
  <si>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</si>
  <si>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</si>
  <si>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</si>
  <si>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</si>
  <si>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</si>
  <si>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</si>
  <si>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</si>
  <si>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</si>
  <si>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</si>
  <si>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</si>
  <si>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</si>
  <si>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</si>
  <si>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</si>
  <si>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</si>
  <si>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</si>
  <si>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</si>
  <si>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</si>
  <si>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</si>
  <si>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</si>
  <si>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</si>
  <si>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</si>
  <si>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</si>
  <si>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</si>
  <si>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</si>
  <si>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</si>
  <si>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</si>
  <si>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</si>
  <si>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</si>
  <si>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</si>
  <si>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</si>
  <si>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</si>
  <si>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</si>
  <si>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</si>
  <si>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</si>
  <si>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</si>
  <si>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</si>
  <si>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</si>
  <si>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</si>
  <si>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</si>
  <si>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</si>
  <si>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</si>
  <si>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</si>
  <si>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</si>
  <si>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</si>
  <si>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</si>
  <si>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</si>
  <si>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</si>
  <si>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</si>
  <si>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</si>
  <si>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</si>
  <si>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</si>
  <si>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</si>
  <si>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</si>
  <si>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</si>
  <si>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</si>
  <si>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</si>
  <si>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</si>
  <si>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</si>
  <si>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</si>
  <si>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</si>
  <si>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</si>
  <si>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</si>
  <si>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</si>
  <si>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</si>
  <si>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</si>
  <si>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</si>
  <si>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</si>
  <si>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</si>
  <si>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</si>
  <si>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</si>
  <si>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</si>
  <si>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</si>
  <si>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</si>
  <si>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</si>
  <si>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</si>
  <si>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</si>
  <si>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</si>
  <si>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</si>
  <si>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</si>
  <si>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</si>
  <si>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</si>
  <si>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</si>
  <si>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</si>
  <si>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</si>
  <si>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</si>
  <si>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</si>
  <si>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</si>
  <si>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</si>
  <si>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</si>
  <si>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</si>
  <si>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</si>
  <si>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</si>
  <si>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</si>
  <si>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</si>
  <si>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</si>
  <si>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</si>
  <si>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</si>
  <si>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</si>
  <si>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</si>
  <si>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</si>
  <si>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</si>
  <si>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</si>
  <si>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</si>
  <si>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</si>
  <si>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</si>
  <si>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</si>
  <si>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</si>
  <si>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</si>
  <si>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</si>
  <si>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</si>
  <si>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</si>
  <si>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</si>
  <si>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</si>
  <si>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</si>
  <si>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</si>
  <si>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</si>
  <si>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</si>
  <si>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</si>
  <si>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</si>
  <si>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</si>
  <si>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</si>
  <si>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</si>
  <si>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</si>
  <si>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</si>
  <si>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</si>
  <si>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</si>
  <si>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</si>
  <si>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</si>
  <si>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</si>
  <si>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</si>
  <si>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</si>
  <si>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</si>
  <si>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</si>
  <si>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</si>
  <si>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</si>
  <si>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</si>
  <si>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</si>
  <si>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</si>
  <si>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</si>
  <si>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</si>
  <si>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</si>
  <si>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</si>
  <si>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</si>
  <si>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</si>
  <si>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</si>
  <si>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</si>
  <si>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</si>
  <si>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</si>
  <si>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</si>
  <si>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</si>
  <si>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</si>
  <si>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</si>
  <si>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</si>
  <si>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</si>
  <si>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</si>
  <si>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</si>
  <si>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</si>
  <si>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</si>
  <si>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</si>
  <si>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</si>
  <si>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</si>
  <si>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</si>
  <si>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</si>
  <si>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</si>
  <si>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</si>
  <si>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</si>
  <si>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</si>
  <si>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</si>
  <si>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</si>
  <si>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</si>
  <si>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</si>
  <si>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</si>
  <si>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</si>
  <si>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</si>
  <si>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</si>
  <si>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</si>
  <si>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</si>
  <si>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</si>
  <si>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</si>
  <si>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</si>
  <si>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</si>
  <si>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</si>
  <si>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</si>
  <si>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</si>
  <si>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</si>
  <si>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</si>
  <si>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</si>
  <si>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</si>
  <si>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</si>
  <si>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</si>
  <si>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</si>
  <si>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</si>
  <si>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</si>
  <si>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</si>
  <si>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</si>
  <si>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</si>
  <si>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</si>
  <si>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</si>
  <si>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</si>
  <si>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</si>
  <si>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</si>
  <si>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</si>
  <si>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</si>
  <si>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</si>
  <si>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</si>
  <si>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</si>
  <si>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</si>
  <si>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</si>
  <si>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</si>
  <si>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</si>
  <si>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</si>
  <si>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</si>
  <si>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</si>
  <si>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</si>
  <si>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</si>
  <si>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</si>
  <si>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</si>
  <si>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</si>
  <si>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</si>
  <si>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</si>
  <si>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</si>
  <si>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</si>
  <si>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</si>
  <si>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</si>
  <si>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</si>
  <si>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</si>
  <si>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</si>
  <si>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</si>
  <si>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</si>
  <si>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</si>
  <si>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</si>
  <si>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</si>
  <si>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</si>
  <si>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</si>
  <si>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</si>
  <si>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</si>
  <si>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</si>
  <si>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</si>
  <si>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</si>
  <si>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</si>
  <si>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</si>
  <si>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</si>
  <si>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</si>
  <si>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</si>
  <si>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</si>
  <si>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</si>
  <si>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</si>
  <si>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</si>
  <si>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</si>
  <si>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</si>
  <si>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</si>
  <si>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</si>
  <si>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</si>
  <si>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</si>
  <si>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</si>
  <si>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</si>
  <si>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</si>
  <si>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</si>
  <si>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</si>
  <si>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</si>
  <si>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</si>
  <si>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</si>
  <si>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</si>
  <si>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</si>
  <si>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</si>
  <si>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</si>
  <si>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</si>
  <si>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</si>
  <si>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</si>
  <si>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</si>
  <si>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</si>
  <si>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</si>
  <si>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</si>
  <si>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</si>
  <si>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</si>
  <si>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</si>
  <si>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</si>
  <si>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</si>
  <si>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</si>
  <si>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</si>
  <si>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</si>
  <si>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</si>
  <si>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</si>
  <si>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</si>
  <si>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</si>
  <si>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</si>
  <si>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</si>
  <si>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</si>
  <si>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</si>
  <si>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</si>
  <si>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</si>
  <si>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</si>
  <si>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</si>
  <si>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</si>
  <si>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</si>
  <si>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</si>
  <si>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</si>
  <si>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</si>
  <si>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</si>
  <si>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</si>
  <si>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</si>
  <si>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</si>
  <si>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</si>
  <si>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</si>
  <si>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</si>
  <si>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</si>
  <si>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</si>
  <si>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</si>
  <si>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</si>
  <si>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</si>
  <si>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</si>
  <si>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</si>
  <si>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</si>
  <si>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</si>
  <si>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</si>
  <si>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</si>
  <si>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</si>
  <si>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</si>
  <si>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</si>
  <si>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</si>
  <si>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</si>
  <si>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</si>
  <si>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</si>
  <si>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</si>
  <si>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</si>
  <si>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</si>
  <si>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</si>
  <si>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</si>
  <si>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</si>
  <si>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</si>
  <si>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</si>
  <si>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</si>
  <si>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</si>
  <si>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</si>
  <si>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</si>
  <si>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</si>
  <si>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</si>
  <si>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</si>
  <si>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</si>
  <si>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</si>
  <si>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</si>
  <si>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</si>
  <si>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</si>
  <si>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</si>
  <si>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</si>
  <si>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</si>
  <si>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</si>
  <si>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</si>
  <si>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</si>
  <si>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</si>
  <si>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</si>
  <si>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</si>
  <si>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</si>
  <si>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</si>
  <si>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</si>
  <si>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</si>
  <si>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</si>
  <si>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</si>
  <si>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</si>
  <si>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</si>
  <si>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</si>
  <si>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</si>
  <si>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</si>
  <si>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</si>
  <si>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</si>
  <si>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</si>
  <si>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</si>
  <si>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</si>
  <si>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</si>
  <si>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</si>
  <si>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</si>
  <si>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</si>
  <si>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</si>
  <si>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</si>
  <si>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</si>
  <si>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</si>
  <si>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</si>
  <si>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</si>
  <si>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</si>
  <si>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</si>
  <si>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</si>
  <si>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</si>
  <si>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</si>
  <si>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</si>
  <si>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</si>
  <si>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</si>
  <si>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</si>
  <si>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</si>
  <si>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</si>
  <si>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</si>
  <si>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</si>
  <si>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</si>
  <si>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</si>
  <si>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</si>
  <si>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</si>
  <si>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</si>
  <si>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</si>
  <si>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</si>
  <si>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</si>
  <si>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</si>
  <si>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</si>
  <si>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</si>
  <si>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</si>
  <si>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</si>
  <si>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</si>
  <si>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</si>
  <si>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</si>
  <si>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</si>
  <si>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</si>
  <si>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</si>
  <si>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</si>
  <si>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</si>
  <si>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</si>
  <si>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</si>
  <si>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</si>
  <si>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</si>
  <si>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</si>
  <si>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</si>
  <si>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</si>
  <si>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</si>
  <si>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</si>
  <si>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</si>
  <si>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</si>
  <si>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</si>
  <si>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</si>
  <si>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</si>
  <si>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</si>
  <si>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</si>
  <si>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</si>
  <si>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</si>
  <si>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</si>
  <si>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</si>
  <si>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</si>
  <si>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</si>
  <si>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</si>
  <si>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</si>
  <si>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</si>
  <si>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</si>
  <si>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</si>
  <si>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</si>
  <si>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</si>
  <si>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</si>
  <si>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</si>
  <si>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</si>
  <si>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</si>
  <si>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</si>
  <si>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</si>
  <si>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</si>
  <si>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</si>
  <si>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</si>
  <si>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</si>
  <si>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</si>
  <si>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</si>
  <si>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</si>
  <si>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</si>
  <si>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</si>
  <si>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</si>
  <si>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</si>
  <si>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</si>
  <si>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</si>
  <si>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</si>
  <si>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</si>
  <si>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</si>
  <si>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</si>
  <si>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</si>
  <si>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</si>
  <si>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</si>
  <si>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</si>
  <si>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</si>
  <si>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</si>
  <si>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</si>
  <si>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</si>
  <si>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</si>
  <si>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</si>
  <si>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</si>
  <si>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</si>
  <si>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</si>
  <si>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</si>
  <si>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</si>
  <si>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</si>
  <si>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</si>
  <si>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</si>
  <si>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</si>
  <si>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</si>
  <si>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</si>
  <si>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</si>
  <si>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</si>
  <si>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</si>
  <si>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</si>
  <si>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</si>
  <si>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</si>
  <si>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</si>
  <si>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</si>
  <si>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</si>
  <si>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</si>
  <si>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</si>
  <si>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</si>
  <si>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</si>
  <si>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</si>
  <si>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</si>
  <si>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</si>
  <si>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</si>
  <si>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</si>
  <si>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</si>
  <si>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</si>
  <si>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</si>
  <si>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</si>
  <si>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</si>
  <si>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</si>
  <si>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</si>
  <si>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</si>
  <si>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</si>
  <si>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</si>
  <si>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</si>
  <si>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</si>
  <si>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</si>
  <si>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</si>
  <si>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</si>
  <si>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</si>
  <si>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</si>
  <si>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</si>
  <si>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</si>
  <si>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</si>
  <si>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</si>
  <si>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</si>
  <si>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</si>
  <si>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</si>
  <si>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</si>
  <si>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</si>
  <si>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</si>
  <si>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</si>
  <si>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</si>
  <si>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</si>
  <si>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</si>
  <si>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</si>
  <si>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</si>
  <si>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</si>
  <si>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</si>
  <si>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</si>
  <si>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</si>
  <si>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</si>
  <si>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</si>
  <si>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</si>
  <si>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</si>
  <si>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</si>
  <si>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</si>
  <si>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</si>
  <si>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</si>
  <si>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</si>
  <si>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</si>
  <si>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</si>
  <si>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</si>
  <si>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</si>
  <si>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</si>
  <si>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</si>
  <si>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</si>
  <si>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</si>
  <si>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</si>
  <si>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</si>
  <si>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</si>
  <si>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</si>
  <si>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</si>
  <si>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</si>
  <si>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</si>
  <si>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</si>
  <si>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</si>
  <si>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</si>
  <si>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</si>
  <si>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</si>
  <si>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</si>
  <si>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</si>
  <si>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</si>
  <si>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</si>
  <si>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</si>
  <si>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</si>
  <si>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</si>
  <si>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</si>
  <si>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</si>
  <si>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</si>
  <si>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</si>
  <si>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</si>
  <si>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</si>
  <si>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</si>
  <si>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</si>
  <si>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</si>
  <si>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</si>
  <si>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</si>
  <si>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</si>
  <si>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</si>
  <si>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</si>
  <si>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</si>
  <si>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</si>
  <si>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</si>
  <si>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</si>
  <si>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</si>
  <si>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</si>
  <si>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</si>
  <si>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</si>
  <si>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</si>
  <si>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</si>
  <si>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</si>
  <si>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</si>
  <si>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</si>
  <si>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</si>
  <si>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</si>
  <si>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</si>
  <si>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</si>
  <si>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</si>
  <si>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</si>
  <si>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</si>
  <si>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</si>
  <si>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</si>
  <si>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</si>
  <si>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</si>
  <si>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</si>
  <si>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</si>
  <si>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</si>
  <si>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</si>
  <si>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</si>
  <si>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</si>
  <si>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</si>
  <si>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</si>
  <si>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</si>
  <si>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</si>
  <si>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</si>
  <si>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</si>
  <si>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</si>
  <si>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</si>
  <si>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</si>
  <si>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</si>
  <si>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</si>
  <si>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</si>
  <si>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</si>
  <si>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</si>
  <si>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</si>
  <si>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</si>
  <si>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</si>
  <si>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</si>
  <si>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</si>
  <si>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</si>
  <si>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</si>
  <si>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</si>
  <si>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</si>
  <si>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</si>
  <si>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</si>
  <si>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</si>
  <si>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</si>
  <si>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</si>
  <si>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</si>
  <si>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</si>
  <si>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</si>
  <si>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</si>
  <si>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</si>
  <si>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</si>
  <si>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</si>
  <si>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</si>
  <si>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</si>
  <si>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</si>
  <si>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</si>
  <si>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</si>
  <si>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</si>
  <si>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</si>
  <si>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</si>
  <si>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</si>
  <si>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</si>
  <si>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</si>
  <si>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</si>
  <si>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</si>
  <si>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</si>
  <si>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</si>
  <si>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</si>
  <si>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</si>
  <si>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</si>
  <si>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</si>
  <si>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</si>
  <si>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</si>
  <si>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</si>
  <si>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</si>
  <si>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</si>
  <si>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</si>
  <si>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</si>
  <si>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</si>
  <si>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</si>
  <si>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</si>
  <si>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</si>
  <si>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</si>
  <si>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</si>
  <si>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</si>
  <si>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</si>
  <si>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</si>
  <si>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</si>
  <si>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</si>
  <si>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</si>
  <si>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</si>
  <si>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</si>
  <si>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</si>
  <si>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</si>
  <si>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</si>
  <si>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</si>
  <si>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</si>
  <si>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</si>
  <si>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</si>
  <si>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</si>
  <si>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</si>
  <si>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</si>
  <si>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</si>
  <si>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</si>
  <si>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</si>
  <si>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</si>
  <si>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</si>
  <si>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</si>
  <si>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</si>
  <si>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</si>
  <si>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</si>
  <si>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</si>
  <si>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</si>
  <si>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</si>
  <si>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</si>
  <si>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</si>
  <si>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</si>
  <si>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</si>
  <si>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</si>
  <si>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</si>
  <si>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</si>
  <si>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</si>
  <si>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</si>
  <si>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</si>
  <si>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</si>
  <si>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</si>
  <si>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</si>
  <si>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</si>
  <si>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</si>
  <si>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</si>
  <si>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</si>
  <si>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</si>
  <si>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</si>
  <si>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</si>
  <si>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</si>
  <si>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</si>
  <si>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</si>
  <si>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</si>
  <si>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</si>
  <si>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</si>
  <si>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</si>
  <si>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</si>
  <si>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</si>
  <si>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</si>
  <si>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</si>
  <si>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</si>
  <si>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</si>
  <si>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</si>
  <si>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</si>
  <si>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</si>
  <si>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</si>
  <si>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</si>
  <si>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</si>
  <si>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</si>
  <si>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</si>
  <si>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</si>
  <si>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</si>
  <si>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</si>
  <si>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</si>
  <si>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</si>
  <si>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</si>
  <si>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</si>
  <si>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</si>
  <si>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</si>
  <si>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</si>
  <si>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</si>
  <si>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</si>
  <si>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</si>
  <si>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</si>
  <si>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</si>
  <si>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</si>
  <si>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</si>
  <si>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</si>
  <si>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</si>
  <si>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</si>
  <si>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</si>
  <si>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</si>
  <si>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</si>
  <si>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</si>
  <si>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</si>
  <si>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</si>
  <si>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</si>
  <si>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</si>
  <si>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</si>
  <si>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</si>
  <si>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</si>
  <si>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</si>
  <si>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</si>
  <si>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</si>
  <si>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</si>
  <si>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</si>
  <si>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</si>
  <si>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</si>
  <si>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</si>
  <si>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</si>
  <si>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</si>
  <si>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</si>
  <si>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</si>
  <si>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</si>
  <si>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</si>
  <si>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</si>
  <si>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</si>
  <si>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</si>
  <si>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</si>
  <si>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</si>
  <si>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</si>
  <si>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</si>
  <si>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</si>
  <si>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</si>
  <si>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</si>
  <si>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</si>
  <si>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</si>
  <si>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</si>
  <si>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</si>
  <si>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</si>
  <si>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</si>
  <si>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</si>
  <si>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</si>
  <si>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</si>
  <si>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</si>
  <si>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</si>
  <si>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</si>
  <si>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</si>
  <si>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</si>
  <si>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</si>
  <si>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</si>
  <si>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</si>
  <si>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</si>
  <si>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</si>
  <si>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</si>
  <si>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</si>
  <si>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</si>
  <si>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</si>
  <si>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</si>
  <si>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</si>
  <si>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</si>
  <si>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</si>
  <si>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</si>
  <si>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</si>
  <si>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</si>
  <si>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</si>
  <si>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</si>
  <si>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</si>
  <si>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</si>
  <si>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</si>
  <si>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</si>
  <si>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</si>
  <si>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</si>
  <si>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</si>
  <si>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</si>
  <si>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</si>
  <si>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</si>
  <si>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</si>
  <si>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</si>
  <si>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</si>
  <si>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</si>
  <si>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</si>
  <si>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</si>
  <si>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</si>
  <si>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</si>
  <si>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</si>
  <si>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</si>
  <si>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</si>
  <si>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</si>
  <si>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</si>
  <si>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</si>
  <si>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</si>
  <si>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</si>
  <si>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</si>
  <si>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</si>
  <si>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</si>
  <si>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</si>
  <si>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</si>
  <si>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</si>
  <si>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</si>
  <si>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</si>
  <si>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</si>
  <si>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</si>
  <si>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</si>
  <si>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</si>
  <si>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</si>
  <si>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</si>
  <si>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</si>
  <si>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</si>
  <si>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</si>
  <si>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</si>
  <si>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</si>
  <si>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</si>
  <si>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</si>
  <si>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</si>
  <si>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</si>
  <si>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</si>
  <si>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</si>
  <si>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</si>
  <si>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</si>
  <si>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</si>
  <si>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</si>
  <si>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</si>
  <si>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</si>
  <si>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</si>
  <si>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</si>
  <si>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</si>
  <si>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</si>
  <si>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</si>
  <si>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</si>
  <si>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</si>
  <si>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</si>
  <si>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</si>
  <si>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</si>
  <si>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</si>
  <si>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</si>
  <si>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</si>
  <si>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</si>
  <si>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</si>
  <si>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</si>
  <si>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</si>
  <si>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</si>
  <si>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</si>
  <si>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</si>
  <si>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</si>
  <si>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</si>
  <si>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</si>
  <si>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</si>
  <si>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</si>
  <si>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</si>
  <si>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</si>
  <si>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</si>
  <si>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</si>
  <si>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</si>
  <si>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</si>
  <si>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</si>
  <si>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</si>
  <si>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</si>
  <si>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</si>
  <si>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</si>
  <si>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</si>
  <si>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</si>
  <si>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</si>
  <si>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</si>
  <si>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</si>
  <si>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</si>
  <si>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</si>
  <si>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</si>
  <si>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</si>
  <si>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</si>
  <si>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</si>
  <si>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</si>
  <si>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</si>
  <si>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</si>
  <si>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</si>
  <si>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</si>
  <si>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</si>
  <si>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</si>
  <si>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</si>
  <si>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</si>
  <si>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</si>
  <si>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</si>
  <si>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</si>
  <si>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</si>
  <si>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</si>
  <si>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</si>
  <si>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</si>
  <si>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</si>
  <si>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</si>
  <si>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</si>
  <si>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</si>
  <si>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</si>
  <si>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</si>
  <si>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</si>
  <si>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</si>
  <si>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</si>
  <si>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</si>
  <si>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</si>
  <si>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</si>
  <si>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</si>
  <si>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</si>
  <si>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</si>
  <si>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</si>
  <si>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</si>
  <si>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</si>
  <si>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</si>
  <si>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</si>
  <si>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</si>
  <si>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</si>
  <si>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</si>
  <si>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</si>
  <si>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</si>
  <si>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</si>
  <si>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</si>
  <si>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</si>
  <si>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</si>
  <si>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</si>
  <si>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</si>
  <si>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</si>
  <si>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</si>
  <si>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</si>
  <si>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</si>
  <si>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</si>
  <si>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</si>
  <si>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</si>
  <si>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</si>
  <si>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</si>
  <si>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</si>
  <si>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</si>
  <si>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</si>
  <si>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</si>
  <si>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</si>
  <si>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</si>
  <si>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</si>
  <si>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</si>
  <si>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</si>
  <si>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</si>
  <si>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</si>
  <si>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</si>
  <si>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</si>
  <si>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</si>
  <si>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</si>
  <si>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</si>
  <si>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</si>
  <si>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</si>
  <si>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</si>
  <si>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</si>
  <si>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</si>
  <si>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</si>
  <si>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</si>
  <si>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</si>
  <si>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</si>
  <si>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</si>
  <si>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</si>
  <si>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</si>
  <si>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</si>
  <si>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</si>
  <si>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</si>
  <si>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</si>
  <si>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</si>
  <si>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</si>
  <si>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</si>
  <si>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</si>
  <si>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</si>
  <si>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</si>
  <si>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</si>
  <si>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</si>
  <si>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</si>
  <si>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</si>
  <si>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</si>
  <si>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</si>
  <si>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</si>
  <si>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</si>
  <si>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</si>
  <si>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</si>
  <si>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</si>
  <si>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</si>
  <si>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</si>
  <si>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</si>
  <si>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</si>
  <si>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</si>
  <si>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</si>
  <si>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</si>
  <si>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</si>
  <si>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</si>
  <si>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</si>
  <si>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</si>
  <si>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</si>
  <si>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</si>
  <si>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</si>
  <si>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</si>
  <si>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</si>
  <si>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</si>
  <si>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</si>
  <si>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</si>
  <si>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</si>
  <si>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</si>
  <si>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</si>
  <si>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</si>
  <si>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</si>
  <si>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</si>
  <si>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</si>
  <si>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</si>
  <si>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</si>
  <si>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</si>
  <si>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</si>
  <si>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</si>
  <si>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</si>
  <si>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</si>
  <si>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</si>
  <si>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</si>
  <si>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</si>
  <si>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</si>
  <si>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</si>
  <si>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</si>
  <si>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</si>
  <si>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</si>
  <si>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</si>
  <si>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</si>
  <si>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</si>
  <si>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</si>
  <si>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</si>
  <si>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</si>
  <si>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</si>
  <si>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</si>
  <si>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</si>
  <si>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</si>
  <si>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</si>
  <si>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</si>
  <si>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</si>
  <si>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</si>
  <si>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</si>
  <si>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</si>
  <si>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</si>
  <si>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</si>
  <si>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</si>
  <si>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</si>
  <si>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</si>
  <si>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</si>
  <si>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</si>
  <si>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</si>
  <si>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</si>
  <si>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</si>
  <si>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</si>
  <si>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</si>
  <si>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</si>
  <si>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</si>
  <si>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</si>
  <si>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</si>
  <si>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</si>
  <si>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</si>
  <si>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</si>
  <si>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</si>
  <si>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</si>
  <si>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</si>
  <si>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</si>
  <si>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</si>
  <si>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</si>
  <si>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</si>
  <si>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</si>
  <si>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</si>
  <si>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</si>
  <si>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</si>
  <si>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</si>
  <si>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</si>
  <si>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</si>
  <si>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</si>
  <si>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</si>
  <si>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</si>
  <si>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</si>
  <si>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</si>
  <si>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</si>
  <si>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</si>
  <si>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</si>
  <si>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</si>
  <si>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</si>
  <si>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</si>
  <si>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</si>
  <si>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</si>
  <si>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</si>
  <si>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</si>
  <si>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</si>
  <si>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</si>
  <si>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</si>
  <si>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</si>
  <si>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</si>
  <si>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</si>
  <si>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</si>
  <si>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</si>
  <si>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</si>
  <si>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</si>
  <si>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</si>
  <si>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</si>
  <si>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</si>
  <si>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</si>
  <si>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</si>
  <si>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</si>
  <si>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</si>
  <si>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</si>
  <si>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</si>
  <si>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</si>
  <si>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</si>
  <si>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</si>
  <si>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</si>
  <si>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</si>
  <si>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</si>
  <si>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</si>
  <si>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</si>
  <si>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</si>
  <si>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</si>
  <si>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</si>
  <si>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</si>
  <si>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</si>
  <si>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</si>
  <si>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</si>
  <si>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</si>
  <si>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</si>
  <si>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</si>
  <si>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</si>
  <si>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</si>
  <si>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</si>
  <si>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</si>
  <si>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</si>
  <si>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</si>
  <si>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</si>
  <si>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</si>
  <si>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</si>
  <si>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</si>
  <si>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</si>
  <si>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</si>
  <si>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</si>
  <si>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</si>
  <si>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</si>
  <si>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</si>
  <si>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</si>
  <si>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</si>
  <si>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</si>
  <si>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</si>
  <si>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</si>
  <si>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</si>
  <si>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</si>
  <si>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</si>
  <si>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</si>
  <si>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</si>
  <si>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</si>
  <si>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</si>
  <si>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</si>
  <si>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</si>
  <si>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</si>
  <si>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</si>
  <si>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</si>
  <si>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</si>
  <si>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</si>
  <si>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</si>
  <si>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</si>
  <si>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</si>
  <si>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</si>
  <si>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</si>
  <si>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</si>
  <si>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</si>
  <si>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</si>
  <si>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</si>
  <si>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</si>
  <si>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</si>
  <si>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</si>
  <si>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</si>
  <si>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</si>
  <si>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</si>
  <si>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</si>
  <si>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</si>
  <si>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</si>
  <si>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</si>
  <si>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</si>
  <si>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</si>
  <si>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</si>
  <si>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</si>
  <si>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</si>
  <si>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</si>
  <si>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</si>
  <si>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</si>
  <si>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</si>
  <si>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</si>
  <si>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</si>
  <si>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</si>
  <si>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</si>
  <si>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</si>
  <si>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</si>
  <si>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</si>
  <si>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</si>
  <si>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</si>
  <si>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</si>
  <si>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</si>
  <si>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</si>
  <si>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</si>
  <si>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</si>
  <si>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</si>
  <si>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</si>
  <si>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</si>
  <si>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</si>
  <si>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</si>
  <si>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</si>
  <si>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</si>
  <si>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</si>
  <si>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</si>
  <si>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</si>
  <si>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</si>
  <si>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</si>
  <si>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</si>
  <si>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</si>
  <si>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</si>
  <si>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</si>
  <si>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</si>
  <si>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</si>
  <si>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</si>
  <si>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</si>
  <si>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</si>
  <si>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</si>
  <si>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</si>
  <si>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</si>
  <si>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</si>
  <si>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</si>
  <si>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</si>
  <si>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</si>
  <si>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</si>
  <si>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</si>
  <si>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</si>
  <si>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</si>
  <si>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</si>
  <si>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</si>
  <si>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</si>
  <si>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</si>
  <si>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</si>
  <si>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</si>
  <si>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</si>
  <si>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</si>
  <si>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</si>
  <si>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</si>
  <si>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</si>
  <si>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</si>
  <si>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</si>
  <si>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</si>
  <si>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</si>
  <si>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</si>
  <si>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</si>
  <si>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</si>
  <si>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</si>
  <si>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</si>
  <si>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</si>
  <si>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</si>
  <si>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</si>
  <si>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</si>
  <si>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</si>
  <si>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</si>
  <si>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</si>
  <si>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</si>
  <si>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</si>
  <si>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</si>
  <si>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</si>
  <si>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</si>
  <si>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</si>
  <si>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</si>
  <si>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</si>
  <si>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</si>
  <si>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</si>
  <si>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</si>
  <si>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</si>
  <si>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</si>
  <si>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</si>
  <si>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</si>
  <si>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</si>
  <si>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</si>
  <si>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</si>
  <si>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</si>
  <si>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</si>
  <si>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</si>
  <si>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</si>
  <si>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</si>
  <si>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</si>
  <si>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</si>
  <si>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</si>
  <si>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</si>
  <si>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</si>
  <si>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</si>
  <si>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</si>
  <si>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</si>
  <si>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</si>
  <si>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</si>
  <si>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</si>
  <si>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</si>
  <si>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</si>
  <si>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</si>
  <si>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</si>
  <si>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</si>
  <si>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</si>
  <si>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</si>
  <si>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</si>
  <si>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</si>
  <si>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</si>
  <si>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</si>
  <si>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</si>
  <si>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</si>
  <si>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</si>
  <si>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</si>
  <si>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</si>
  <si>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</si>
  <si>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</si>
  <si>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</si>
  <si>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</si>
  <si>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</si>
  <si>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</si>
  <si>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</si>
  <si>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</si>
  <si>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</si>
  <si>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</si>
  <si>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</si>
  <si>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</si>
  <si>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</si>
  <si>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</si>
  <si>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</si>
  <si>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</si>
  <si>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</si>
  <si>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</si>
  <si>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</si>
  <si>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</si>
  <si>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</si>
  <si>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</si>
  <si>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</si>
  <si>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</si>
  <si>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</si>
  <si>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</si>
  <si>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</si>
  <si>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</si>
  <si>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</si>
  <si>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</si>
  <si>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</si>
  <si>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</si>
  <si>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</si>
  <si>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</si>
  <si>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</si>
  <si>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</si>
  <si>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</si>
  <si>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</si>
  <si>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</si>
  <si>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</si>
  <si>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</si>
  <si>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</si>
  <si>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</si>
  <si>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</si>
  <si>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</si>
  <si>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</si>
  <si>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</si>
  <si>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</si>
  <si>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</si>
  <si>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</si>
  <si>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</si>
  <si>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</si>
  <si>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</si>
  <si>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</si>
  <si>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</si>
  <si>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</si>
  <si>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</si>
  <si>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</si>
  <si>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</si>
  <si>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</si>
  <si>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</si>
  <si>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</si>
  <si>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</si>
  <si>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</si>
  <si>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</si>
  <si>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</si>
  <si>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</si>
  <si>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</si>
  <si>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</si>
  <si>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</si>
  <si>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</si>
  <si>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</si>
  <si>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</si>
  <si>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</si>
  <si>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</si>
  <si>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</si>
  <si>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</si>
  <si>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</si>
  <si>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</si>
  <si>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</si>
  <si>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</si>
  <si>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</si>
  <si>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</si>
  <si>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</si>
  <si>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</si>
  <si>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</si>
  <si>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</si>
  <si>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</si>
  <si>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</si>
  <si>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</si>
  <si>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</si>
  <si>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</si>
  <si>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</si>
  <si>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</si>
  <si>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</si>
  <si>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</si>
  <si>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</si>
  <si>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</si>
  <si>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</si>
  <si>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</si>
  <si>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</si>
  <si>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</si>
  <si>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</si>
  <si>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</si>
  <si>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</si>
  <si>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</si>
  <si>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</si>
  <si>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</si>
  <si>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</si>
  <si>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</si>
  <si>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</si>
  <si>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</si>
  <si>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</si>
  <si>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</si>
  <si>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</si>
  <si>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</si>
  <si>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</si>
  <si>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</si>
  <si>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</si>
  <si>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</si>
  <si>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</si>
  <si>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</si>
  <si>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</si>
  <si>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</si>
  <si>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</si>
  <si>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</si>
  <si>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</si>
  <si>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</si>
  <si>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</si>
  <si>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</si>
  <si>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</si>
  <si>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</si>
  <si>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</si>
  <si>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</si>
  <si>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</si>
  <si>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</si>
  <si>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</si>
  <si>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</si>
  <si>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</si>
  <si>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</si>
  <si>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</si>
  <si>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</si>
  <si>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</si>
  <si>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</si>
  <si>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</si>
  <si>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</si>
  <si>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</si>
  <si>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</si>
  <si>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</si>
  <si>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</si>
  <si>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</si>
  <si>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</si>
  <si>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</si>
  <si>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</si>
  <si>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</si>
  <si>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</si>
  <si>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</si>
  <si>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</si>
  <si>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</si>
  <si>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</si>
  <si>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</si>
  <si>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</si>
  <si>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</si>
  <si>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</si>
  <si>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</si>
  <si>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</si>
  <si>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</si>
  <si>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</si>
  <si>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</si>
  <si>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</si>
  <si>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</si>
  <si>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</si>
  <si>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</si>
  <si>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</si>
  <si>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</si>
  <si>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</si>
  <si>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</si>
  <si>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</si>
  <si>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</si>
  <si>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</si>
  <si>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</si>
  <si>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</si>
  <si>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</si>
  <si>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</si>
  <si>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</si>
  <si>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</si>
  <si>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</si>
  <si>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</si>
  <si>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</si>
  <si>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</si>
  <si>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</si>
  <si>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</si>
  <si>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</si>
  <si>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</si>
  <si>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</si>
  <si>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</si>
  <si>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</si>
  <si>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</si>
  <si>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</si>
  <si>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</si>
  <si>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</si>
  <si>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</si>
  <si>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</si>
  <si>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</si>
  <si>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</si>
  <si>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</si>
  <si>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</si>
  <si>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</si>
  <si>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</si>
  <si>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</si>
  <si>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</si>
  <si>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</si>
  <si>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</si>
  <si>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</si>
  <si>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</si>
  <si>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</si>
  <si>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</si>
  <si>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</si>
  <si>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</si>
  <si>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</si>
  <si>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</si>
  <si>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</si>
  <si>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</si>
  <si>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</si>
  <si>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</si>
  <si>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</si>
  <si>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</si>
  <si>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</si>
  <si>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</si>
  <si>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</si>
  <si>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</si>
  <si>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</si>
  <si>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</si>
  <si>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</si>
  <si>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</si>
  <si>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</si>
  <si>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</si>
  <si>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</si>
  <si>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</si>
  <si>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</si>
  <si>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</si>
  <si>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</si>
  <si>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</si>
  <si>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</si>
  <si>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</si>
  <si>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</si>
  <si>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</si>
  <si>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</si>
  <si>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</si>
  <si>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</si>
  <si>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</si>
  <si>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</si>
  <si>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</si>
  <si>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</si>
  <si>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</si>
  <si>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</si>
  <si>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</si>
  <si>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</si>
  <si>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</si>
  <si>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</si>
  <si>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</si>
  <si>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</si>
  <si>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phoneticPr fontId="222" type="noConversion"/>
  </si>
  <si>
    <t>地下</t>
    <phoneticPr fontId="222" type="noConversion"/>
  </si>
  <si>
    <t>-1层</t>
    <phoneticPr fontId="222" type="noConversion"/>
  </si>
  <si>
    <t>1层</t>
    <phoneticPr fontId="222" type="noConversion"/>
  </si>
  <si>
    <t>2层及以上</t>
    <phoneticPr fontId="222" type="noConversion"/>
  </si>
  <si>
    <t>合计</t>
    <phoneticPr fontId="222" type="noConversion"/>
  </si>
  <si>
    <t>正常</t>
  </si>
  <si>
    <t>地块名称</t>
  </si>
  <si>
    <t>城市</t>
  </si>
  <si>
    <t>地块编号</t>
  </si>
  <si>
    <t>用地性质</t>
  </si>
  <si>
    <t>建设用地面积(㎡)</t>
  </si>
  <si>
    <t>规划建筑面积(㎡)</t>
  </si>
  <si>
    <t>出让方式</t>
  </si>
  <si>
    <t>详细规划</t>
  </si>
  <si>
    <t>集中供地</t>
  </si>
  <si>
    <t>成交日期</t>
  </si>
  <si>
    <t>成交状态</t>
  </si>
  <si>
    <t>受让单位</t>
  </si>
  <si>
    <t>起始价(万元)</t>
  </si>
  <si>
    <t>保证金(万元)</t>
  </si>
  <si>
    <t>保证金截止时间</t>
  </si>
  <si>
    <t>成交价(万元)</t>
  </si>
  <si>
    <t>成交每亩价(万元/亩)</t>
  </si>
  <si>
    <t>成交楼面价(元/㎡)</t>
  </si>
  <si>
    <t>溢价率(%)</t>
  </si>
  <si>
    <t>出让年限(年)</t>
  </si>
  <si>
    <t>北京市通州区永顺镇0401街区 46号地块(西马庄收储) B4综合性商业金融服务业用地</t>
  </si>
  <si>
    <t>京土储挂(通)〔2023〕004号</t>
  </si>
  <si>
    <t xml:space="preserve"> 商业/办公用地</t>
  </si>
  <si>
    <t xml:space="preserve"> ≤2.8</t>
  </si>
  <si>
    <t xml:space="preserve"> 挂牌</t>
  </si>
  <si>
    <t xml:space="preserve"> B4综合性商业金融服务业用地</t>
  </si>
  <si>
    <t xml:space="preserve">-- </t>
  </si>
  <si>
    <t xml:space="preserve"> 已成交</t>
  </si>
  <si>
    <t xml:space="preserve"> 北京易创通景信息科技有限公司  </t>
  </si>
  <si>
    <t xml:space="preserve"> 商业 40 年、办公 50 年</t>
  </si>
  <si>
    <t>北京市朝阳区朝阳站交通枢纽南侧建设用地一体化项目0313-5597、5598、5599地块B4综合性商业金融服务业用地</t>
  </si>
  <si>
    <t>京土储挂(朝)[2023]001号</t>
  </si>
  <si>
    <t xml:space="preserve"> 北京顺进商务咨询有限公司  </t>
  </si>
  <si>
    <t>2023-02-23 15:00</t>
  </si>
  <si>
    <t xml:space="preserve"> 商业40年办公50年</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</si>
  <si>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</si>
  <si>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</si>
  <si>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</si>
  <si>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</si>
  <si>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</si>
  <si>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</si>
  <si>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</si>
  <si>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</si>
  <si>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</si>
  <si>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</si>
  <si>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</si>
  <si>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</si>
  <si>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</si>
  <si>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</si>
  <si>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</si>
  <si>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</si>
  <si>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2023-01-04 15:00</t>
  </si>
  <si>
    <t xml:space="preserve"> 50年</t>
  </si>
  <si>
    <t>北京市海淀区西北旺镇永丰产业基地(新)HD00-0403-009地块F3其他类多功能用地</t>
  </si>
  <si>
    <t>京土储挂(海)[2022]063号</t>
  </si>
  <si>
    <t xml:space="preserve"> F3其他类多功能用地</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</si>
  <si>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</si>
  <si>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</si>
  <si>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</si>
  <si>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</si>
  <si>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</si>
  <si>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</si>
  <si>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</si>
  <si>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</si>
  <si>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</si>
  <si>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2022-08-25 15:00</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</si>
  <si>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</si>
  <si>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</si>
  <si>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</si>
  <si>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</si>
  <si>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</si>
  <si>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</si>
  <si>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</si>
  <si>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</si>
  <si>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</si>
  <si>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</si>
  <si>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</si>
  <si>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</si>
  <si>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</si>
  <si>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</si>
  <si>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</si>
  <si>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</si>
  <si>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</si>
  <si>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</si>
  <si>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</si>
  <si>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</si>
  <si>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</si>
  <si>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</si>
  <si>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</si>
  <si>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</si>
  <si>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</si>
  <si>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</si>
  <si>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</si>
  <si>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</si>
  <si>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</si>
  <si>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</si>
  <si>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</si>
  <si>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</si>
  <si>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</si>
  <si>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</si>
  <si>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</si>
  <si>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</si>
  <si>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</si>
  <si>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</si>
  <si>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</si>
  <si>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</si>
  <si>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</si>
  <si>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</si>
  <si>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</si>
  <si>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</si>
  <si>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</si>
  <si>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</si>
  <si>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</si>
  <si>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</si>
  <si>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</si>
  <si>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</si>
  <si>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</si>
  <si>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</si>
  <si>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</si>
  <si>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</si>
  <si>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</si>
  <si>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</si>
  <si>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</si>
  <si>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</si>
  <si>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</si>
  <si>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</si>
  <si>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</si>
  <si>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</si>
  <si>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</si>
  <si>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</si>
  <si>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</si>
  <si>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</si>
  <si>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</si>
  <si>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</si>
  <si>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</si>
  <si>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</si>
  <si>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</si>
  <si>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</si>
  <si>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</si>
  <si>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</si>
  <si>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</si>
  <si>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</si>
  <si>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</si>
  <si>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</si>
  <si>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</si>
  <si>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</si>
  <si>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</si>
  <si>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</si>
  <si>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</si>
  <si>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</si>
  <si>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</si>
  <si>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</si>
  <si>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</si>
  <si>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</si>
  <si>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</si>
  <si>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</si>
  <si>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</si>
  <si>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</si>
  <si>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</si>
  <si>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</si>
  <si>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</si>
  <si>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</si>
  <si>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</si>
  <si>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</si>
  <si>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2020-12-11 15:00</t>
  </si>
  <si>
    <t>北京市海淀区西八里庄0711-652、640、641地块B4综合性商业金融服务业用地</t>
  </si>
  <si>
    <t>京土整储挂(海)[2020]042号</t>
  </si>
  <si>
    <t xml:space="preserve"> 0711一652≤4.5,0711一640≤1.7,0711一641≤1.3</t>
  </si>
  <si>
    <t xml:space="preserve"> 中国电建地产集团有限公司  </t>
  </si>
  <si>
    <t>2020-12-01 15:00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</si>
  <si>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</si>
  <si>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</si>
  <si>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</si>
  <si>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</si>
  <si>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</si>
  <si>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</si>
  <si>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</si>
  <si>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</si>
  <si>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</si>
  <si>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</si>
  <si>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</si>
  <si>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</si>
  <si>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</si>
  <si>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</si>
  <si>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</si>
  <si>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</si>
  <si>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</si>
  <si>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2020-07-31 15:00</t>
  </si>
  <si>
    <t>规则</t>
    <phoneticPr fontId="222" type="noConversion"/>
  </si>
  <si>
    <t>较规则</t>
  </si>
  <si>
    <t>较规则</t>
    <phoneticPr fontId="222" type="noConversion"/>
  </si>
  <si>
    <t>较不规则</t>
    <phoneticPr fontId="222" type="noConversion"/>
  </si>
  <si>
    <t>不规则</t>
    <phoneticPr fontId="222" type="noConversion"/>
  </si>
  <si>
    <t>七通</t>
    <phoneticPr fontId="222" type="noConversion"/>
  </si>
  <si>
    <t>六通</t>
    <phoneticPr fontId="222" type="noConversion"/>
  </si>
  <si>
    <t>五通</t>
    <phoneticPr fontId="222" type="noConversion"/>
  </si>
  <si>
    <t>四通</t>
    <phoneticPr fontId="222" type="noConversion"/>
  </si>
  <si>
    <t>较好</t>
    <phoneticPr fontId="222" type="noConversion"/>
  </si>
  <si>
    <t>较差</t>
  </si>
  <si>
    <t>三通/临三通</t>
  </si>
  <si>
    <t>三通/临三通</t>
    <phoneticPr fontId="222" type="noConversion"/>
  </si>
  <si>
    <t>办公</t>
    <phoneticPr fontId="222" type="noConversion"/>
  </si>
  <si>
    <t>综合</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</si>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</sst>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DBNum1][$-804]yyyy&quot;年&quot;m&quot;月&quot;d&quot;日&quot;;@"/>
    <numFmt numFmtId="179" formatCode="yyyy&quot;年&quot;m&quot;月&quot;;@"/>
    <numFmt numFmtId="180" formatCode="0.00_);[Red]\(0.00\)"/>
    <numFmt numFmtId="181" formatCode="0.0000_);[Red]\(0.0000\)"/>
    <numFmt numFmtId="182" formatCode="0.0000_ "/>
    <numFmt numFmtId="183" formatCode="0.0%"/>
    <numFmt numFmtId="184" formatCode="0.00_ "/>
    <numFmt numFmtId="185" formatCode="yyyy/m/d;@"/>
    <numFmt numFmtId="186" formatCode="0_ "/>
    <numFmt numFmtId="187" formatCode="[$-F800]dddd\,\ mmmm\ dd\,\ yyyy"/>
    <numFmt numFmtId="188" formatCode="yyyy&quot;年&quot;m&quot;月&quot;d&quot;日&quot;;@"/>
    <numFmt numFmtId="189" formatCode="0_);[Red]\(0\)"/>
    <numFmt numFmtId="190" formatCode="0_ ;[Red]\-0\ "/>
    <numFmt numFmtId="191" formatCode="0.000_ "/>
    <numFmt numFmtId="192" formatCode="0.000%"/>
    <numFmt numFmtId="193" formatCode="0.0_ "/>
    <numFmt numFmtId="194" formatCode="0.000_);[Red]\(0.000\)"/>
    <numFmt numFmtId="195" formatCode="0.0_);[Red]\(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宋体"/>
      <family val="3"/>
      <charset val="134"/>
      <scheme val="minor"/>
    </font>
    <font>
      <b/>
      <sz val="8"/>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1"/>
      <name val="华文细黑"/>
      <family val="3"/>
      <charset val="134"/>
    </font>
    <font>
      <sz val="12"/>
      <color theme="1"/>
      <name val="宋体"/>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0" fontId="221" fillId="0" borderId="0"/>
    <xf numFmtId="9" fontId="96" fillId="0" borderId="0" applyFont="0" applyFill="0" applyBorder="0" applyAlignment="0" applyProtection="0">
      <alignment vertical="center"/>
    </xf>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12" fillId="0" borderId="0"/>
    <xf numFmtId="0" fontId="224"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5"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9"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9"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9" fontId="17" fillId="6" borderId="23" xfId="5" applyNumberFormat="1" applyFont="1" applyFill="1" applyBorder="1" applyAlignment="1" applyProtection="1">
      <alignment horizontal="left" vertical="center" wrapText="1"/>
    </xf>
    <xf numFmtId="189"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9" fontId="17" fillId="6" borderId="23" xfId="5" applyNumberFormat="1" applyFont="1" applyFill="1" applyBorder="1" applyAlignment="1">
      <alignment horizontal="left" vertical="center" wrapText="1"/>
    </xf>
    <xf numFmtId="189"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9" fontId="17" fillId="6" borderId="22" xfId="5" applyNumberFormat="1" applyFont="1" applyFill="1" applyBorder="1" applyAlignment="1">
      <alignment horizontal="left" vertical="center" wrapText="1"/>
    </xf>
    <xf numFmtId="189"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9"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9" fontId="17" fillId="6" borderId="29" xfId="5" applyNumberFormat="1" applyFont="1" applyFill="1" applyBorder="1" applyAlignment="1">
      <alignment horizontal="left" vertical="center" wrapText="1"/>
    </xf>
    <xf numFmtId="189" fontId="17" fillId="6" borderId="31" xfId="5" applyNumberFormat="1" applyFont="1" applyFill="1" applyBorder="1" applyAlignment="1">
      <alignment horizontal="left" vertical="center" wrapText="1"/>
    </xf>
    <xf numFmtId="189" fontId="19" fillId="5" borderId="0" xfId="5" applyNumberFormat="1" applyFont="1" applyFill="1" applyAlignment="1">
      <alignment horizontal="left" vertical="center"/>
    </xf>
    <xf numFmtId="189"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6"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3" fontId="19" fillId="0" borderId="19" xfId="5" applyNumberFormat="1" applyFont="1" applyBorder="1" applyAlignment="1">
      <alignment horizontal="left" vertical="center"/>
    </xf>
    <xf numFmtId="183" fontId="19" fillId="0" borderId="0" xfId="5" applyNumberFormat="1" applyFont="1" applyAlignment="1">
      <alignment horizontal="left" vertical="center"/>
    </xf>
    <xf numFmtId="186"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6"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93" fontId="19" fillId="0" borderId="0" xfId="5" applyNumberFormat="1" applyFont="1" applyAlignment="1">
      <alignment horizontal="left" vertical="center"/>
    </xf>
    <xf numFmtId="193" fontId="19" fillId="0" borderId="18" xfId="5" applyNumberFormat="1" applyFont="1" applyBorder="1" applyAlignment="1">
      <alignment horizontal="left" vertical="center"/>
    </xf>
    <xf numFmtId="193"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3"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4"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5"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5"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5"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5"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5"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5"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5"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5" fontId="63" fillId="12" borderId="14" xfId="0" applyNumberFormat="1" applyFont="1" applyFill="1" applyBorder="1" applyAlignment="1" applyProtection="1">
      <alignment horizontal="center" vertical="center"/>
      <protection locked="0"/>
    </xf>
    <xf numFmtId="19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1" fillId="2" borderId="84" xfId="0" applyNumberFormat="1" applyFont="1" applyFill="1" applyBorder="1" applyAlignment="1" applyProtection="1">
      <alignment horizontal="center" vertical="center" wrapText="1"/>
    </xf>
    <xf numFmtId="19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9"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9" fontId="29" fillId="2" borderId="111" xfId="15" applyNumberFormat="1" applyFont="1" applyFill="1" applyBorder="1" applyAlignment="1">
      <alignment horizontal="left" vertical="center"/>
    </xf>
    <xf numFmtId="18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3"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9" fontId="25" fillId="2" borderId="7" xfId="15" applyNumberFormat="1" applyFont="1" applyFill="1" applyBorder="1" applyAlignment="1">
      <alignment horizontal="left" vertical="center"/>
    </xf>
    <xf numFmtId="183"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3"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9" fontId="25" fillId="0" borderId="7" xfId="15" applyNumberFormat="1" applyFont="1" applyFill="1" applyBorder="1" applyAlignment="1" applyProtection="1">
      <alignment horizontal="left" vertical="center"/>
      <protection locked="0"/>
    </xf>
    <xf numFmtId="183"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9" fontId="29" fillId="2" borderId="10" xfId="15" applyNumberFormat="1" applyFont="1" applyFill="1" applyBorder="1" applyAlignment="1">
      <alignment horizontal="left" vertical="center"/>
    </xf>
    <xf numFmtId="183"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9" fontId="29" fillId="2" borderId="39" xfId="15" applyNumberFormat="1" applyFont="1" applyFill="1" applyBorder="1" applyAlignment="1">
      <alignment horizontal="left" vertical="center"/>
    </xf>
    <xf numFmtId="183"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9" fontId="25" fillId="2" borderId="13" xfId="15" applyNumberFormat="1" applyFont="1" applyFill="1" applyBorder="1" applyAlignment="1">
      <alignment horizontal="left" vertical="center"/>
    </xf>
    <xf numFmtId="189" fontId="25" fillId="2" borderId="155" xfId="15" applyNumberFormat="1" applyFont="1" applyFill="1" applyBorder="1" applyAlignment="1">
      <alignment horizontal="left" vertical="center"/>
    </xf>
    <xf numFmtId="18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9" fontId="25" fillId="2" borderId="13" xfId="15" applyNumberFormat="1" applyFont="1" applyFill="1" applyBorder="1" applyAlignment="1">
      <alignment horizontal="right" vertical="center"/>
    </xf>
    <xf numFmtId="183" fontId="25" fillId="0" borderId="155" xfId="15" applyNumberFormat="1" applyFont="1" applyFill="1" applyBorder="1" applyAlignment="1" applyProtection="1">
      <alignment horizontal="right" vertical="center"/>
      <protection locked="0"/>
    </xf>
    <xf numFmtId="183"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3"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3" fontId="25" fillId="2" borderId="155" xfId="15" applyNumberFormat="1" applyFont="1" applyFill="1" applyBorder="1" applyAlignment="1">
      <alignment horizontal="right" vertical="center"/>
    </xf>
    <xf numFmtId="183"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3" fontId="25" fillId="0" borderId="13" xfId="15" applyNumberFormat="1" applyFont="1" applyFill="1" applyBorder="1" applyAlignment="1" applyProtection="1">
      <alignment horizontal="left" vertical="center"/>
      <protection locked="0"/>
    </xf>
    <xf numFmtId="183" fontId="25" fillId="0" borderId="155" xfId="15" applyNumberFormat="1" applyFont="1" applyFill="1" applyBorder="1" applyAlignment="1" applyProtection="1">
      <alignment horizontal="left" vertical="center"/>
      <protection locked="0"/>
    </xf>
    <xf numFmtId="183"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3"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2"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3"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4"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4"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3"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4" fontId="71" fillId="17" borderId="6"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3" applyNumberFormat="1" applyFont="1" applyFill="1" applyBorder="1" applyAlignment="1" applyProtection="1">
      <alignment horizontal="center" vertical="center"/>
    </xf>
    <xf numFmtId="184"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87" fontId="125" fillId="0" borderId="7" xfId="16" applyNumberFormat="1" applyFont="1" applyFill="1" applyBorder="1" applyAlignment="1">
      <alignment horizontal="left" vertical="center"/>
    </xf>
    <xf numFmtId="187"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88"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87"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88"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1"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4"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223" fillId="0" borderId="0" xfId="0" applyFont="1" applyAlignment="1">
      <alignment horizontal="left" vertical="center"/>
    </xf>
    <xf numFmtId="49" fontId="223" fillId="0" borderId="0" xfId="0" applyNumberFormat="1" applyFont="1" applyAlignment="1">
      <alignment horizontal="left" vertical="center"/>
    </xf>
    <xf numFmtId="0" fontId="164" fillId="0" borderId="4" xfId="0" applyNumberFormat="1" applyFont="1" applyFill="1" applyBorder="1" applyAlignment="1" applyProtection="1">
      <alignment horizontal="center" vertical="center" wrapText="1"/>
      <protection locked="0"/>
    </xf>
    <xf numFmtId="0" fontId="223" fillId="0" borderId="0" xfId="19" applyNumberFormat="1" applyFont="1" applyAlignment="1">
      <alignment horizontal="left" vertical="center"/>
    </xf>
    <xf numFmtId="14" fontId="223" fillId="0" borderId="0" xfId="19" applyNumberFormat="1" applyFont="1" applyAlignment="1">
      <alignment horizontal="left" vertical="center"/>
    </xf>
    <xf numFmtId="0" fontId="223" fillId="21" borderId="0" xfId="19" applyNumberFormat="1" applyFont="1" applyFill="1" applyAlignment="1">
      <alignment horizontal="left" vertical="center"/>
    </xf>
    <xf numFmtId="14" fontId="223" fillId="21" borderId="0" xfId="19" applyNumberFormat="1" applyFont="1" applyFill="1" applyAlignment="1">
      <alignment horizontal="left" vertical="center"/>
    </xf>
    <xf numFmtId="0" fontId="164" fillId="0" borderId="136" xfId="0" applyNumberFormat="1" applyFont="1" applyFill="1" applyBorder="1" applyAlignment="1" applyProtection="1">
      <alignment horizontal="center" vertical="center" wrapText="1"/>
      <protection locked="0"/>
    </xf>
    <xf numFmtId="0" fontId="116" fillId="0" borderId="136" xfId="0" applyNumberFormat="1" applyFont="1" applyFill="1" applyBorder="1" applyAlignment="1" applyProtection="1">
      <alignment horizontal="center" vertical="center" wrapText="1"/>
      <protection locked="0"/>
    </xf>
    <xf numFmtId="10" fontId="54" fillId="17" borderId="7" xfId="13" applyNumberFormat="1" applyFont="1" applyFill="1" applyBorder="1" applyAlignment="1" applyProtection="1">
      <alignment horizontal="center" vertical="center"/>
      <protection locked="0"/>
    </xf>
    <xf numFmtId="0" fontId="146"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178" fontId="139"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87"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9" fontId="63" fillId="2" borderId="7" xfId="0" applyNumberFormat="1" applyFont="1" applyFill="1" applyBorder="1" applyAlignment="1" applyProtection="1">
      <alignment horizontal="center" vertical="center"/>
    </xf>
    <xf numFmtId="189"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0" xfId="19"/>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37</xdr:row>
      <xdr:rowOff>171450</xdr:rowOff>
    </xdr:from>
    <xdr:to>
      <xdr:col>8</xdr:col>
      <xdr:colOff>170377</xdr:colOff>
      <xdr:row>72</xdr:row>
      <xdr:rowOff>8754</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6867525"/>
          <a:ext cx="8590477" cy="6171429"/>
        </a:xfrm>
        <a:prstGeom prst="rect">
          <a:avLst/>
        </a:prstGeom>
      </xdr:spPr>
    </xdr:pic>
    <xdr:clientData/>
  </xdr:twoCellAnchor>
  <xdr:twoCellAnchor editAs="oneCell">
    <xdr:from>
      <xdr:col>0</xdr:col>
      <xdr:colOff>247650</xdr:colOff>
      <xdr:row>73</xdr:row>
      <xdr:rowOff>123825</xdr:rowOff>
    </xdr:from>
    <xdr:to>
      <xdr:col>8</xdr:col>
      <xdr:colOff>637028</xdr:colOff>
      <xdr:row>87</xdr:row>
      <xdr:rowOff>28270</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13335000"/>
          <a:ext cx="9180953" cy="2438095"/>
        </a:xfrm>
        <a:prstGeom prst="rect">
          <a:avLst/>
        </a:prstGeom>
      </xdr:spPr>
    </xdr:pic>
    <xdr:clientData/>
  </xdr:twoCellAnchor>
  <xdr:twoCellAnchor editAs="oneCell">
    <xdr:from>
      <xdr:col>0</xdr:col>
      <xdr:colOff>438150</xdr:colOff>
      <xdr:row>88</xdr:row>
      <xdr:rowOff>9525</xdr:rowOff>
    </xdr:from>
    <xdr:to>
      <xdr:col>7</xdr:col>
      <xdr:colOff>322856</xdr:colOff>
      <xdr:row>121</xdr:row>
      <xdr:rowOff>46874</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5935325"/>
          <a:ext cx="7952381" cy="6009524"/>
        </a:xfrm>
        <a:prstGeom prst="rect">
          <a:avLst/>
        </a:prstGeom>
      </xdr:spPr>
    </xdr:pic>
    <xdr:clientData/>
  </xdr:twoCellAnchor>
  <xdr:twoCellAnchor editAs="oneCell">
    <xdr:from>
      <xdr:col>0</xdr:col>
      <xdr:colOff>342900</xdr:colOff>
      <xdr:row>122</xdr:row>
      <xdr:rowOff>133350</xdr:rowOff>
    </xdr:from>
    <xdr:to>
      <xdr:col>8</xdr:col>
      <xdr:colOff>741802</xdr:colOff>
      <xdr:row>135</xdr:row>
      <xdr:rowOff>133056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22212300"/>
          <a:ext cx="9190477" cy="2352381"/>
        </a:xfrm>
        <a:prstGeom prst="rect">
          <a:avLst/>
        </a:prstGeom>
      </xdr:spPr>
    </xdr:pic>
    <xdr:clientData/>
  </xdr:twoCellAnchor>
  <xdr:twoCellAnchor editAs="oneCell">
    <xdr:from>
      <xdr:col>0</xdr:col>
      <xdr:colOff>466725</xdr:colOff>
      <xdr:row>136</xdr:row>
      <xdr:rowOff>152400</xdr:rowOff>
    </xdr:from>
    <xdr:to>
      <xdr:col>7</xdr:col>
      <xdr:colOff>370479</xdr:colOff>
      <xdr:row>172</xdr:row>
      <xdr:rowOff>8729</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24765000"/>
          <a:ext cx="7971429" cy="6371429"/>
        </a:xfrm>
        <a:prstGeom prst="rect">
          <a:avLst/>
        </a:prstGeom>
      </xdr:spPr>
    </xdr:pic>
    <xdr:clientData/>
  </xdr:twoCellAnchor>
  <xdr:twoCellAnchor editAs="oneCell">
    <xdr:from>
      <xdr:col>0</xdr:col>
      <xdr:colOff>247650</xdr:colOff>
      <xdr:row>173</xdr:row>
      <xdr:rowOff>28575</xdr:rowOff>
    </xdr:from>
    <xdr:to>
      <xdr:col>9</xdr:col>
      <xdr:colOff>246361</xdr:colOff>
      <xdr:row>186</xdr:row>
      <xdr:rowOff>18757</xdr:rowOff>
    </xdr:to>
    <xdr:pic>
      <xdr:nvPicPr>
        <xdr:cNvPr id="7" name="图片 6"/>
        <xdr:cNvPicPr>
          <a:picLocks noChangeAspect="1"/>
        </xdr:cNvPicPr>
      </xdr:nvPicPr>
      <xdr:blipFill>
        <a:blip xmlns:r="http://schemas.openxmlformats.org/officeDocument/2006/relationships" r:embed="rId6"/>
        <a:stretch>
          <a:fillRect/>
        </a:stretch>
      </xdr:blipFill>
      <xdr:spPr>
        <a:xfrm>
          <a:off x="247650" y="31337250"/>
          <a:ext cx="10314286" cy="2342857"/>
        </a:xfrm>
        <a:prstGeom prst="rect">
          <a:avLst/>
        </a:prstGeom>
      </xdr:spPr>
    </xdr:pic>
    <xdr:clientData/>
  </xdr:twoCellAnchor>
  <xdr:twoCellAnchor editAs="oneCell">
    <xdr:from>
      <xdr:col>0</xdr:col>
      <xdr:colOff>514350</xdr:colOff>
      <xdr:row>187</xdr:row>
      <xdr:rowOff>66675</xdr:rowOff>
    </xdr:from>
    <xdr:to>
      <xdr:col>7</xdr:col>
      <xdr:colOff>151437</xdr:colOff>
      <xdr:row>224</xdr:row>
      <xdr:rowOff>75362</xdr:rowOff>
    </xdr:to>
    <xdr:pic>
      <xdr:nvPicPr>
        <xdr:cNvPr id="8" name="图片 7"/>
        <xdr:cNvPicPr>
          <a:picLocks noChangeAspect="1"/>
        </xdr:cNvPicPr>
      </xdr:nvPicPr>
      <xdr:blipFill>
        <a:blip xmlns:r="http://schemas.openxmlformats.org/officeDocument/2006/relationships" r:embed="rId7"/>
        <a:stretch>
          <a:fillRect/>
        </a:stretch>
      </xdr:blipFill>
      <xdr:spPr>
        <a:xfrm>
          <a:off x="514350" y="33909000"/>
          <a:ext cx="7704762" cy="6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514350</xdr:colOff>
      <xdr:row>1</xdr:row>
      <xdr:rowOff>133350</xdr:rowOff>
    </xdr:from>
    <xdr:to>
      <xdr:col>11</xdr:col>
      <xdr:colOff>322931</xdr:colOff>
      <xdr:row>33</xdr:row>
      <xdr:rowOff>46950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04800"/>
          <a:ext cx="7352030" cy="5399405"/>
        </a:xfrm>
        <a:prstGeom prst="rect">
          <a:avLst/>
        </a:prstGeom>
      </xdr:spPr>
    </xdr:pic>
    <xdr:clientData/>
  </xdr:twoCellAnchor>
  <xdr:twoCellAnchor editAs="oneCell">
    <xdr:from>
      <xdr:col>1</xdr:col>
      <xdr:colOff>0</xdr:colOff>
      <xdr:row>35</xdr:row>
      <xdr:rowOff>0</xdr:rowOff>
    </xdr:from>
    <xdr:to>
      <xdr:col>11</xdr:col>
      <xdr:colOff>256286</xdr:colOff>
      <xdr:row>83</xdr:row>
      <xdr:rowOff>18020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7113905" cy="8247380"/>
        </a:xfrm>
        <a:prstGeom prst="rect">
          <a:avLst/>
        </a:prstGeom>
      </xdr:spPr>
    </xdr:pic>
    <xdr:clientData/>
  </xdr:twoCellAnchor>
  <xdr:twoCellAnchor editAs="oneCell">
    <xdr:from>
      <xdr:col>0</xdr:col>
      <xdr:colOff>295275</xdr:colOff>
      <xdr:row>84</xdr:row>
      <xdr:rowOff>28575</xdr:rowOff>
    </xdr:from>
    <xdr:to>
      <xdr:col>11</xdr:col>
      <xdr:colOff>94333</xdr:colOff>
      <xdr:row>132</xdr:row>
      <xdr:rowOff>75166</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5" y="14430375"/>
          <a:ext cx="7342505" cy="8275955"/>
        </a:xfrm>
        <a:prstGeom prst="rect">
          <a:avLst/>
        </a:prstGeom>
      </xdr:spPr>
    </xdr:pic>
    <xdr:clientData/>
  </xdr:twoCellAnchor>
  <xdr:twoCellAnchor editAs="oneCell">
    <xdr:from>
      <xdr:col>13</xdr:col>
      <xdr:colOff>0</xdr:colOff>
      <xdr:row>2</xdr:row>
      <xdr:rowOff>0</xdr:rowOff>
    </xdr:from>
    <xdr:to>
      <xdr:col>24</xdr:col>
      <xdr:colOff>160962</xdr:colOff>
      <xdr:row>43</xdr:row>
      <xdr:rowOff>103884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
          <a:ext cx="7704455" cy="7132955"/>
        </a:xfrm>
        <a:prstGeom prst="rect">
          <a:avLst/>
        </a:prstGeom>
      </xdr:spPr>
    </xdr:pic>
    <xdr:clientData/>
  </xdr:twoCellAnchor>
  <xdr:twoCellAnchor editAs="oneCell">
    <xdr:from>
      <xdr:col>13</xdr:col>
      <xdr:colOff>104775</xdr:colOff>
      <xdr:row>44</xdr:row>
      <xdr:rowOff>133350</xdr:rowOff>
    </xdr:from>
    <xdr:to>
      <xdr:col>25</xdr:col>
      <xdr:colOff>189461</xdr:colOff>
      <xdr:row>83</xdr:row>
      <xdr:rowOff>170610</xdr:rowOff>
    </xdr:to>
    <xdr:pic>
      <xdr:nvPicPr>
        <xdr:cNvPr id="6" name="图片 5"/>
        <xdr:cNvPicPr>
          <a:picLocks noChangeAspect="1"/>
        </xdr:cNvPicPr>
      </xdr:nvPicPr>
      <xdr:blipFill>
        <a:blip xmlns:r="http://schemas.openxmlformats.org/officeDocument/2006/relationships" r:embed="rId5"/>
        <a:stretch>
          <a:fillRect/>
        </a:stretch>
      </xdr:blipFill>
      <xdr:spPr>
        <a:xfrm>
          <a:off x="9020175" y="7677150"/>
          <a:ext cx="8314055" cy="672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754.1044/HZ$D.754.1045/&#19968;&#23457;-&#29579;&#28165;&#38597;20230613-130917/&#23567;&#23663;&#36335;9&#21495;&#21450;&#20806;&#20016;&#22253;&#19977;&#21306;&#36710;&#24211;-&#29579;&#28165;&#38597;20230612-195204/&#20806;&#20016;&#22253;&#19977;&#21306;1&#21495;&#2700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cuikai/AppData/Local/Temp/HZ$D.754.1044/HZ$D.754.1046/&#19968;&#23457;-&#29579;&#28165;&#38597;20230613-130917/&#23567;&#23663;&#36335;9&#21495;&#21450;&#20806;&#20016;&#22253;&#19977;&#21306;&#36710;&#24211;-&#29579;&#28165;&#38597;20230612-195204/&#20806;&#20016;&#22253;&#19977;&#21306;1&#21495;&#27004;&#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023-5-31-&#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车位"/>
      <sheetName val="典型户型修正"/>
      <sheetName val="Sheet1"/>
      <sheetName val="收益法"/>
      <sheetName val="结果表 (2)"/>
      <sheetName val="成本法"/>
      <sheetName val="成本法 (元)"/>
      <sheetName val="假设开发法"/>
      <sheetName val="基准地价修正"/>
      <sheetName val="收益法 (元)"/>
      <sheetName val="收益法-酒店模型"/>
      <sheetName val="收益法 (2)"/>
      <sheetName val="收益法（汇总）"/>
      <sheetName val="比较法-住宅"/>
      <sheetName val="比较法-商业"/>
      <sheetName val="比较法-办公"/>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12370.36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车位"/>
      <sheetName val="典型户型修正"/>
      <sheetName val="Sheet1"/>
      <sheetName val="收益法"/>
      <sheetName val="结果表 (2)"/>
      <sheetName val="成本法"/>
      <sheetName val="成本法 (元)"/>
      <sheetName val="假设开发法"/>
      <sheetName val="基准地价修正"/>
      <sheetName val="收益法 (元)"/>
      <sheetName val="收益法-酒店模型"/>
      <sheetName val="收益法 (2)"/>
      <sheetName val="收益法（汇总）"/>
      <sheetName val="比较法-住宅"/>
      <sheetName val="比较法-商业"/>
      <sheetName val="比较法-办公"/>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7433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 ca="1">'预评函-封皮'!B46</f>
        <v>郑燚（注册号：1120070131)、崔锴（注册号：1120100036)</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估价对象为北京市房地产，为所有。根据《国有土地使用证》[]，估价对象（分摊）出让国有建设用地使用权面积为0平方米，建筑面积为20276.49平方米。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估价对象为北京市房地产,属开发建设的，该项目尚在开发建设中。根据《国有土地使用证》[]，估价对象（分摊）出让国有建设用地使用权面积为0平方米，规划建筑面积为20276.49平方米。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2023年6月1日</v>
      </c>
    </row>
    <row r="13" spans="1:2" s="3414" customFormat="1">
      <c r="A13" s="3422" t="s">
        <v>13</v>
      </c>
      <c r="B13" s="3423"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42619</v>
      </c>
    </row>
    <row r="21" spans="1:2" s="3414" customFormat="1">
      <c r="A21" s="3422" t="s">
        <v>21</v>
      </c>
      <c r="B21" s="3423">
        <f ca="1">'预评函-2'!D7</f>
        <v>21019</v>
      </c>
    </row>
    <row r="22" spans="1:2" s="3414" customFormat="1">
      <c r="A22" s="3422" t="s">
        <v>22</v>
      </c>
      <c r="B22" s="3423" t="str">
        <f ca="1">'预评函-2'!D6</f>
        <v>肆亿贰仟陆佰壹拾玖万元整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42619</v>
      </c>
    </row>
    <row r="31" spans="1:2" s="3414" customFormat="1">
      <c r="A31" s="3422" t="s">
        <v>31</v>
      </c>
      <c r="B31" s="3423">
        <f ca="1">'预评函-2'!D15</f>
        <v>21019</v>
      </c>
    </row>
    <row r="32" spans="1:2" s="3414" customFormat="1">
      <c r="A32" s="3422" t="s">
        <v>32</v>
      </c>
      <c r="B32" s="3423" t="str">
        <f ca="1">'预评函-2'!D14</f>
        <v>肆亿贰仟陆佰壹拾玖万元整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20276.490000000002</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34990</v>
      </c>
    </row>
    <row r="48" spans="1:2" s="3414" customFormat="1">
      <c r="A48" s="3422" t="s">
        <v>48</v>
      </c>
      <c r="B48" s="3423">
        <f ca="1">'预评函-3'!E4</f>
        <v>17257</v>
      </c>
    </row>
    <row r="49" spans="1:2" s="3414" customFormat="1">
      <c r="A49" s="3422" t="s">
        <v>49</v>
      </c>
      <c r="B49" s="3423" t="str">
        <f ca="1">'预评函-3'!D5</f>
        <v>叁亿肆仟玖佰玖拾万元整</v>
      </c>
    </row>
    <row r="50" spans="1:2" s="3414" customFormat="1">
      <c r="A50" s="3422" t="s">
        <v>50</v>
      </c>
      <c r="B50" s="3423" t="str">
        <f>'预评函-3'!F2</f>
        <v>在建建筑物价值</v>
      </c>
    </row>
    <row r="51" spans="1:2" s="3414" customFormat="1">
      <c r="A51" s="3422" t="s">
        <v>51</v>
      </c>
      <c r="B51" s="3423">
        <f ca="1">'预评函-3'!F4</f>
        <v>7629</v>
      </c>
    </row>
    <row r="52" spans="1:2" s="3414" customFormat="1">
      <c r="A52" s="3422" t="s">
        <v>52</v>
      </c>
      <c r="B52" s="3423">
        <f ca="1">'预评函-3'!G4</f>
        <v>3762</v>
      </c>
    </row>
    <row r="53" spans="1:2" s="3414" customFormat="1">
      <c r="A53" s="3422" t="s">
        <v>53</v>
      </c>
      <c r="B53" s="3423" t="str">
        <f ca="1">'预评函-3'!F5</f>
        <v>柒仟陆佰贰拾玖万元整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郑燚</v>
      </c>
    </row>
    <row r="71" spans="1:2">
      <c r="A71" s="3422" t="s">
        <v>71</v>
      </c>
      <c r="B71" s="3423">
        <f ca="1">'预评函-4'!B4</f>
        <v>1120070131</v>
      </c>
    </row>
    <row r="72" spans="1:2">
      <c r="A72" s="3422" t="s">
        <v>72</v>
      </c>
      <c r="B72" s="3429" t="str">
        <f>'预评函-4'!A5</f>
        <v>崔锴</v>
      </c>
    </row>
    <row r="73" spans="1:2" s="3412" customFormat="1">
      <c r="A73" s="3424" t="s">
        <v>73</v>
      </c>
      <c r="B73" s="3425">
        <f ca="1">'预评函-4'!B5</f>
        <v>1120100036</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8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05" t="s">
        <v>330</v>
      </c>
      <c r="C54" s="3292" t="s">
        <v>331</v>
      </c>
    </row>
    <row r="55" spans="1:4">
      <c r="A55" s="3480"/>
      <c r="B55" s="3305" t="s">
        <v>332</v>
      </c>
      <c r="C55" s="3292" t="s">
        <v>333</v>
      </c>
    </row>
    <row r="56" spans="1:4">
      <c r="A56" s="3480"/>
      <c r="B56" s="3305" t="s">
        <v>334</v>
      </c>
      <c r="C56" s="3292" t="s">
        <v>335</v>
      </c>
    </row>
    <row r="57" spans="1:4">
      <c r="A57" s="348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81" t="s">
        <v>340</v>
      </c>
      <c r="J2" s="3481"/>
      <c r="K2" s="3481"/>
      <c r="L2" s="3481"/>
      <c r="M2" s="3481"/>
      <c r="N2" s="3481"/>
      <c r="O2" s="3481"/>
      <c r="P2" s="3481"/>
      <c r="Q2" s="3481"/>
      <c r="R2" s="3481"/>
    </row>
    <row r="3" spans="1:18">
      <c r="A3" s="485" t="s">
        <v>341</v>
      </c>
      <c r="B3" s="3247">
        <f>项目基本情况!D3</f>
        <v>45078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3.55</v>
      </c>
      <c r="D5" s="3249">
        <f>IF(ISERROR(ROUND(POWER(1+E5,A5-C5)*(POWER(1+E5,C5)-1)/(POWER(1+E5,A5)-1),3)),0,ROUND(POWER(1+E5,A5-C5)*(POWER(1+E5,C5)-1)/(POWER(1+E5,A5)-1),4))</f>
        <v>0.16420000000000001</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13.56</v>
      </c>
      <c r="D6" s="3249">
        <f>IF(ISERROR(ROUND(POWER(1+E6,A6-C6)*(POWER(1+E6,C6)-1)/(POWER(1+E6,A6)-1),3)),0,ROUND(POWER(1+E6,A6-C6)*(POWER(1+E6,C6)-1)/(POWER(1+E6,A6)-1),4))</f>
        <v>0.48</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33.57</v>
      </c>
      <c r="D7" s="3249">
        <f>IF(ISERROR(ROUND(POWER(1+E7,A7-C7)*(POWER(1+E7,C7)-1)/(POWER(1+E7,A7)-1),3)),0,ROUND(POWER(1+E7,A7-C7)*(POWER(1+E7,C7)-1)/(POWER(1+E7,A7)-1),4))</f>
        <v>0.78220000000000001</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J15" sqref="J15"/>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7"/>
  </cols>
  <sheetData>
    <row r="1" spans="1:30">
      <c r="A1" s="3109" t="s">
        <v>425</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0" t="s">
        <v>426</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72" t="s">
        <v>427</v>
      </c>
      <c r="B3" s="3116"/>
      <c r="C3" s="3117" t="s">
        <v>428</v>
      </c>
      <c r="D3" s="3116">
        <v>45078</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c r="A4" s="1994" t="s">
        <v>429</v>
      </c>
      <c r="B4" s="3118" t="s">
        <v>191</v>
      </c>
      <c r="C4" s="3119">
        <f ca="1">SUMIF(注册房地产估价师,B4,估价师及机构信息!B3:B24)</f>
        <v>1120070131</v>
      </c>
      <c r="D4" s="3118" t="s">
        <v>190</v>
      </c>
      <c r="E4" s="3120">
        <f ca="1">SUMIF(注册房地产估价师,D4,估价师及机构信息!B3:B24)</f>
        <v>1120100036</v>
      </c>
      <c r="F4" s="3118"/>
      <c r="G4" s="3120">
        <f>SUMIF(注册房地产估价师,F4,估价师及机构信息!B3:B24)</f>
        <v>0</v>
      </c>
      <c r="H4" s="3118"/>
      <c r="I4" s="3120">
        <f>SUMIF(注册房地产估价师,H4,估价师及机构信息!B3:B24)</f>
        <v>0</v>
      </c>
      <c r="J4" s="2711"/>
      <c r="K4" s="3208" t="str">
        <f ca="1">CONCATENATE(B4,"（注册号：",C4,")、",D4,"（注册号：",E4,")")</f>
        <v>郑燚（注册号：1120070131)、崔锴（注册号：1120100036)</v>
      </c>
      <c r="L4" s="3207"/>
      <c r="M4" s="3207"/>
      <c r="N4" s="3151"/>
      <c r="O4" s="3018"/>
      <c r="P4" s="3151"/>
      <c r="Q4" s="3151"/>
      <c r="R4" s="3151"/>
      <c r="S4" s="2728"/>
      <c r="T4" s="2727"/>
      <c r="U4" s="2727"/>
      <c r="V4" s="2727"/>
      <c r="W4" s="2727"/>
      <c r="X4" s="2727"/>
      <c r="Y4" s="2727"/>
      <c r="Z4" s="2727"/>
      <c r="AA4" s="2727"/>
      <c r="AB4" s="2727"/>
    </row>
    <row r="5" spans="1:30">
      <c r="A5" s="3121" t="s">
        <v>430</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c r="A6" s="3125" t="s">
        <v>431</v>
      </c>
      <c r="B6" s="3126"/>
      <c r="C6" s="3127"/>
      <c r="D6" s="3128"/>
      <c r="E6" s="3114"/>
      <c r="F6" s="2832"/>
      <c r="G6" s="2832"/>
      <c r="H6" s="2832"/>
      <c r="I6" s="2832"/>
      <c r="J6" s="2711"/>
      <c r="K6" s="3209" t="str">
        <f>IF(COUNTIF(B6,"*上海银行*"),"上海银行","")</f>
        <v/>
      </c>
      <c r="L6" s="3210"/>
      <c r="M6" s="3210"/>
      <c r="N6" s="2711"/>
      <c r="O6" s="3211"/>
      <c r="P6" s="2711"/>
      <c r="Q6" s="2711"/>
      <c r="R6" s="2711"/>
    </row>
    <row r="7" spans="1:30">
      <c r="A7" s="3125" t="s">
        <v>432</v>
      </c>
      <c r="B7" s="3129"/>
      <c r="C7" s="3127"/>
      <c r="D7" s="3128"/>
      <c r="E7" s="3114"/>
      <c r="F7" s="2832"/>
      <c r="G7" s="2832"/>
      <c r="H7" s="2832"/>
      <c r="I7" s="2832"/>
      <c r="J7" s="2711"/>
      <c r="K7" s="3212"/>
      <c r="L7" s="3210"/>
      <c r="M7" s="3210"/>
      <c r="N7" s="2711"/>
      <c r="O7" s="3211"/>
      <c r="P7" s="2711"/>
      <c r="Q7" s="2711"/>
      <c r="R7" s="2711"/>
    </row>
    <row r="8" spans="1:30">
      <c r="A8" s="3130" t="s">
        <v>433</v>
      </c>
      <c r="B8" s="3131" t="s">
        <v>325</v>
      </c>
      <c r="C8" s="3132"/>
      <c r="D8" s="3501" t="s">
        <v>434</v>
      </c>
      <c r="E8" s="3133" t="s">
        <v>330</v>
      </c>
      <c r="F8" s="3134"/>
      <c r="G8" s="3115"/>
      <c r="H8" s="3115"/>
      <c r="I8" s="3115"/>
      <c r="J8" s="2711"/>
      <c r="K8" s="3213"/>
      <c r="L8" s="3210"/>
      <c r="M8" s="3210"/>
      <c r="N8" s="2711"/>
      <c r="O8" s="3211"/>
      <c r="P8" s="2711"/>
      <c r="Q8" s="2711"/>
      <c r="R8" s="2711"/>
    </row>
    <row r="9" spans="1:30">
      <c r="A9" s="3135" t="s">
        <v>435</v>
      </c>
      <c r="B9" s="3136" t="s">
        <v>330</v>
      </c>
      <c r="C9" s="3137"/>
      <c r="D9" s="3502"/>
      <c r="E9" s="3136" t="s">
        <v>124</v>
      </c>
      <c r="F9" s="3138"/>
      <c r="G9" s="3139"/>
      <c r="H9" s="3139"/>
      <c r="I9" s="3139"/>
      <c r="J9" s="2711"/>
      <c r="K9" s="3212"/>
      <c r="L9" s="3210"/>
      <c r="M9" s="3210"/>
      <c r="N9" s="2711"/>
      <c r="O9" s="3211"/>
      <c r="P9" s="2711"/>
      <c r="Q9" s="2711"/>
      <c r="R9" s="2711"/>
    </row>
    <row r="10" spans="1:30">
      <c r="A10" s="3140" t="s">
        <v>436</v>
      </c>
      <c r="B10" s="3141" t="s">
        <v>437</v>
      </c>
      <c r="C10" s="3142"/>
      <c r="D10" s="3124"/>
      <c r="E10" s="3143" t="s">
        <v>438</v>
      </c>
      <c r="F10" s="3144"/>
      <c r="G10" s="3145"/>
      <c r="H10" s="3146"/>
      <c r="I10" s="3214"/>
      <c r="J10" s="2711"/>
      <c r="K10" s="3212"/>
      <c r="L10" s="3210"/>
      <c r="M10" s="3210"/>
      <c r="N10" s="2711"/>
      <c r="O10" s="3211"/>
      <c r="P10" s="2711"/>
      <c r="Q10" s="2711"/>
      <c r="R10" s="2711"/>
    </row>
    <row r="11" spans="1:30">
      <c r="A11" s="3147" t="s">
        <v>439</v>
      </c>
      <c r="B11" s="3148" t="s">
        <v>440</v>
      </c>
      <c r="C11" s="3149"/>
      <c r="D11" s="3150"/>
      <c r="E11" s="3151"/>
      <c r="F11" s="3151"/>
      <c r="G11" s="3151"/>
      <c r="H11" s="3151"/>
      <c r="I11" s="3151"/>
      <c r="J11" s="3215"/>
      <c r="K11" s="3216"/>
      <c r="L11" s="3210"/>
      <c r="M11" s="3210"/>
      <c r="N11" s="2711"/>
      <c r="O11" s="3211"/>
      <c r="P11" s="2711"/>
      <c r="Q11" s="2711"/>
      <c r="R11" s="2711"/>
    </row>
    <row r="12" spans="1:30">
      <c r="A12" s="3152" t="s">
        <v>441</v>
      </c>
      <c r="B12" s="2013" t="s">
        <v>442</v>
      </c>
      <c r="C12" s="3153" t="s">
        <v>443</v>
      </c>
      <c r="D12" s="3153" t="s">
        <v>444</v>
      </c>
      <c r="E12" s="3153" t="s">
        <v>445</v>
      </c>
      <c r="F12" s="3153" t="s">
        <v>446</v>
      </c>
      <c r="G12" s="3153" t="s">
        <v>447</v>
      </c>
      <c r="H12" s="3153" t="s">
        <v>448</v>
      </c>
      <c r="I12" s="3217" t="s">
        <v>280</v>
      </c>
      <c r="J12" s="3218"/>
      <c r="K12" s="3210"/>
      <c r="L12" s="3210"/>
      <c r="M12" s="2711"/>
      <c r="N12" s="3211"/>
      <c r="O12" s="2711"/>
      <c r="P12" s="2711"/>
      <c r="Q12" s="2711"/>
      <c r="AD12" s="2727"/>
    </row>
    <row r="13" spans="1:30">
      <c r="A13" s="3154" t="s">
        <v>449</v>
      </c>
      <c r="B13" s="3155" t="s">
        <v>450</v>
      </c>
      <c r="C13" s="3156"/>
      <c r="D13" s="3156"/>
      <c r="E13" s="3156">
        <v>54933</v>
      </c>
      <c r="F13" s="3156"/>
      <c r="G13" s="3156"/>
      <c r="H13" s="3156"/>
      <c r="I13" s="3156"/>
      <c r="J13" s="3218"/>
      <c r="K13" s="3210"/>
      <c r="L13" s="3210"/>
      <c r="M13" s="2711"/>
      <c r="N13" s="3211"/>
      <c r="O13" s="2711"/>
      <c r="P13" s="2711"/>
      <c r="Q13" s="2711"/>
      <c r="AD13" s="2727"/>
    </row>
    <row r="14" spans="1:30">
      <c r="A14" s="1999"/>
      <c r="B14" s="3155" t="s">
        <v>451</v>
      </c>
      <c r="C14" s="3157"/>
      <c r="D14" s="3157"/>
      <c r="E14" s="3157">
        <v>50</v>
      </c>
      <c r="F14" s="3157"/>
      <c r="G14" s="3157"/>
      <c r="H14" s="3157"/>
      <c r="I14" s="3157"/>
      <c r="J14" s="3219"/>
      <c r="K14" s="3210"/>
      <c r="L14" s="3210"/>
      <c r="M14" s="2711"/>
      <c r="N14" s="3211"/>
      <c r="O14" s="2711"/>
      <c r="P14" s="2711"/>
      <c r="Q14" s="2711"/>
      <c r="AD14" s="2727"/>
    </row>
    <row r="15" spans="1:30">
      <c r="A15" s="2006"/>
      <c r="B15" s="3158" t="s">
        <v>452</v>
      </c>
      <c r="C15" s="3159" t="str">
        <f>IF(A13="出让",IF(C13="","",ROUNDDOWN(MIN((C13-$D$3)/365,C14),2)),C14)</f>
        <v/>
      </c>
      <c r="D15" s="3159" t="str">
        <f>IF(A13="出让",IF(D13="","",ROUNDDOWN(MIN((D13-$D$3)/365,D14),2)),D14)</f>
        <v/>
      </c>
      <c r="E15" s="3159">
        <f>IF(A13="出让",IF(E13="","",ROUNDDOWN(MIN((E13-$D$3)/365,E14),2)),E14)</f>
        <v>27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c r="A16" s="3143" t="s">
        <v>453</v>
      </c>
      <c r="B16" s="3489"/>
      <c r="C16" s="3490"/>
      <c r="D16" s="3491"/>
      <c r="E16" s="3160" t="s">
        <v>454</v>
      </c>
      <c r="F16" s="3492"/>
      <c r="G16" s="3493"/>
      <c r="H16" s="3493"/>
      <c r="I16" s="3494"/>
      <c r="J16" s="2711"/>
      <c r="K16" s="3222"/>
      <c r="L16" s="3221"/>
      <c r="M16" s="3221"/>
      <c r="N16" s="2712"/>
      <c r="O16" s="3221"/>
      <c r="P16" s="2712"/>
      <c r="Q16" s="2711"/>
      <c r="R16" s="2711"/>
    </row>
    <row r="17" spans="1:28">
      <c r="A17" s="1983" t="s">
        <v>455</v>
      </c>
      <c r="B17" s="1972" t="s">
        <v>456</v>
      </c>
      <c r="C17" s="1006">
        <f>'数据-汇总表'!E3</f>
        <v>20276.490000000002</v>
      </c>
      <c r="D17" s="2026" t="s">
        <v>457</v>
      </c>
      <c r="E17" s="3495" t="s">
        <v>458</v>
      </c>
      <c r="F17" s="3496"/>
      <c r="G17" s="3496"/>
      <c r="H17" s="3496"/>
      <c r="I17" s="3497"/>
      <c r="J17" s="2711"/>
      <c r="K17" s="3223"/>
      <c r="L17" s="3221"/>
      <c r="M17" s="3221"/>
      <c r="N17" s="2712"/>
      <c r="O17" s="3221"/>
      <c r="P17" s="2712"/>
      <c r="Q17" s="2711"/>
      <c r="R17" s="2711"/>
      <c r="S17" s="2711"/>
      <c r="T17" s="2711"/>
      <c r="U17" s="2711"/>
      <c r="V17" s="2711"/>
    </row>
    <row r="18" spans="1:28" ht="24">
      <c r="A18" s="3161" t="s">
        <v>459</v>
      </c>
      <c r="B18" s="1994" t="s">
        <v>460</v>
      </c>
      <c r="C18" s="3162">
        <f>'数据-汇总表'!D3</f>
        <v>0</v>
      </c>
      <c r="D18" s="2019" t="s">
        <v>457</v>
      </c>
      <c r="E18" s="3498" t="s">
        <v>461</v>
      </c>
      <c r="F18" s="3499"/>
      <c r="G18" s="3499"/>
      <c r="H18" s="3499"/>
      <c r="I18" s="3500"/>
      <c r="J18" s="2711"/>
      <c r="K18" s="3223"/>
      <c r="L18" s="3221"/>
      <c r="M18" s="3221"/>
      <c r="N18" s="2712"/>
      <c r="O18" s="3221"/>
      <c r="P18" s="2712"/>
      <c r="Q18" s="2711"/>
      <c r="R18" s="2711"/>
      <c r="S18" s="2711"/>
      <c r="T18" s="2711"/>
      <c r="U18" s="2711"/>
      <c r="V18" s="2711"/>
    </row>
    <row r="19" spans="1:28" ht="36">
      <c r="A19" s="2036" t="s">
        <v>462</v>
      </c>
      <c r="B19" s="1976" t="s">
        <v>463</v>
      </c>
      <c r="C19" s="3163"/>
      <c r="D19" s="3164" t="s">
        <v>464</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c r="A20" s="3168" t="s">
        <v>465</v>
      </c>
      <c r="B20" s="3505" t="s">
        <v>466</v>
      </c>
      <c r="C20" s="3506"/>
      <c r="D20" s="3507" t="s">
        <v>467</v>
      </c>
      <c r="E20" s="3508"/>
      <c r="F20" s="3169" t="s">
        <v>468</v>
      </c>
      <c r="G20" s="2832"/>
      <c r="H20" s="2832"/>
      <c r="I20" s="2832"/>
      <c r="J20" s="2711"/>
      <c r="K20" s="3503"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24">
      <c r="A21" s="3168"/>
      <c r="B21" s="3170" t="s">
        <v>470</v>
      </c>
      <c r="C21" s="3171" t="s">
        <v>471</v>
      </c>
      <c r="D21" s="3172" t="s">
        <v>472</v>
      </c>
      <c r="E21" s="3173" t="s">
        <v>471</v>
      </c>
      <c r="F21" s="3174"/>
      <c r="G21" s="2832"/>
      <c r="H21" s="2832"/>
      <c r="I21" s="2832"/>
      <c r="J21" s="2711"/>
      <c r="K21" s="3503"/>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24">
      <c r="A22" s="3168"/>
      <c r="B22" s="3175" t="s">
        <v>473</v>
      </c>
      <c r="C22" s="3171" t="s">
        <v>474</v>
      </c>
      <c r="D22" s="3115"/>
      <c r="E22" s="3115"/>
      <c r="F22" s="3115"/>
      <c r="G22" s="2832"/>
      <c r="H22" s="2832"/>
      <c r="I22" s="2832"/>
      <c r="J22" s="2711"/>
      <c r="K22" s="3503"/>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c r="A23" s="3176" t="s">
        <v>475</v>
      </c>
      <c r="B23" s="2702" t="s">
        <v>476</v>
      </c>
      <c r="C23" s="3177"/>
      <c r="D23" s="3178" t="s">
        <v>476</v>
      </c>
      <c r="E23" s="3179"/>
      <c r="F23" s="3115"/>
      <c r="G23" s="2832"/>
      <c r="H23" s="2832"/>
      <c r="I23" s="2832"/>
      <c r="J23" s="2711"/>
      <c r="K23" s="3226"/>
      <c r="L23" s="2135"/>
      <c r="M23" s="3210"/>
      <c r="N23" s="2712"/>
      <c r="O23" s="3221"/>
      <c r="P23" s="2712"/>
      <c r="Q23" s="2711"/>
      <c r="R23" s="2711"/>
      <c r="S23" s="2711"/>
      <c r="T23" s="2711"/>
      <c r="U23" s="2711"/>
      <c r="V23" s="2711"/>
    </row>
    <row r="24" spans="1:28">
      <c r="A24" s="3176"/>
      <c r="B24" s="2702" t="s">
        <v>477</v>
      </c>
      <c r="C24" s="3180"/>
      <c r="D24" s="3176" t="s">
        <v>477</v>
      </c>
      <c r="E24" s="3181"/>
      <c r="F24" s="3115"/>
      <c r="G24" s="2832"/>
      <c r="H24" s="2832"/>
      <c r="I24" s="2832"/>
      <c r="J24" s="2711"/>
      <c r="K24" s="3226"/>
      <c r="L24" s="2135"/>
      <c r="M24" s="3210"/>
      <c r="N24" s="2712"/>
      <c r="O24" s="3221"/>
      <c r="P24" s="2712"/>
      <c r="Q24" s="2711"/>
      <c r="R24" s="2711"/>
      <c r="S24" s="2711"/>
      <c r="T24" s="2711"/>
      <c r="U24" s="2711"/>
      <c r="V24" s="2711"/>
    </row>
    <row r="25" spans="1:28">
      <c r="A25" s="3176"/>
      <c r="B25" s="2702" t="s">
        <v>478</v>
      </c>
      <c r="C25" s="3180"/>
      <c r="D25" s="3176" t="s">
        <v>478</v>
      </c>
      <c r="E25" s="3181"/>
      <c r="F25" s="3115"/>
      <c r="G25" s="2832"/>
      <c r="H25" s="2832"/>
      <c r="I25" s="2832"/>
      <c r="J25" s="2711"/>
      <c r="K25" s="3212"/>
      <c r="L25" s="3210"/>
      <c r="M25" s="3210"/>
      <c r="N25" s="2712"/>
      <c r="O25" s="3221"/>
      <c r="P25" s="2712"/>
      <c r="Q25" s="2711"/>
      <c r="R25" s="2711"/>
      <c r="S25" s="2711"/>
      <c r="T25" s="2711"/>
      <c r="U25" s="2711"/>
      <c r="V25" s="2711"/>
    </row>
    <row r="26" spans="1:28">
      <c r="A26" s="3182"/>
      <c r="B26" s="3183" t="s">
        <v>479</v>
      </c>
      <c r="C26" s="3184"/>
      <c r="D26" s="3182" t="s">
        <v>479</v>
      </c>
      <c r="E26" s="3185"/>
      <c r="F26" s="3139"/>
      <c r="G26" s="3139"/>
      <c r="H26" s="3139"/>
      <c r="I26" s="3139"/>
      <c r="J26" s="2711"/>
      <c r="K26" s="3212"/>
      <c r="L26" s="3210"/>
      <c r="M26" s="3210"/>
      <c r="N26" s="2712"/>
      <c r="O26" s="3221"/>
      <c r="P26" s="2712"/>
      <c r="Q26" s="2711"/>
      <c r="R26" s="2711"/>
      <c r="S26" s="2711"/>
      <c r="T26" s="2711"/>
      <c r="U26" s="2711"/>
      <c r="V26" s="2711"/>
    </row>
    <row r="27" spans="1:28">
      <c r="A27" s="3482" t="s">
        <v>480</v>
      </c>
      <c r="B27" s="2006" t="s">
        <v>481</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c r="A28" s="3482"/>
      <c r="B28" s="1972" t="s">
        <v>482</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c r="A29" s="3482"/>
      <c r="B29" s="1972" t="s">
        <v>483</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c r="A30" s="3483"/>
      <c r="B30" s="1972" t="s">
        <v>484</v>
      </c>
      <c r="C30" s="3509"/>
      <c r="D30" s="3510"/>
      <c r="E30" s="2832"/>
      <c r="F30" s="2832"/>
      <c r="G30" s="2832"/>
      <c r="H30" s="2832"/>
      <c r="I30" s="2832"/>
      <c r="J30" s="2711"/>
      <c r="K30" s="3212"/>
      <c r="L30" s="3210"/>
      <c r="M30" s="3210"/>
      <c r="N30" s="2711"/>
      <c r="O30" s="3211"/>
      <c r="P30" s="2711"/>
      <c r="Q30" s="2711"/>
      <c r="R30" s="2711"/>
      <c r="S30" s="2711"/>
      <c r="T30" s="2711"/>
      <c r="U30" s="2711"/>
      <c r="V30" s="2711"/>
    </row>
    <row r="31" spans="1:28">
      <c r="A31" s="3484" t="s">
        <v>485</v>
      </c>
      <c r="B31" s="3192"/>
      <c r="C31" s="2126" t="str">
        <f>IF(B31="现房","成新及维护状况正常否",IF(B31="在建","工程状态是否正常",IF(B31="土地","是否闲置","-")))</f>
        <v>-</v>
      </c>
      <c r="D31" s="2336"/>
      <c r="E31" s="3193"/>
      <c r="F31" s="2832"/>
      <c r="G31" s="2832"/>
      <c r="H31" s="2832"/>
      <c r="I31" s="2832"/>
      <c r="J31" s="2711"/>
      <c r="K31" s="3209"/>
      <c r="L31" s="3210"/>
      <c r="M31" s="3210"/>
      <c r="N31" s="2711"/>
      <c r="O31" s="3211"/>
      <c r="P31" s="2711"/>
      <c r="Q31" s="2711"/>
      <c r="R31" s="2711"/>
      <c r="S31" s="2711"/>
      <c r="T31" s="2711"/>
      <c r="U31" s="2711"/>
      <c r="V31" s="2711"/>
    </row>
    <row r="32" spans="1:28">
      <c r="A32" s="3485"/>
      <c r="B32" s="3192"/>
      <c r="C32" s="2126" t="str">
        <f>IF(B32="现房","成新及维护状况是否正常",IF(B32="在建","工程状态是否正常",IF(B32="土地","是否闲置","-")))</f>
        <v>-</v>
      </c>
      <c r="D32" s="2336"/>
      <c r="E32" s="3193"/>
      <c r="F32" s="2832"/>
      <c r="G32" s="2832"/>
      <c r="H32" s="2832"/>
      <c r="I32" s="2832"/>
      <c r="J32" s="2711"/>
      <c r="K32" s="3212"/>
      <c r="L32" s="3210"/>
      <c r="M32" s="3210"/>
      <c r="N32" s="2711"/>
      <c r="O32" s="3211"/>
      <c r="P32" s="2711"/>
      <c r="Q32" s="2711"/>
      <c r="R32" s="2711"/>
      <c r="S32" s="2711"/>
      <c r="T32" s="2711"/>
      <c r="U32" s="2711"/>
      <c r="V32" s="2711"/>
    </row>
    <row r="33" spans="1:30">
      <c r="A33" s="3485"/>
      <c r="B33" s="3194"/>
      <c r="C33" s="2463" t="str">
        <f>IF(B33="现房","成新及维护状况是否正常",IF(B33="在建","工程状态是否正常",IF(B33="土地","是否闲置","-")))</f>
        <v>-</v>
      </c>
      <c r="D33" s="1981"/>
      <c r="E33" s="3195"/>
      <c r="F33" s="2832"/>
      <c r="G33" s="2832"/>
      <c r="H33" s="2832"/>
      <c r="I33" s="2832"/>
      <c r="J33" s="2711"/>
      <c r="K33" s="3212"/>
      <c r="L33" s="3210"/>
      <c r="M33" s="3210"/>
      <c r="N33" s="2711"/>
      <c r="O33" s="3211"/>
      <c r="P33" s="2711"/>
      <c r="Q33" s="2711"/>
      <c r="R33" s="2711"/>
      <c r="S33" s="2711"/>
      <c r="T33" s="2711"/>
      <c r="U33" s="2711"/>
      <c r="V33" s="2711"/>
    </row>
    <row r="34" spans="1:30">
      <c r="A34" s="1972" t="s">
        <v>486</v>
      </c>
      <c r="B34" s="576"/>
      <c r="C34" s="576"/>
      <c r="D34" s="576"/>
      <c r="E34" s="576"/>
      <c r="F34" s="576"/>
      <c r="G34" s="576"/>
      <c r="H34" s="576"/>
      <c r="I34" s="2832"/>
      <c r="J34" s="2711"/>
      <c r="K34" s="1006">
        <f>COUNTIF(B34:H34,"——")</f>
        <v>0</v>
      </c>
      <c r="L34" s="2013" t="s">
        <v>487</v>
      </c>
      <c r="M34" s="2013" t="s">
        <v>488</v>
      </c>
      <c r="N34" s="2013" t="s">
        <v>489</v>
      </c>
      <c r="O34" s="2013" t="s">
        <v>490</v>
      </c>
      <c r="P34" s="2013" t="s">
        <v>491</v>
      </c>
      <c r="Q34" s="2013" t="s">
        <v>492</v>
      </c>
      <c r="R34" s="2013" t="s">
        <v>493</v>
      </c>
      <c r="S34" s="3504" t="s">
        <v>494</v>
      </c>
      <c r="T34" s="2013" t="str">
        <f>NUMBERSTRING(7-K34,1)&amp;"通"</f>
        <v>七通</v>
      </c>
      <c r="U34" s="2711"/>
      <c r="V34" s="2711"/>
    </row>
    <row r="35" spans="1:30">
      <c r="A35" s="3196"/>
      <c r="B35" s="3511" t="s">
        <v>495</v>
      </c>
      <c r="C35" s="3511"/>
      <c r="D35" s="3511"/>
      <c r="E35" s="3511"/>
      <c r="F35" s="1063">
        <f>C10</f>
        <v>0</v>
      </c>
      <c r="G35" s="2832"/>
      <c r="H35" s="2832"/>
      <c r="I35" s="2832"/>
      <c r="J35" s="2711"/>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04"/>
      <c r="T35" s="2015" t="str">
        <f>IF(T34="一通",L35,IF(T34="二通",M35,IF(T34="三通",N35,IF(T34="四通",O35,IF(T34="五通",P35,IF(T34="六通",Q35,R35))))))</f>
        <v>、、、、、、</v>
      </c>
      <c r="U35" s="2711"/>
      <c r="V35" s="2711"/>
    </row>
    <row r="36" spans="1:30">
      <c r="A36" s="3197"/>
      <c r="B36" s="1063" t="s">
        <v>444</v>
      </c>
      <c r="C36" s="1063" t="s">
        <v>445</v>
      </c>
      <c r="D36" s="1063" t="s">
        <v>443</v>
      </c>
      <c r="E36" s="1063" t="s">
        <v>448</v>
      </c>
      <c r="F36" s="3198" t="s">
        <v>280</v>
      </c>
      <c r="G36" s="2832"/>
      <c r="H36" s="2832"/>
      <c r="I36" s="2832"/>
      <c r="J36" s="2711"/>
      <c r="K36" s="3212"/>
      <c r="L36" s="3210"/>
      <c r="M36" s="3210"/>
      <c r="N36" s="2711"/>
      <c r="O36" s="3211"/>
      <c r="P36" s="2711"/>
      <c r="Q36" s="2711"/>
      <c r="R36" s="2711"/>
      <c r="S36" s="2711"/>
      <c r="T36" s="2711"/>
      <c r="U36" s="2711"/>
      <c r="V36" s="2711"/>
    </row>
    <row r="37" spans="1:30">
      <c r="A37" s="3199" t="s">
        <v>496</v>
      </c>
      <c r="B37" s="3200"/>
      <c r="C37" s="3200" t="s">
        <v>267</v>
      </c>
      <c r="D37" s="3200"/>
      <c r="E37" s="3200"/>
      <c r="F37" s="3200"/>
      <c r="G37" s="2832"/>
      <c r="H37" s="2832"/>
      <c r="I37" s="2832"/>
      <c r="J37" s="2711"/>
      <c r="K37" s="3212"/>
      <c r="L37" s="3210"/>
      <c r="M37" s="3210"/>
      <c r="N37" s="2711"/>
      <c r="O37" s="3211"/>
      <c r="P37" s="2711"/>
      <c r="Q37" s="2711"/>
      <c r="R37" s="2711"/>
      <c r="S37" s="2711"/>
      <c r="T37" s="2711"/>
      <c r="U37" s="2711"/>
      <c r="V37" s="2711"/>
    </row>
    <row r="38" spans="1:30">
      <c r="A38" s="3201" t="s">
        <v>497</v>
      </c>
      <c r="B38" s="3202"/>
      <c r="C38" s="3202" t="s">
        <v>498</v>
      </c>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c r="A41" s="3205" t="s">
        <v>500</v>
      </c>
      <c r="B41" s="2368"/>
      <c r="C41" s="2336"/>
      <c r="D41" s="3151"/>
      <c r="E41" s="3151"/>
      <c r="F41" s="3151"/>
      <c r="G41" s="3151"/>
      <c r="H41" s="3151"/>
      <c r="I41" s="3018"/>
      <c r="J41" s="2711"/>
      <c r="K41" s="3212"/>
      <c r="L41" s="3210"/>
      <c r="M41" s="3210"/>
      <c r="N41" s="2711"/>
      <c r="O41" s="3211"/>
      <c r="P41" s="2711"/>
      <c r="Q41" s="2711"/>
      <c r="R41" s="2711"/>
      <c r="S41" s="2711"/>
      <c r="T41" s="2711"/>
      <c r="U41" s="2711"/>
      <c r="V41" s="2711"/>
    </row>
    <row r="42" spans="1:30" ht="25.5">
      <c r="A42" s="2013"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G13" activePane="bottomRight" state="frozen"/>
      <selection pane="topRight"/>
      <selection pane="bottomLeft"/>
      <selection pane="bottomRight" activeCell="I13" sqref="I13"/>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20276.490000000002</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26" t="s">
        <v>526</v>
      </c>
      <c r="B5" s="2365"/>
      <c r="C5" s="2365"/>
      <c r="D5" s="2494"/>
      <c r="E5" s="3025" t="s">
        <v>124</v>
      </c>
      <c r="F5" s="3025">
        <f>SUM(F13:F587)</f>
        <v>0</v>
      </c>
      <c r="G5" s="3025">
        <f>SUM(G13:G587)</f>
        <v>20276.490000000002</v>
      </c>
      <c r="H5" s="3025">
        <f t="shared" ref="H5:AT5" si="0">SUM(H13:H656)</f>
        <v>20276.490000000002</v>
      </c>
      <c r="I5" s="3025">
        <f t="shared" si="0"/>
        <v>17455.670000000002</v>
      </c>
      <c r="J5" s="3025">
        <f t="shared" si="0"/>
        <v>0</v>
      </c>
      <c r="K5" s="3025">
        <f t="shared" si="0"/>
        <v>2820.8199999999997</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26" t="s">
        <v>526</v>
      </c>
      <c r="AW5" s="2365"/>
      <c r="AX5" s="2365"/>
      <c r="AY5" s="3084" t="s">
        <v>124</v>
      </c>
      <c r="AZ5" s="3085">
        <f t="shared" ref="AZ5:BT5" si="1">SUM(AZ13:AZ656)</f>
        <v>20276.490000000002</v>
      </c>
      <c r="BA5" s="3085">
        <f t="shared" si="1"/>
        <v>20276.490000000002</v>
      </c>
      <c r="BB5" s="3085">
        <f t="shared" si="1"/>
        <v>17455.670000000002</v>
      </c>
      <c r="BC5" s="3085">
        <f t="shared" si="1"/>
        <v>2820.8199999999997</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2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2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3"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533</v>
      </c>
      <c r="AV7" s="3071" t="s">
        <v>528</v>
      </c>
      <c r="AW7" s="2483" t="s">
        <v>529</v>
      </c>
      <c r="AX7" s="3071" t="s">
        <v>502</v>
      </c>
      <c r="AY7" s="2365"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67" t="s">
        <v>537</v>
      </c>
      <c r="AD8" s="3061"/>
      <c r="AE8" s="3062"/>
      <c r="AF8" s="1005"/>
      <c r="AG8" s="1005"/>
      <c r="AH8" s="1005"/>
      <c r="AI8" s="1005"/>
      <c r="AJ8" s="1005"/>
      <c r="AK8" s="1005"/>
      <c r="AL8" s="1005"/>
      <c r="AM8" s="1005"/>
      <c r="AN8" s="1005"/>
      <c r="AO8" s="1005"/>
      <c r="AP8" s="1005"/>
      <c r="AQ8" s="1005"/>
      <c r="AR8" s="1005"/>
      <c r="AS8" s="1005"/>
      <c r="AT8" s="1965" t="s">
        <v>538</v>
      </c>
      <c r="AU8" s="3031" t="s">
        <v>539</v>
      </c>
      <c r="AV8" s="1965"/>
      <c r="AW8" s="2443"/>
      <c r="AX8" s="1965"/>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1"/>
    </row>
    <row r="9" spans="1:72" s="2730" customFormat="1" ht="12.75">
      <c r="A9" s="3031"/>
      <c r="B9" s="3031"/>
      <c r="C9" s="3031"/>
      <c r="D9" s="3031"/>
      <c r="E9" s="3031"/>
      <c r="F9" s="3031"/>
      <c r="G9" s="1965"/>
      <c r="H9" s="3034" t="s">
        <v>540</v>
      </c>
      <c r="I9" s="3052" t="s">
        <v>541</v>
      </c>
      <c r="J9" s="2267"/>
      <c r="K9" s="3052" t="s">
        <v>542</v>
      </c>
      <c r="L9" s="2267"/>
      <c r="M9" s="3052"/>
      <c r="N9" s="2267"/>
      <c r="O9" s="3052"/>
      <c r="P9" s="2267"/>
      <c r="Q9" s="3052"/>
      <c r="R9" s="2267"/>
      <c r="S9" s="3052"/>
      <c r="T9" s="2267"/>
      <c r="U9" s="3052"/>
      <c r="V9" s="2267"/>
      <c r="W9" s="3052"/>
      <c r="X9" s="3059"/>
      <c r="Y9" s="3052"/>
      <c r="Z9" s="2267"/>
      <c r="AA9" s="3052"/>
      <c r="AB9" s="2267"/>
      <c r="AC9" s="3032" t="s">
        <v>540</v>
      </c>
      <c r="AD9" s="2126" t="s">
        <v>543</v>
      </c>
      <c r="AE9" s="1977"/>
      <c r="AF9" s="2126" t="s">
        <v>544</v>
      </c>
      <c r="AG9" s="1977"/>
      <c r="AH9" s="2126" t="s">
        <v>543</v>
      </c>
      <c r="AI9" s="1977"/>
      <c r="AJ9" s="2126" t="s">
        <v>544</v>
      </c>
      <c r="AK9" s="1977"/>
      <c r="AL9" s="2126" t="s">
        <v>543</v>
      </c>
      <c r="AM9" s="1977"/>
      <c r="AN9" s="2126" t="s">
        <v>544</v>
      </c>
      <c r="AO9" s="1977"/>
      <c r="AP9" s="2126" t="s">
        <v>543</v>
      </c>
      <c r="AQ9" s="1977"/>
      <c r="AR9" s="2126" t="s">
        <v>544</v>
      </c>
      <c r="AS9" s="3072"/>
      <c r="AT9" s="3031"/>
      <c r="AU9" s="3031" t="s">
        <v>545</v>
      </c>
      <c r="AV9" s="1965"/>
      <c r="AW9" s="2443"/>
      <c r="AX9" s="1965"/>
      <c r="AY9" s="3035"/>
      <c r="AZ9" s="3035" t="s">
        <v>535</v>
      </c>
      <c r="BA9" s="3087" t="s">
        <v>546</v>
      </c>
      <c r="BB9" s="3088"/>
      <c r="BC9" s="2023"/>
      <c r="BD9" s="2023"/>
      <c r="BE9" s="2023"/>
      <c r="BF9" s="2023"/>
      <c r="BG9" s="2023"/>
      <c r="BH9" s="2023"/>
      <c r="BI9" s="2023"/>
      <c r="BJ9" s="2023"/>
      <c r="BK9" s="3093"/>
      <c r="BL9" s="2126" t="s">
        <v>547</v>
      </c>
      <c r="BM9" s="1005"/>
      <c r="BN9" s="3051"/>
      <c r="BO9" s="1005"/>
      <c r="BP9" s="1005"/>
      <c r="BQ9" s="1005"/>
      <c r="BR9" s="1005"/>
      <c r="BS9" s="1005"/>
      <c r="BT9" s="2011"/>
    </row>
    <row r="10" spans="1:72" s="2730" customFormat="1" ht="12.75">
      <c r="A10" s="3031"/>
      <c r="B10" s="3031"/>
      <c r="C10" s="3031"/>
      <c r="D10" s="3031"/>
      <c r="E10" s="3031"/>
      <c r="F10" s="3031"/>
      <c r="G10" s="1965"/>
      <c r="H10" s="3035"/>
      <c r="I10" s="3052" t="s">
        <v>548</v>
      </c>
      <c r="J10" s="2267"/>
      <c r="K10" s="3053" t="s">
        <v>548</v>
      </c>
      <c r="L10" s="2267"/>
      <c r="M10" s="3053"/>
      <c r="N10" s="2267"/>
      <c r="O10" s="3053"/>
      <c r="P10" s="2267"/>
      <c r="Q10" s="3053"/>
      <c r="R10" s="2267"/>
      <c r="S10" s="3053"/>
      <c r="T10" s="2267"/>
      <c r="U10" s="3053"/>
      <c r="V10" s="2267"/>
      <c r="W10" s="3053"/>
      <c r="X10" s="2267"/>
      <c r="Y10" s="3053"/>
      <c r="Z10" s="2267"/>
      <c r="AA10" s="3053"/>
      <c r="AB10" s="2267"/>
      <c r="AC10" s="1965"/>
      <c r="AD10" s="2126" t="s">
        <v>549</v>
      </c>
      <c r="AE10" s="3063"/>
      <c r="AF10" s="2126" t="s">
        <v>549</v>
      </c>
      <c r="AG10" s="3063"/>
      <c r="AH10" s="2126" t="s">
        <v>550</v>
      </c>
      <c r="AI10" s="3063"/>
      <c r="AJ10" s="2126" t="s">
        <v>550</v>
      </c>
      <c r="AK10" s="3063"/>
      <c r="AL10" s="2126" t="s">
        <v>551</v>
      </c>
      <c r="AM10" s="1977"/>
      <c r="AN10" s="2126" t="s">
        <v>551</v>
      </c>
      <c r="AO10" s="1977"/>
      <c r="AP10" s="2126" t="s">
        <v>552</v>
      </c>
      <c r="AQ10" s="1977"/>
      <c r="AR10" s="2126" t="s">
        <v>552</v>
      </c>
      <c r="AS10" s="1977"/>
      <c r="AT10" s="3031"/>
      <c r="AU10" s="3031"/>
      <c r="AV10" s="1965"/>
      <c r="AW10" s="2443"/>
      <c r="AX10" s="1965"/>
      <c r="AY10" s="3035"/>
      <c r="AZ10" s="3035"/>
      <c r="BA10" s="3036" t="s">
        <v>540</v>
      </c>
      <c r="BB10" s="3089" t="str">
        <f>I9</f>
        <v>地上</v>
      </c>
      <c r="BC10" s="2035" t="str">
        <f>K9</f>
        <v>地下</v>
      </c>
      <c r="BD10" s="2035">
        <f>M9</f>
        <v>0</v>
      </c>
      <c r="BE10" s="2035">
        <f>O9</f>
        <v>0</v>
      </c>
      <c r="BF10" s="2035">
        <f>Q9</f>
        <v>0</v>
      </c>
      <c r="BG10" s="2035">
        <f>S9</f>
        <v>0</v>
      </c>
      <c r="BH10" s="2035">
        <f>U9</f>
        <v>0</v>
      </c>
      <c r="BI10" s="2035">
        <f>W9</f>
        <v>0</v>
      </c>
      <c r="BJ10" s="2035">
        <f>Y9</f>
        <v>0</v>
      </c>
      <c r="BK10" s="2035">
        <f>AA9</f>
        <v>0</v>
      </c>
      <c r="BL10" s="2031" t="s">
        <v>540</v>
      </c>
      <c r="BM10" s="1004" t="str">
        <f>AD9</f>
        <v>地上</v>
      </c>
      <c r="BN10" s="2035" t="str">
        <f>AF9</f>
        <v>地下</v>
      </c>
      <c r="BO10" s="1004" t="str">
        <f>AH9</f>
        <v>地上</v>
      </c>
      <c r="BP10" s="2035" t="str">
        <f>AJ9</f>
        <v>地下</v>
      </c>
      <c r="BQ10" s="1004" t="str">
        <f>AL9</f>
        <v>地上</v>
      </c>
      <c r="BR10" s="2035" t="str">
        <f>AN9</f>
        <v>地下</v>
      </c>
      <c r="BS10" s="1004" t="str">
        <f>AP9</f>
        <v>地上</v>
      </c>
      <c r="BT10" s="3097" t="str">
        <f>AR9</f>
        <v>地下</v>
      </c>
    </row>
    <row r="11" spans="1:72" s="2730" customFormat="1" ht="12.75">
      <c r="A11" s="3031"/>
      <c r="B11" s="3031"/>
      <c r="C11" s="3031"/>
      <c r="D11" s="3031"/>
      <c r="E11" s="3031"/>
      <c r="F11" s="3031"/>
      <c r="G11" s="1965"/>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65"/>
      <c r="AD11" s="3064" t="s">
        <v>553</v>
      </c>
      <c r="AE11" s="1061"/>
      <c r="AF11" s="3064" t="s">
        <v>553</v>
      </c>
      <c r="AG11" s="1061"/>
      <c r="AH11" s="3064" t="s">
        <v>554</v>
      </c>
      <c r="AI11" s="3068"/>
      <c r="AJ11" s="3064" t="s">
        <v>554</v>
      </c>
      <c r="AK11" s="1061"/>
      <c r="AL11" s="1004"/>
      <c r="AM11" s="1061"/>
      <c r="AN11" s="1004"/>
      <c r="AO11" s="1061"/>
      <c r="AP11" s="1004"/>
      <c r="AQ11" s="1061"/>
      <c r="AR11" s="1004"/>
      <c r="AS11" s="1061"/>
      <c r="AT11" s="2443"/>
      <c r="AU11" s="3031"/>
      <c r="AV11" s="1965"/>
      <c r="AW11" s="2443"/>
      <c r="AX11" s="1965"/>
      <c r="AY11" s="3035"/>
      <c r="AZ11" s="3035"/>
      <c r="BA11" s="3035"/>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1" t="str">
        <f>AP10</f>
        <v>未注明</v>
      </c>
      <c r="BT11" s="3098" t="str">
        <f>AR10</f>
        <v>未注明</v>
      </c>
    </row>
    <row r="12" spans="1:72" s="3010" customFormat="1" ht="12.75">
      <c r="A12" s="3037"/>
      <c r="B12" s="3037"/>
      <c r="C12" s="3037"/>
      <c r="D12" s="3037"/>
      <c r="E12" s="3037"/>
      <c r="F12" s="3037"/>
      <c r="G12" s="602"/>
      <c r="H12" s="3038"/>
      <c r="I12" s="2494"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4" t="s">
        <v>556</v>
      </c>
      <c r="W12" s="1006" t="s">
        <v>555</v>
      </c>
      <c r="X12" s="1006" t="s">
        <v>556</v>
      </c>
      <c r="Y12" s="1006" t="s">
        <v>555</v>
      </c>
      <c r="Z12" s="1006" t="s">
        <v>556</v>
      </c>
      <c r="AA12" s="1006" t="s">
        <v>555</v>
      </c>
      <c r="AB12" s="1006" t="s">
        <v>556</v>
      </c>
      <c r="AC12" s="3065"/>
      <c r="AD12" s="2494"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7" t="s">
        <v>556</v>
      </c>
      <c r="AT12" s="3073"/>
      <c r="AU12" s="3037"/>
      <c r="AV12" s="3074"/>
      <c r="AW12" s="2483"/>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65"/>
      <c r="BM12" s="1004" t="str">
        <f>AD11</f>
        <v>（住宅）</v>
      </c>
      <c r="BN12" s="1004" t="str">
        <f>AF11</f>
        <v>（住宅）</v>
      </c>
      <c r="BO12" s="1003" t="str">
        <f>AH11</f>
        <v>（住宅、计出让金）</v>
      </c>
      <c r="BP12" s="1003" t="str">
        <f>AJ11</f>
        <v>（住宅、计出让金）</v>
      </c>
      <c r="BQ12" s="1003">
        <f>AL11</f>
        <v>0</v>
      </c>
      <c r="BR12" s="1003">
        <f>AN11</f>
        <v>0</v>
      </c>
      <c r="BS12" s="2031">
        <f>AP11</f>
        <v>0</v>
      </c>
      <c r="BT12" s="3098">
        <f>AR11</f>
        <v>0</v>
      </c>
    </row>
    <row r="13" spans="1:72" s="3010" customFormat="1" ht="12.75">
      <c r="A13" s="3039"/>
      <c r="B13" s="3039"/>
      <c r="C13" s="3039"/>
      <c r="D13" s="3040" t="s">
        <v>557</v>
      </c>
      <c r="E13" s="3025">
        <f>IF($C$3="是",ROUND($A$3*G13/$B$3,2),ROUND($A$3*(G13-AT13)/$B$3,2))</f>
        <v>0</v>
      </c>
      <c r="F13" s="3041"/>
      <c r="G13" s="3042">
        <f>H13+AC13+AT13</f>
        <v>20276.490000000002</v>
      </c>
      <c r="H13" s="3028">
        <f>SUMIF(I$12:AB$12,"总值",I13:AB13)</f>
        <v>20276.490000000002</v>
      </c>
      <c r="I13" s="3056">
        <f>20276.49-K13</f>
        <v>17455.670000000002</v>
      </c>
      <c r="J13" s="3056"/>
      <c r="K13" s="3056">
        <f>923.48+1897.34</f>
        <v>2820.8199999999997</v>
      </c>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4">
        <f>ROUND($AY$6*AZ13/$AZ$5,2)</f>
        <v>0</v>
      </c>
      <c r="AZ13" s="3025">
        <f>BA13+BL13</f>
        <v>20276.490000000002</v>
      </c>
      <c r="BA13" s="3025">
        <f>SUM(BB13:BK13)</f>
        <v>20276.490000000002</v>
      </c>
      <c r="BB13" s="3025">
        <f>IF($D13="是",I13-J13,0)</f>
        <v>17455.670000000002</v>
      </c>
      <c r="BC13" s="3025">
        <f>IF($D13="是",K13-L13,0)</f>
        <v>2820.8199999999997</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4"/>
  <sheetViews>
    <sheetView view="pageBreakPreview" zoomScale="70" zoomScaleNormal="100" zoomScaleSheetLayoutView="70" workbookViewId="0">
      <selection activeCell="M38" sqref="M38"/>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5" t="s">
        <v>558</v>
      </c>
      <c r="B1" s="2430"/>
      <c r="C1" s="2430"/>
      <c r="D1" s="2430"/>
      <c r="E1" s="2430"/>
      <c r="F1" s="2430"/>
      <c r="G1" s="2430"/>
      <c r="H1" s="2430"/>
      <c r="I1" s="2430"/>
      <c r="J1" s="2430"/>
      <c r="K1" s="2430"/>
      <c r="L1" s="2430"/>
      <c r="M1" s="2430"/>
      <c r="N1" s="2430"/>
      <c r="O1" s="2430"/>
      <c r="P1" s="2430"/>
    </row>
    <row r="2" spans="1:16" ht="15">
      <c r="A2" s="3521" t="s">
        <v>559</v>
      </c>
      <c r="B2" s="3521"/>
      <c r="C2" s="3521"/>
      <c r="D2" s="2252" t="s">
        <v>560</v>
      </c>
      <c r="E2" s="2927" t="s">
        <v>561</v>
      </c>
      <c r="F2" s="2928"/>
      <c r="G2" s="2929"/>
      <c r="H2" s="2930"/>
      <c r="I2" s="2579" t="s">
        <v>562</v>
      </c>
      <c r="J2" s="2928"/>
      <c r="K2" s="2928"/>
      <c r="L2" s="2928"/>
      <c r="M2" s="2928"/>
      <c r="N2" s="1410"/>
      <c r="O2" s="2928"/>
      <c r="P2" s="2928"/>
    </row>
    <row r="3" spans="1:16" ht="15">
      <c r="A3" s="3522" t="s">
        <v>563</v>
      </c>
      <c r="B3" s="3522"/>
      <c r="C3" s="3522"/>
      <c r="D3" s="2931">
        <f>'数据-基础表'!AY6</f>
        <v>0</v>
      </c>
      <c r="E3" s="2931">
        <f>'数据-基础表'!AZ5</f>
        <v>20276.490000000002</v>
      </c>
      <c r="F3" s="2928"/>
      <c r="G3" s="2932"/>
      <c r="H3" s="2381" t="s">
        <v>564</v>
      </c>
      <c r="I3" s="2991" t="e">
        <f>ROUND('数据-基础表'!B3/'数据-基础表'!A3,2)</f>
        <v>#DIV/0!</v>
      </c>
      <c r="J3" s="2928"/>
      <c r="K3" s="2928"/>
      <c r="L3" s="2928"/>
      <c r="M3" s="2928"/>
      <c r="N3" s="1410"/>
      <c r="O3" s="2928"/>
      <c r="P3" s="2928"/>
    </row>
    <row r="4" spans="1:16" ht="15">
      <c r="A4" s="3523"/>
      <c r="B4" s="3524"/>
      <c r="C4" s="3525"/>
      <c r="D4" s="2933" t="s">
        <v>560</v>
      </c>
      <c r="E4" s="2934" t="s">
        <v>561</v>
      </c>
      <c r="F4" s="2928"/>
      <c r="G4" s="2935" t="s">
        <v>565</v>
      </c>
      <c r="H4" s="2381" t="s">
        <v>566</v>
      </c>
      <c r="I4" s="2991" t="e">
        <f>ROUND(SUMIF('数据-基础表'!I9:AS9,"地上",'数据-基础表'!I5:AS5)/'数据-基础表'!A3,2)</f>
        <v>#DIV/0!</v>
      </c>
      <c r="J4" s="2928"/>
      <c r="K4" s="2928"/>
      <c r="L4" s="2928"/>
      <c r="M4" s="2928"/>
      <c r="N4" s="1410"/>
      <c r="O4" s="2928"/>
      <c r="P4" s="2928"/>
    </row>
    <row r="5" spans="1:16">
      <c r="A5" s="2936" t="s">
        <v>567</v>
      </c>
      <c r="B5" s="3526" t="s">
        <v>568</v>
      </c>
      <c r="C5" s="3526"/>
      <c r="D5" s="2937">
        <f>ROUND($D$3*E5/$E$3,2)</f>
        <v>0</v>
      </c>
      <c r="E5" s="2938">
        <f>SUMIF('数据-基础表'!$11:$11,"住宅",'数据-基础表'!$5:$5)</f>
        <v>0</v>
      </c>
      <c r="F5" s="2928"/>
      <c r="G5" s="2932"/>
      <c r="H5" s="2381" t="s">
        <v>564</v>
      </c>
      <c r="I5" s="2991" t="e">
        <f>ROUND(E31/D31,2)</f>
        <v>#DIV/0!</v>
      </c>
      <c r="J5" s="2928"/>
      <c r="K5" s="2928"/>
      <c r="L5" s="2928"/>
      <c r="M5" s="2928"/>
      <c r="N5" s="2928"/>
      <c r="O5" s="2928"/>
      <c r="P5" s="2928"/>
    </row>
    <row r="6" spans="1:16">
      <c r="A6" s="2939"/>
      <c r="B6" s="3526" t="s">
        <v>569</v>
      </c>
      <c r="C6" s="3526"/>
      <c r="D6" s="2937">
        <f>ROUND($D$3*E6/$E$3,2)</f>
        <v>0</v>
      </c>
      <c r="E6" s="2938">
        <f>E3-E5</f>
        <v>20276.490000000002</v>
      </c>
      <c r="F6" s="2928"/>
      <c r="G6" s="2940" t="s">
        <v>570</v>
      </c>
      <c r="H6" s="2941" t="s">
        <v>566</v>
      </c>
      <c r="I6" s="2992" t="e">
        <f>ROUND(F31/D31,2)</f>
        <v>#DIV/0!</v>
      </c>
      <c r="J6" s="2928"/>
      <c r="K6" s="2928"/>
      <c r="L6" s="2928"/>
      <c r="M6" s="2928"/>
      <c r="N6" s="2928"/>
      <c r="O6" s="2928"/>
      <c r="P6" s="2928"/>
    </row>
    <row r="7" spans="1:16" ht="15">
      <c r="A7" s="3512"/>
      <c r="B7" s="3513"/>
      <c r="C7" s="3514"/>
      <c r="D7" s="2933" t="s">
        <v>560</v>
      </c>
      <c r="E7" s="2942" t="s">
        <v>571</v>
      </c>
      <c r="F7" s="2928"/>
      <c r="G7" s="2943" t="s">
        <v>572</v>
      </c>
      <c r="H7" s="2944"/>
      <c r="I7" s="2993">
        <v>2.5</v>
      </c>
      <c r="J7" s="2928"/>
      <c r="K7" s="2928"/>
      <c r="L7" s="2928"/>
      <c r="M7" s="2928"/>
      <c r="N7" s="2928"/>
      <c r="O7" s="2928"/>
      <c r="P7" s="2928"/>
    </row>
    <row r="8" spans="1:16">
      <c r="A8" s="2936" t="s">
        <v>573</v>
      </c>
      <c r="B8" s="2945" t="s">
        <v>574</v>
      </c>
      <c r="C8" s="2937" t="s">
        <v>575</v>
      </c>
      <c r="D8" s="2937">
        <f t="shared" ref="D8:D15" si="0">ROUND($D$3*E8/$E$3,2)</f>
        <v>0</v>
      </c>
      <c r="E8" s="2946">
        <f>SUMIF('数据-基础表'!BB10:BK10,"地上",'数据-基础表'!BB5:BK5)</f>
        <v>17455.670000000002</v>
      </c>
      <c r="F8" s="2928"/>
      <c r="G8" s="2947"/>
      <c r="H8" s="2947"/>
      <c r="I8" s="2928"/>
      <c r="J8" s="2928"/>
      <c r="K8" s="2928"/>
      <c r="L8" s="2928"/>
      <c r="M8" s="2928"/>
      <c r="N8" s="2928"/>
      <c r="O8" s="2928"/>
      <c r="P8" s="2928"/>
    </row>
    <row r="9" spans="1:16">
      <c r="A9" s="2948"/>
      <c r="B9" s="2949"/>
      <c r="C9" s="2937" t="s">
        <v>576</v>
      </c>
      <c r="D9" s="2937">
        <f t="shared" si="0"/>
        <v>0</v>
      </c>
      <c r="E9" s="2950">
        <v>0</v>
      </c>
      <c r="F9" s="2928"/>
      <c r="G9" s="2947"/>
      <c r="H9" s="2947"/>
      <c r="I9" s="2928"/>
      <c r="J9" s="2928"/>
      <c r="K9" s="2928"/>
      <c r="L9" s="2928"/>
      <c r="M9" s="2928"/>
      <c r="N9" s="2928"/>
      <c r="O9" s="2928"/>
      <c r="P9" s="2928"/>
    </row>
    <row r="10" spans="1:16">
      <c r="A10" s="2948"/>
      <c r="B10" s="2949"/>
      <c r="C10" s="2937" t="s">
        <v>577</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578</v>
      </c>
      <c r="D11" s="2937">
        <f t="shared" si="0"/>
        <v>0</v>
      </c>
      <c r="E11" s="2946">
        <f>SUMPRODUCT(('数据-基础表'!BB10:BK10="地下")*('数据-基础表'!BB11:BK11="办公")*('数据-基础表'!BB5:BK5))+'数据-基础表'!BP5</f>
        <v>2820.8199999999997</v>
      </c>
      <c r="F11" s="2928"/>
      <c r="G11" s="2947"/>
      <c r="H11" s="2947"/>
      <c r="I11" s="2928"/>
      <c r="J11" s="2928"/>
      <c r="K11" s="2928"/>
      <c r="L11" s="2928"/>
      <c r="M11" s="2928"/>
      <c r="N11" s="2928"/>
      <c r="O11" s="2928"/>
      <c r="P11" s="2928"/>
    </row>
    <row r="12" spans="1:16">
      <c r="A12" s="2948"/>
      <c r="B12" s="2949"/>
      <c r="C12" s="2937" t="s">
        <v>579</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580</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581</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582</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583</v>
      </c>
      <c r="D16" s="2945">
        <f>SUM(D8:D15)</f>
        <v>0</v>
      </c>
      <c r="E16" s="2951">
        <f>SUM(E8:E15)</f>
        <v>20276.490000000002</v>
      </c>
      <c r="F16" s="2928"/>
      <c r="G16" s="2947"/>
      <c r="H16" s="2952" t="s">
        <v>584</v>
      </c>
      <c r="I16" s="2994"/>
      <c r="J16" s="2430"/>
      <c r="K16" s="3515" t="s">
        <v>584</v>
      </c>
      <c r="L16" s="3516"/>
      <c r="M16" s="3516"/>
      <c r="N16" s="3516"/>
      <c r="O16" s="3516"/>
      <c r="P16" s="3517"/>
    </row>
    <row r="17" spans="1:19" ht="15">
      <c r="A17" s="2887" t="s">
        <v>585</v>
      </c>
      <c r="B17" s="2953" t="s">
        <v>586</v>
      </c>
      <c r="C17" s="2886" t="s">
        <v>587</v>
      </c>
      <c r="D17" s="2954" t="s">
        <v>560</v>
      </c>
      <c r="E17" s="2955" t="s">
        <v>561</v>
      </c>
      <c r="F17" s="2956"/>
      <c r="G17" s="2957"/>
      <c r="H17" s="2958" t="s">
        <v>588</v>
      </c>
      <c r="I17" s="2995" t="s">
        <v>589</v>
      </c>
      <c r="J17" s="2430"/>
      <c r="K17" s="3518" t="s">
        <v>590</v>
      </c>
      <c r="L17" s="3519"/>
      <c r="M17" s="3520"/>
      <c r="N17" s="3518" t="s">
        <v>591</v>
      </c>
      <c r="O17" s="3519"/>
      <c r="P17" s="3520"/>
      <c r="R17" s="3008" t="s">
        <v>592</v>
      </c>
      <c r="S17" s="2370"/>
    </row>
    <row r="18" spans="1:19" ht="15">
      <c r="A18" s="2948"/>
      <c r="B18" s="2959"/>
      <c r="C18" s="2960"/>
      <c r="D18" s="2961"/>
      <c r="E18" s="2962" t="s">
        <v>593</v>
      </c>
      <c r="F18" s="2963" t="s">
        <v>566</v>
      </c>
      <c r="G18" s="2964" t="s">
        <v>594</v>
      </c>
      <c r="H18" s="2892" t="s">
        <v>595</v>
      </c>
      <c r="I18" s="2996" t="s">
        <v>596</v>
      </c>
      <c r="J18" s="2430"/>
      <c r="K18" s="2892" t="s">
        <v>597</v>
      </c>
      <c r="L18" s="2592" t="s">
        <v>598</v>
      </c>
      <c r="M18" s="2991" t="s">
        <v>599</v>
      </c>
      <c r="N18" s="2892" t="s">
        <v>597</v>
      </c>
      <c r="O18" s="2592" t="s">
        <v>598</v>
      </c>
      <c r="P18" s="2991" t="s">
        <v>599</v>
      </c>
      <c r="R18" s="2381" t="s">
        <v>595</v>
      </c>
      <c r="S18" s="2381" t="s">
        <v>596</v>
      </c>
    </row>
    <row r="19" spans="1:19">
      <c r="A19" s="2965"/>
      <c r="B19" s="2945" t="s">
        <v>600</v>
      </c>
      <c r="C19" s="2966" t="s">
        <v>548</v>
      </c>
      <c r="D19" s="2937">
        <f>ROUND($D$3*E19/$E$3,2)</f>
        <v>0</v>
      </c>
      <c r="E19" s="2967">
        <f t="shared" ref="E19:E26" si="1">SUM(F19:G19)</f>
        <v>20276.490000000002</v>
      </c>
      <c r="F19" s="2968">
        <f>'数据-基础表'!I13</f>
        <v>17455.670000000002</v>
      </c>
      <c r="G19" s="2969">
        <f>'数据-基础表'!K13</f>
        <v>2820.8199999999997</v>
      </c>
      <c r="H19" s="2876">
        <f>ROUND($D$3*I19/$E$3,2)</f>
        <v>0</v>
      </c>
      <c r="I19" s="2946">
        <f t="shared" ref="I19:I26" si="2">IF($I$17="自定义",P19,M19)</f>
        <v>0</v>
      </c>
      <c r="J19" s="2430"/>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20276.490000000002</v>
      </c>
    </row>
    <row r="20" spans="1:19">
      <c r="A20" s="2970"/>
      <c r="B20" s="2945" t="s">
        <v>600</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c r="A21" s="2970"/>
      <c r="B21" s="2945" t="s">
        <v>600</v>
      </c>
      <c r="C21" s="2966"/>
      <c r="D21" s="2937">
        <f t="shared" si="6"/>
        <v>0</v>
      </c>
      <c r="E21" s="2967">
        <f t="shared" si="1"/>
        <v>0</v>
      </c>
      <c r="F21" s="2968"/>
      <c r="G21" s="2969"/>
      <c r="H21" s="2876">
        <f t="shared" si="7"/>
        <v>0</v>
      </c>
      <c r="I21" s="2946">
        <f t="shared" si="2"/>
        <v>0</v>
      </c>
      <c r="J21" s="2430"/>
      <c r="K21" s="2997">
        <f t="shared" si="3"/>
        <v>0</v>
      </c>
      <c r="L21" s="2381">
        <f t="shared" si="4"/>
        <v>0</v>
      </c>
      <c r="M21" s="2998">
        <f t="shared" si="8"/>
        <v>0</v>
      </c>
      <c r="N21" s="2999"/>
      <c r="O21" s="3000"/>
      <c r="P21" s="2998">
        <f t="shared" si="9"/>
        <v>0</v>
      </c>
      <c r="R21" s="2381">
        <f t="shared" si="5"/>
        <v>0</v>
      </c>
      <c r="S21" s="3009">
        <f t="shared" si="5"/>
        <v>0</v>
      </c>
    </row>
    <row r="22" spans="1:19">
      <c r="A22" s="2970"/>
      <c r="B22" s="2945" t="s">
        <v>600</v>
      </c>
      <c r="C22" s="2971"/>
      <c r="D22" s="2937">
        <f t="shared" si="6"/>
        <v>0</v>
      </c>
      <c r="E22" s="2967">
        <f t="shared" si="1"/>
        <v>0</v>
      </c>
      <c r="F22" s="2972"/>
      <c r="G22" s="2973"/>
      <c r="H22" s="2876">
        <f t="shared" si="7"/>
        <v>0</v>
      </c>
      <c r="I22" s="2946">
        <f t="shared" si="2"/>
        <v>0</v>
      </c>
      <c r="J22" s="2430"/>
      <c r="K22" s="2997">
        <f t="shared" si="3"/>
        <v>0</v>
      </c>
      <c r="L22" s="2381">
        <f t="shared" si="4"/>
        <v>0</v>
      </c>
      <c r="M22" s="2998">
        <f t="shared" si="8"/>
        <v>0</v>
      </c>
      <c r="N22" s="2999"/>
      <c r="O22" s="3000"/>
      <c r="P22" s="2998">
        <f t="shared" si="9"/>
        <v>0</v>
      </c>
      <c r="R22" s="2381">
        <f t="shared" si="5"/>
        <v>0</v>
      </c>
      <c r="S22" s="3009">
        <f t="shared" si="5"/>
        <v>0</v>
      </c>
    </row>
    <row r="23" spans="1:19">
      <c r="A23" s="2970"/>
      <c r="B23" s="2945" t="s">
        <v>600</v>
      </c>
      <c r="C23" s="2971"/>
      <c r="D23" s="2937">
        <f t="shared" si="6"/>
        <v>0</v>
      </c>
      <c r="E23" s="2967">
        <f t="shared" si="1"/>
        <v>0</v>
      </c>
      <c r="F23" s="2972"/>
      <c r="G23" s="2973"/>
      <c r="H23" s="2876">
        <f t="shared" si="7"/>
        <v>0</v>
      </c>
      <c r="I23" s="2946">
        <f t="shared" si="2"/>
        <v>0</v>
      </c>
      <c r="J23" s="2430"/>
      <c r="K23" s="2997">
        <f t="shared" si="3"/>
        <v>0</v>
      </c>
      <c r="L23" s="2381">
        <f t="shared" si="4"/>
        <v>0</v>
      </c>
      <c r="M23" s="2998">
        <f t="shared" si="8"/>
        <v>0</v>
      </c>
      <c r="N23" s="2999"/>
      <c r="O23" s="3000"/>
      <c r="P23" s="2998">
        <f t="shared" si="9"/>
        <v>0</v>
      </c>
      <c r="R23" s="2381">
        <f t="shared" si="5"/>
        <v>0</v>
      </c>
      <c r="S23" s="3009">
        <f t="shared" si="5"/>
        <v>0</v>
      </c>
    </row>
    <row r="24" spans="1:19">
      <c r="A24" s="2970"/>
      <c r="B24" s="2945" t="s">
        <v>600</v>
      </c>
      <c r="C24" s="2971"/>
      <c r="D24" s="2937">
        <f t="shared" si="6"/>
        <v>0</v>
      </c>
      <c r="E24" s="2967">
        <f t="shared" si="1"/>
        <v>0</v>
      </c>
      <c r="F24" s="2972"/>
      <c r="G24" s="2973"/>
      <c r="H24" s="2876">
        <f t="shared" si="7"/>
        <v>0</v>
      </c>
      <c r="I24" s="2946">
        <f t="shared" si="2"/>
        <v>0</v>
      </c>
      <c r="J24" s="2430"/>
      <c r="K24" s="2997">
        <f t="shared" si="3"/>
        <v>0</v>
      </c>
      <c r="L24" s="2381">
        <f t="shared" si="4"/>
        <v>0</v>
      </c>
      <c r="M24" s="2998">
        <f t="shared" si="8"/>
        <v>0</v>
      </c>
      <c r="N24" s="2999"/>
      <c r="O24" s="3000"/>
      <c r="P24" s="2998">
        <f t="shared" si="9"/>
        <v>0</v>
      </c>
      <c r="R24" s="2381">
        <f t="shared" si="5"/>
        <v>0</v>
      </c>
      <c r="S24" s="3009">
        <f t="shared" si="5"/>
        <v>0</v>
      </c>
    </row>
    <row r="25" spans="1:19">
      <c r="A25" s="2970"/>
      <c r="B25" s="2945" t="s">
        <v>600</v>
      </c>
      <c r="C25" s="2971"/>
      <c r="D25" s="2937">
        <f t="shared" si="6"/>
        <v>0</v>
      </c>
      <c r="E25" s="2967">
        <f t="shared" si="1"/>
        <v>0</v>
      </c>
      <c r="F25" s="2972"/>
      <c r="G25" s="2973"/>
      <c r="H25" s="2936">
        <f t="shared" si="7"/>
        <v>0</v>
      </c>
      <c r="I25" s="2946">
        <f t="shared" si="2"/>
        <v>0</v>
      </c>
      <c r="J25" s="2430"/>
      <c r="K25" s="2997">
        <f t="shared" si="3"/>
        <v>0</v>
      </c>
      <c r="L25" s="2381">
        <f t="shared" si="4"/>
        <v>0</v>
      </c>
      <c r="M25" s="2998">
        <f t="shared" si="8"/>
        <v>0</v>
      </c>
      <c r="N25" s="2999"/>
      <c r="O25" s="3000"/>
      <c r="P25" s="2998">
        <f t="shared" si="9"/>
        <v>0</v>
      </c>
      <c r="R25" s="2381">
        <f t="shared" si="5"/>
        <v>0</v>
      </c>
      <c r="S25" s="3009">
        <f t="shared" si="5"/>
        <v>0</v>
      </c>
    </row>
    <row r="26" spans="1:19">
      <c r="A26" s="2970"/>
      <c r="B26" s="2945" t="s">
        <v>600</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1">
        <f t="shared" si="5"/>
        <v>0</v>
      </c>
      <c r="S26" s="3009">
        <f t="shared" si="5"/>
        <v>0</v>
      </c>
    </row>
    <row r="27" spans="1:19" ht="15">
      <c r="A27" s="2970"/>
      <c r="B27" s="2937"/>
      <c r="C27" s="2582" t="s">
        <v>601</v>
      </c>
      <c r="D27" s="2975">
        <f>SUM(D19:D26)</f>
        <v>0</v>
      </c>
      <c r="E27" s="2976">
        <f>IF(SUM(E19:E26)='数据-基础表'!BA5,SUM(E19:E26),IF(F27="地上面积有误","面积有误","地下面积有误"))</f>
        <v>20276.490000000002</v>
      </c>
      <c r="F27" s="2975">
        <f>IF(SUM(F19:F26)=E8,SUM(F19:F26),"地上面积有误")</f>
        <v>17455.670000000002</v>
      </c>
      <c r="G27" s="2977">
        <f>SUM(G19:G26)</f>
        <v>2820.8199999999997</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20276.490000000002</v>
      </c>
    </row>
    <row r="28" spans="1:19">
      <c r="A28" s="2970"/>
      <c r="B28" s="2945" t="s">
        <v>602</v>
      </c>
      <c r="C28" s="2895" t="s">
        <v>603</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c r="A29" s="2970"/>
      <c r="B29" s="2945" t="s">
        <v>602</v>
      </c>
      <c r="C29" s="2428"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294" t="s">
        <v>605</v>
      </c>
      <c r="D31" s="2985">
        <f>D27+D30</f>
        <v>0</v>
      </c>
      <c r="E31" s="2985">
        <f>E27+E30</f>
        <v>20276.490000000002</v>
      </c>
      <c r="F31" s="2986">
        <f>F27+F30</f>
        <v>17455.670000000002</v>
      </c>
      <c r="G31" s="2987">
        <f>G27+G30</f>
        <v>2820.8199999999997</v>
      </c>
      <c r="H31" s="2928"/>
      <c r="I31" s="2928"/>
      <c r="J31" s="2928"/>
      <c r="K31" s="2928"/>
      <c r="L31" s="2928"/>
      <c r="M31" s="2928"/>
      <c r="N31" s="2928"/>
      <c r="O31" s="2928"/>
      <c r="P31" s="2928"/>
    </row>
    <row r="32" spans="1:19">
      <c r="A32" s="2988"/>
      <c r="B32" s="2988" t="s">
        <v>606</v>
      </c>
      <c r="C32" s="2988"/>
      <c r="D32" s="2988"/>
      <c r="E32" s="2989">
        <f>SUMIF(C19:C26,"*住宅*",E19:E26)</f>
        <v>0</v>
      </c>
      <c r="F32" s="2988"/>
      <c r="G32" s="2988"/>
      <c r="H32" s="2928"/>
      <c r="I32" s="2928"/>
      <c r="J32" s="2928"/>
      <c r="K32" s="2928"/>
      <c r="L32" s="2928"/>
      <c r="M32" s="2928"/>
      <c r="N32" s="2928"/>
      <c r="O32" s="2928"/>
      <c r="P32" s="2928"/>
    </row>
    <row r="33" spans="4:8">
      <c r="D33" s="2990"/>
    </row>
    <row r="36" spans="4:8">
      <c r="F36" s="2925">
        <f>F19</f>
        <v>17455.670000000002</v>
      </c>
      <c r="G36" s="2925">
        <v>30000</v>
      </c>
    </row>
    <row r="37" spans="4:8">
      <c r="F37" s="2925">
        <f>G19</f>
        <v>2820.8199999999997</v>
      </c>
      <c r="G37" s="2925">
        <v>5000</v>
      </c>
    </row>
    <row r="38" spans="4:8">
      <c r="F38" s="2925">
        <f>E31</f>
        <v>20276.490000000002</v>
      </c>
      <c r="G38" s="2925">
        <f>(F36*G36+F37*G37)/10000</f>
        <v>53777.42</v>
      </c>
      <c r="H38" s="2925">
        <f>G38/F38*10000</f>
        <v>26522.05583905301</v>
      </c>
    </row>
    <row r="41" spans="4:8">
      <c r="E41" s="2925">
        <f>F41+G41</f>
        <v>20093.550000000003</v>
      </c>
      <c r="F41" s="2925">
        <f>F19</f>
        <v>17455.670000000002</v>
      </c>
      <c r="G41" s="2925">
        <f>G19-182.94</f>
        <v>2637.8799999999997</v>
      </c>
    </row>
    <row r="42" spans="4:8">
      <c r="F42" s="2925">
        <v>4</v>
      </c>
      <c r="G42" s="2925">
        <v>1</v>
      </c>
    </row>
    <row r="43" spans="4:8">
      <c r="F43" s="2925">
        <f>F42*F41+G42*G41</f>
        <v>72460.560000000012</v>
      </c>
    </row>
    <row r="44" spans="4:8">
      <c r="F44" s="2925">
        <f>F43/E41</f>
        <v>3.6061601857312424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Y6" activePane="bottomRight" state="frozen"/>
      <selection pane="topRight"/>
      <selection pane="bottomLeft"/>
      <selection pane="bottomRight" activeCell="AL7" sqref="AL7"/>
    </sheetView>
  </sheetViews>
  <sheetFormatPr defaultColWidth="13.75" defaultRowHeight="12.75"/>
  <cols>
    <col min="1" max="1" width="22.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607</v>
      </c>
      <c r="B1" s="2732"/>
      <c r="C1" s="2049"/>
      <c r="D1" s="2733"/>
      <c r="E1" s="2049"/>
      <c r="F1" s="2049"/>
      <c r="G1" s="2049"/>
      <c r="H1" s="2049"/>
      <c r="I1" s="2049"/>
      <c r="J1" s="2049"/>
      <c r="K1" s="993"/>
      <c r="L1" s="993"/>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5"/>
      <c r="AO1" s="2235"/>
      <c r="AP1" s="2235"/>
      <c r="AQ1" s="2235"/>
      <c r="AR1" s="2235"/>
    </row>
    <row r="2" spans="1:67" s="2723" customFormat="1" ht="15">
      <c r="A2" s="2734" t="s">
        <v>608</v>
      </c>
      <c r="B2" s="2735">
        <f>项目基本情况!D3</f>
        <v>45078</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609</v>
      </c>
      <c r="B4" s="2388"/>
      <c r="C4" s="2740"/>
      <c r="D4" s="2741"/>
      <c r="E4" s="2740" t="s">
        <v>610</v>
      </c>
      <c r="F4" s="2740"/>
      <c r="G4" s="2740"/>
      <c r="H4" s="2740"/>
      <c r="I4" s="2740"/>
      <c r="J4" s="2834"/>
      <c r="K4" s="2835"/>
      <c r="L4" s="2836"/>
      <c r="M4" s="2740"/>
      <c r="N4" s="2740" t="s">
        <v>611</v>
      </c>
      <c r="O4" s="2740"/>
      <c r="P4" s="2740"/>
      <c r="Q4" s="2740"/>
      <c r="R4" s="2740"/>
      <c r="S4" s="2834"/>
      <c r="T4" s="2858" t="str">
        <f>'数据-汇总表'!I17</f>
        <v>按面积比例</v>
      </c>
      <c r="U4" s="2388" t="s">
        <v>612</v>
      </c>
      <c r="V4" s="2740"/>
      <c r="W4" s="2740"/>
      <c r="X4" s="2740"/>
      <c r="Y4" s="2834"/>
      <c r="Z4" s="2886" t="s">
        <v>613</v>
      </c>
      <c r="AA4" s="2886"/>
      <c r="AB4" s="2886"/>
      <c r="AC4" s="2886"/>
      <c r="AD4" s="2886"/>
      <c r="AE4" s="2887" t="s">
        <v>614</v>
      </c>
      <c r="AF4" s="2886"/>
      <c r="AG4" s="2899"/>
      <c r="AH4" s="2388"/>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587</v>
      </c>
      <c r="B5" s="2743" t="s">
        <v>586</v>
      </c>
      <c r="C5" s="2744" t="s">
        <v>615</v>
      </c>
      <c r="D5" s="2745" t="s">
        <v>616</v>
      </c>
      <c r="E5" s="2746" t="s">
        <v>617</v>
      </c>
      <c r="F5" s="2747" t="s">
        <v>618</v>
      </c>
      <c r="G5" s="2746" t="s">
        <v>619</v>
      </c>
      <c r="H5" s="2746" t="s">
        <v>620</v>
      </c>
      <c r="I5" s="2746" t="s">
        <v>621</v>
      </c>
      <c r="J5" s="2837" t="s">
        <v>622</v>
      </c>
      <c r="K5" s="2838" t="s">
        <v>596</v>
      </c>
      <c r="L5" s="2839" t="s">
        <v>623</v>
      </c>
      <c r="M5" s="2840" t="s">
        <v>624</v>
      </c>
      <c r="N5" s="2841" t="s">
        <v>625</v>
      </c>
      <c r="O5" s="2839" t="s">
        <v>626</v>
      </c>
      <c r="P5" s="2842" t="s">
        <v>627</v>
      </c>
      <c r="Q5" s="1417" t="s">
        <v>628</v>
      </c>
      <c r="R5" s="2859" t="s">
        <v>629</v>
      </c>
      <c r="S5" s="2860" t="s">
        <v>630</v>
      </c>
      <c r="T5" s="2861" t="s">
        <v>631</v>
      </c>
      <c r="U5" s="2862" t="s">
        <v>632</v>
      </c>
      <c r="V5" s="2746" t="s">
        <v>633</v>
      </c>
      <c r="W5" s="2746" t="s">
        <v>634</v>
      </c>
      <c r="X5" s="1103"/>
      <c r="Y5" s="1546" t="s">
        <v>635</v>
      </c>
      <c r="Z5" s="2888" t="s">
        <v>632</v>
      </c>
      <c r="AA5" s="2746" t="s">
        <v>633</v>
      </c>
      <c r="AB5" s="2746" t="s">
        <v>634</v>
      </c>
      <c r="AC5" s="1103"/>
      <c r="AD5" s="1103" t="s">
        <v>635</v>
      </c>
      <c r="AE5" s="2862" t="s">
        <v>636</v>
      </c>
      <c r="AF5" s="2746" t="s">
        <v>637</v>
      </c>
      <c r="AG5" s="1546" t="s">
        <v>638</v>
      </c>
      <c r="AH5" s="2862" t="s">
        <v>639</v>
      </c>
      <c r="AI5" s="2888" t="s">
        <v>640</v>
      </c>
      <c r="AJ5" s="2888" t="s">
        <v>641</v>
      </c>
      <c r="AK5" s="2746" t="s">
        <v>642</v>
      </c>
      <c r="AL5" s="2746" t="s">
        <v>643</v>
      </c>
      <c r="AM5" s="1546" t="s">
        <v>644</v>
      </c>
      <c r="AN5" s="2900" t="s">
        <v>645</v>
      </c>
      <c r="AO5" s="2918" t="s">
        <v>646</v>
      </c>
      <c r="AP5" s="2919" t="s">
        <v>647</v>
      </c>
      <c r="AQ5" s="2920" t="s">
        <v>648</v>
      </c>
      <c r="AR5" s="2920"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办公</v>
      </c>
      <c r="B6" s="2749" t="str">
        <f>IF(A6=0,"","经营性")</f>
        <v>经营性</v>
      </c>
      <c r="C6" s="2750" t="s">
        <v>548</v>
      </c>
      <c r="D6" s="2751">
        <f>SUMIF(项目基本情况!C$12:I$12,C6,项目基本情况!C$14:I$14)</f>
        <v>50</v>
      </c>
      <c r="E6" s="2752">
        <f>IF(B6="","",SUMIF(项目基本情况!C$12:I$12,C6,项目基本情况!C$13:I$13))</f>
        <v>54933</v>
      </c>
      <c r="F6" s="2753">
        <f>SUMIF(项目基本情况!C$12:I$12,C6,项目基本情况!C$15:I$15)</f>
        <v>27</v>
      </c>
      <c r="G6" s="2754">
        <f>IF(ISERROR(ROUND(POWER(1+H6,D6-F6)*(POWER(1+H6,F6)-1)/(POWER(1+H6,D6)-1),3)),0,ROUND(POWER(1+H6,D6-F6)*(POWER(1+H6,F6)-1)/(POWER(1+H6,D6)-1),3))</f>
        <v>0.80200000000000005</v>
      </c>
      <c r="H6" s="2755">
        <v>0.05</v>
      </c>
      <c r="I6" s="2755">
        <v>5.5E-2</v>
      </c>
      <c r="J6" s="2756">
        <v>7.4999999999999997E-2</v>
      </c>
      <c r="K6" s="2843">
        <f>SUMIF('数据-汇总表'!C$19:C$33,A6,'数据-汇总表'!E$19:E$33)</f>
        <v>20276.490000000002</v>
      </c>
      <c r="L6" s="2844">
        <v>3500</v>
      </c>
      <c r="M6" s="2845">
        <f t="shared" ref="M6:M14" si="0">ROUND(K6*L6/10000,0)</f>
        <v>7097</v>
      </c>
      <c r="N6" s="3439">
        <v>0.8</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3.5</v>
      </c>
      <c r="V6" s="2868">
        <v>2.5000000000000001E-2</v>
      </c>
      <c r="W6" s="2868">
        <v>0.1</v>
      </c>
      <c r="X6" s="2869"/>
      <c r="Y6" s="2889">
        <f>N6</f>
        <v>0.8</v>
      </c>
      <c r="Z6" s="2890"/>
      <c r="AA6" s="2756"/>
      <c r="AB6" s="2756"/>
      <c r="AC6" s="2869"/>
      <c r="AD6" s="2891"/>
      <c r="AE6" s="2892">
        <f ca="1">IF(AN6="",0,SUMIF(INDIRECT("'"&amp;AN6&amp;"'"&amp;"!E:E"),$AE$5,INDIRECT("'"&amp;AN6&amp;"'"&amp;"!F:F")))</f>
        <v>27</v>
      </c>
      <c r="AF6" s="2367"/>
      <c r="AG6" s="1707">
        <f>IF(AF6="",0,AE6-AF6)</f>
        <v>0</v>
      </c>
      <c r="AH6" s="2901">
        <f>'数据-汇总表'!E3-182.94</f>
        <v>20093.550000000003</v>
      </c>
      <c r="AI6" s="2902">
        <v>365</v>
      </c>
      <c r="AJ6" s="2903"/>
      <c r="AK6" s="2904">
        <v>3.0000000000000001E-3</v>
      </c>
      <c r="AL6" s="2905">
        <v>1E-3</v>
      </c>
      <c r="AM6" s="2906">
        <v>5.0000000000000001E-3</v>
      </c>
      <c r="AN6" s="2907" t="s">
        <v>650</v>
      </c>
      <c r="AO6" s="1295">
        <f ca="1">SUMIF(INDIRECT("'"&amp;AN6&amp;"'"&amp;"!A:A"),"总价",INDIRECT("'"&amp;AN6&amp;"'"&amp;"!B:B"))</f>
        <v>34403</v>
      </c>
      <c r="AP6" s="2921">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70"/>
      <c r="V7" s="2868"/>
      <c r="W7" s="2868"/>
      <c r="X7" s="2869"/>
      <c r="Y7" s="2889"/>
      <c r="Z7" s="2890"/>
      <c r="AA7" s="2756"/>
      <c r="AB7" s="2756"/>
      <c r="AC7" s="2869"/>
      <c r="AD7" s="2891"/>
      <c r="AE7" s="2892">
        <f t="shared" ref="AE7:AE13" ca="1" si="6">IF(AN7="",0,SUMIF(INDIRECT("'"&amp;AN7&amp;"'"&amp;"!E:E"),$AE$5,INDIRECT("'"&amp;AN7&amp;"'"&amp;"!F:F")))</f>
        <v>0</v>
      </c>
      <c r="AF7" s="2367"/>
      <c r="AG7" s="1707">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7"/>
      <c r="AG8" s="1707">
        <f t="shared" si="7"/>
        <v>0</v>
      </c>
      <c r="AH8" s="2908"/>
      <c r="AI8" s="2902"/>
      <c r="AJ8" s="2903"/>
      <c r="AK8" s="2909"/>
      <c r="AL8" s="2910"/>
      <c r="AM8" s="2911"/>
      <c r="AN8" s="2907"/>
      <c r="AO8" s="1295" t="e">
        <f t="shared" ca="1" si="8"/>
        <v>#REF!</v>
      </c>
      <c r="AP8" s="2921">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70"/>
      <c r="V9" s="2868"/>
      <c r="W9" s="2868"/>
      <c r="X9" s="2869"/>
      <c r="Y9" s="2889"/>
      <c r="Z9" s="2890"/>
      <c r="AA9" s="2756"/>
      <c r="AB9" s="2756"/>
      <c r="AC9" s="2869"/>
      <c r="AD9" s="2891"/>
      <c r="AE9" s="2892">
        <f t="shared" ca="1" si="6"/>
        <v>0</v>
      </c>
      <c r="AF9" s="2367"/>
      <c r="AG9" s="1707">
        <f t="shared" si="7"/>
        <v>0</v>
      </c>
      <c r="AH9" s="2901"/>
      <c r="AI9" s="2902"/>
      <c r="AJ9" s="2903"/>
      <c r="AK9" s="2904"/>
      <c r="AL9" s="2905"/>
      <c r="AM9" s="2906"/>
      <c r="AN9" s="2907"/>
      <c r="AO9" s="1295" t="e">
        <f t="shared" ca="1" si="8"/>
        <v>#REF!</v>
      </c>
      <c r="AP9" s="2921">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70"/>
      <c r="V10" s="2868"/>
      <c r="W10" s="2868"/>
      <c r="X10" s="2869"/>
      <c r="Y10" s="2889"/>
      <c r="Z10" s="2890"/>
      <c r="AA10" s="2756"/>
      <c r="AB10" s="2756"/>
      <c r="AC10" s="2869"/>
      <c r="AD10" s="2891"/>
      <c r="AE10" s="2892">
        <f t="shared" ca="1" si="6"/>
        <v>0</v>
      </c>
      <c r="AF10" s="2367"/>
      <c r="AG10" s="1707">
        <f t="shared" si="7"/>
        <v>0</v>
      </c>
      <c r="AH10" s="2901"/>
      <c r="AI10" s="2902"/>
      <c r="AJ10" s="2903"/>
      <c r="AK10" s="2904"/>
      <c r="AL10" s="2905"/>
      <c r="AM10" s="2906"/>
      <c r="AN10" s="2907"/>
      <c r="AO10" s="1295" t="e">
        <f t="shared" ca="1" si="8"/>
        <v>#REF!</v>
      </c>
      <c r="AP10" s="2921">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70"/>
      <c r="V11" s="2756"/>
      <c r="W11" s="2756"/>
      <c r="X11" s="2869"/>
      <c r="Y11" s="2889"/>
      <c r="Z11" s="2893"/>
      <c r="AA11" s="2756"/>
      <c r="AB11" s="2756"/>
      <c r="AC11" s="2869"/>
      <c r="AD11" s="2891"/>
      <c r="AE11" s="2892">
        <f t="shared" ca="1" si="6"/>
        <v>0</v>
      </c>
      <c r="AF11" s="2367"/>
      <c r="AG11" s="1707">
        <f t="shared" si="7"/>
        <v>0</v>
      </c>
      <c r="AH11" s="2901"/>
      <c r="AI11" s="2902"/>
      <c r="AJ11" s="2903"/>
      <c r="AK11" s="2912"/>
      <c r="AL11" s="2913"/>
      <c r="AM11" s="2914"/>
      <c r="AN11" s="2907"/>
      <c r="AO11" s="1295" t="e">
        <f t="shared" ca="1" si="8"/>
        <v>#REF!</v>
      </c>
      <c r="AP11" s="2921">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70"/>
      <c r="V12" s="2756"/>
      <c r="W12" s="2756"/>
      <c r="X12" s="2869"/>
      <c r="Y12" s="2889"/>
      <c r="Z12" s="2893"/>
      <c r="AA12" s="2756"/>
      <c r="AB12" s="2756"/>
      <c r="AC12" s="2869"/>
      <c r="AD12" s="2891"/>
      <c r="AE12" s="2892">
        <f t="shared" ca="1" si="6"/>
        <v>0</v>
      </c>
      <c r="AF12" s="2367"/>
      <c r="AG12" s="1707">
        <f t="shared" si="7"/>
        <v>0</v>
      </c>
      <c r="AH12" s="2901"/>
      <c r="AI12" s="2902"/>
      <c r="AJ12" s="2903"/>
      <c r="AK12" s="2912"/>
      <c r="AL12" s="2913"/>
      <c r="AM12" s="2914"/>
      <c r="AN12" s="2907"/>
      <c r="AO12" s="1295" t="e">
        <f t="shared" ca="1" si="8"/>
        <v>#REF!</v>
      </c>
      <c r="AP12" s="2921">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7"/>
      <c r="AG13" s="1707">
        <f t="shared" si="7"/>
        <v>0</v>
      </c>
      <c r="AH13" s="2901"/>
      <c r="AI13" s="2902"/>
      <c r="AJ13" s="2903"/>
      <c r="AK13" s="2904"/>
      <c r="AL13" s="2905"/>
      <c r="AM13" s="2906"/>
      <c r="AN13" s="2907"/>
      <c r="AO13" s="1295" t="e">
        <f t="shared" ca="1" si="8"/>
        <v>#REF!</v>
      </c>
      <c r="AP13" s="2921">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603</v>
      </c>
      <c r="B14" s="2749" t="s">
        <v>602</v>
      </c>
      <c r="C14" s="2758" t="s">
        <v>603</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5"/>
      <c r="AG14" s="1707"/>
      <c r="AH14" s="2892"/>
      <c r="AI14" s="1283"/>
      <c r="AJ14" s="1294"/>
      <c r="AK14" s="2915"/>
      <c r="AL14" s="2916"/>
      <c r="AM14" s="2917"/>
      <c r="AN14" s="223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14.25">
      <c r="A15" s="2757" t="s">
        <v>604</v>
      </c>
      <c r="B15" s="2749" t="s">
        <v>602</v>
      </c>
      <c r="C15" s="2758" t="s">
        <v>651</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5"/>
      <c r="AG15" s="1707"/>
      <c r="AH15" s="2892"/>
      <c r="AI15" s="1283"/>
      <c r="AJ15" s="1294"/>
      <c r="AK15" s="2915"/>
      <c r="AL15" s="2916"/>
      <c r="AM15" s="2917"/>
      <c r="AN15" s="223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605</v>
      </c>
      <c r="B16" s="2761"/>
      <c r="C16" s="2292"/>
      <c r="D16" s="2762"/>
      <c r="E16" s="2761"/>
      <c r="F16" s="2761"/>
      <c r="G16" s="2763">
        <f>ROUND(SUMPRODUCT(G6:G13,K6:K13)/SUMPRODUCT((G6:G13&gt;0)*(K6:K13)),3)</f>
        <v>0.80200000000000005</v>
      </c>
      <c r="H16" s="2764">
        <f>ROUND(SUMPRODUCT(H6:H13,K6:K13)/SUMPRODUCT((H6:H13&gt;0)*(K6:K13)),3)</f>
        <v>0.05</v>
      </c>
      <c r="I16" s="2852"/>
      <c r="J16" s="2852"/>
      <c r="K16" s="2853">
        <f>SUM(K6:K15)</f>
        <v>20276.490000000002</v>
      </c>
      <c r="L16" s="2854">
        <f>ROUND(M16*10000/SUM(K6:K14),0)</f>
        <v>3500</v>
      </c>
      <c r="M16" s="2854">
        <f>SUM(M6:M14)</f>
        <v>7097</v>
      </c>
      <c r="N16" s="2855">
        <f>ROUND(SUMPRODUCT(M6:M14,N6:N14)/M16,3)</f>
        <v>0.8</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3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35"/>
      <c r="D17" s="2767"/>
      <c r="E17" s="2767"/>
      <c r="F17" s="2235"/>
      <c r="G17" s="2235"/>
      <c r="H17" s="2235"/>
      <c r="I17" s="2235"/>
      <c r="J17" s="2235"/>
      <c r="K17" s="2856"/>
      <c r="L17" s="2856"/>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29" t="s">
        <v>652</v>
      </c>
      <c r="B18" s="2768"/>
      <c r="C18" s="2769"/>
      <c r="D18" s="2770"/>
      <c r="E18" s="2769"/>
      <c r="F18" s="2769"/>
      <c r="G18" s="2769"/>
      <c r="H18" s="2769"/>
      <c r="I18" s="2769"/>
      <c r="J18" s="2769"/>
      <c r="K18" s="2856"/>
      <c r="L18" s="2856"/>
      <c r="M18" s="2235"/>
      <c r="N18" s="2235">
        <v>1992</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1" t="s">
        <v>653</v>
      </c>
      <c r="B19" s="2772">
        <v>0</v>
      </c>
      <c r="C19" s="2773" t="s">
        <v>654</v>
      </c>
      <c r="D19" s="2770"/>
      <c r="E19" s="2769"/>
      <c r="F19" s="2769"/>
      <c r="G19" s="2769"/>
      <c r="H19" s="2769"/>
      <c r="I19" s="2769"/>
      <c r="J19" s="2769"/>
      <c r="K19" s="2856"/>
      <c r="L19" s="2856"/>
      <c r="M19" s="2235"/>
      <c r="N19" s="2235">
        <f>ROUND(1-(2023-N18)/60,2)</f>
        <v>0.48</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74" t="s">
        <v>655</v>
      </c>
      <c r="B20" s="2775">
        <v>2</v>
      </c>
      <c r="C20" s="2776" t="s">
        <v>656</v>
      </c>
      <c r="D20" s="2770"/>
      <c r="E20" s="2769"/>
      <c r="F20" s="2769"/>
      <c r="G20" s="2769"/>
      <c r="H20" s="2769"/>
      <c r="I20" s="2769"/>
      <c r="J20" s="2769"/>
      <c r="K20" s="2856"/>
      <c r="L20" s="2856"/>
      <c r="M20" s="2235"/>
      <c r="N20" s="2235">
        <v>0.9</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77" t="s">
        <v>657</v>
      </c>
      <c r="B21" s="2775">
        <v>2</v>
      </c>
      <c r="C21" s="2769"/>
      <c r="D21" s="2770"/>
      <c r="E21" s="2769"/>
      <c r="F21" s="2769"/>
      <c r="G21" s="2769"/>
      <c r="H21" s="2769"/>
      <c r="I21" s="2769"/>
      <c r="J21" s="2769"/>
      <c r="K21" s="2856"/>
      <c r="L21" s="2856"/>
      <c r="M21" s="2235"/>
      <c r="N21" s="2235">
        <f>ROUND((N19+N20)/2,2)</f>
        <v>0.69</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74" t="s">
        <v>658</v>
      </c>
      <c r="B22" s="2778">
        <f>B19+B20</f>
        <v>2</v>
      </c>
      <c r="C22" s="2769"/>
      <c r="D22" s="2770"/>
      <c r="E22" s="2769"/>
      <c r="F22" s="2769"/>
      <c r="G22" s="2769"/>
      <c r="H22" s="2769"/>
      <c r="I22" s="2769"/>
      <c r="J22" s="2769"/>
      <c r="K22" s="2856"/>
      <c r="L22" s="2856"/>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77" t="s">
        <v>659</v>
      </c>
      <c r="B23" s="2778">
        <f>B19+B21</f>
        <v>2</v>
      </c>
      <c r="C23" s="2769"/>
      <c r="D23" s="2770"/>
      <c r="E23" s="2769"/>
      <c r="F23" s="2769"/>
      <c r="G23" s="2769"/>
      <c r="H23" s="2769"/>
      <c r="I23" s="2769"/>
      <c r="J23" s="2769"/>
      <c r="K23" s="2856"/>
      <c r="L23" s="2856"/>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79" t="s">
        <v>660</v>
      </c>
      <c r="B24" s="2780">
        <f>B20-B21</f>
        <v>0</v>
      </c>
      <c r="C24" s="2769"/>
      <c r="D24" s="2770"/>
      <c r="E24" s="2769"/>
      <c r="F24" s="2769"/>
      <c r="G24" s="2769"/>
      <c r="H24" s="2769"/>
      <c r="I24" s="2769"/>
      <c r="J24" s="2769"/>
      <c r="K24" s="2856"/>
      <c r="L24" s="2856"/>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38"/>
      <c r="B25" s="2739"/>
      <c r="C25" s="2769"/>
      <c r="D25" s="2770"/>
      <c r="E25" s="2769"/>
      <c r="F25" s="2769"/>
      <c r="G25" s="2769"/>
      <c r="H25" s="2769"/>
      <c r="I25" s="2769"/>
      <c r="J25" s="2769"/>
      <c r="K25" s="2856"/>
      <c r="L25" s="2856"/>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34" t="s">
        <v>661</v>
      </c>
      <c r="B26" s="2781" t="s">
        <v>662</v>
      </c>
      <c r="C26" s="2782" t="s">
        <v>663</v>
      </c>
      <c r="D26" s="2770"/>
      <c r="E26" s="2769"/>
      <c r="F26" s="2769"/>
      <c r="G26" s="2769"/>
      <c r="H26" s="2769"/>
      <c r="I26" s="2769"/>
      <c r="J26" s="2769"/>
      <c r="K26" s="2856"/>
      <c r="L26" s="2856"/>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25" customFormat="1" ht="14.25">
      <c r="A27" s="2783" t="s">
        <v>664</v>
      </c>
      <c r="B27" s="2784"/>
      <c r="C27" s="2785" t="s">
        <v>665</v>
      </c>
      <c r="D27" s="2786"/>
      <c r="E27" s="1410"/>
      <c r="F27" s="1410"/>
      <c r="G27" s="2769"/>
      <c r="H27" s="2769"/>
      <c r="I27" s="2769"/>
      <c r="J27" s="2769"/>
      <c r="K27" s="2856"/>
      <c r="L27" s="2856"/>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25" customFormat="1" ht="27.75">
      <c r="A28" s="2787" t="s">
        <v>666</v>
      </c>
      <c r="B28" s="2788">
        <v>200</v>
      </c>
      <c r="C28" s="2789"/>
      <c r="D28" s="2786"/>
      <c r="E28" s="1410"/>
      <c r="F28" s="1410"/>
      <c r="G28" s="2769"/>
      <c r="H28" s="2769"/>
      <c r="I28" s="2769"/>
      <c r="J28" s="2769"/>
      <c r="K28" s="2856"/>
      <c r="L28" s="2856"/>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25" customFormat="1" ht="27.75">
      <c r="A29" s="2790" t="s">
        <v>667</v>
      </c>
      <c r="B29" s="2791">
        <f ca="1">成本法!C10</f>
        <v>406</v>
      </c>
      <c r="C29" s="2792" t="s">
        <v>668</v>
      </c>
      <c r="D29" s="2786"/>
      <c r="E29" s="1410"/>
      <c r="F29" s="1410"/>
      <c r="G29" s="2769"/>
      <c r="H29" s="2769"/>
      <c r="I29" s="2769"/>
      <c r="J29" s="2769"/>
      <c r="K29" s="2856"/>
      <c r="L29" s="2856"/>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25" customFormat="1" ht="27">
      <c r="A30" s="2793" t="s">
        <v>669</v>
      </c>
      <c r="B30" s="2794">
        <v>200</v>
      </c>
      <c r="C30" s="2789"/>
      <c r="D30" s="2786"/>
      <c r="E30" s="1410"/>
      <c r="F30" s="1410"/>
      <c r="G30" s="2769"/>
      <c r="H30" s="2769"/>
      <c r="I30" s="2769"/>
      <c r="J30" s="2769"/>
      <c r="K30" s="2856"/>
      <c r="L30" s="2856"/>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25" customFormat="1" ht="27">
      <c r="A31" s="2787" t="s">
        <v>670</v>
      </c>
      <c r="B31" s="2795">
        <f>B30-B32</f>
        <v>200</v>
      </c>
      <c r="C31" s="2796"/>
      <c r="D31" s="2786"/>
      <c r="E31" s="1410"/>
      <c r="F31" s="1410"/>
      <c r="G31" s="2769"/>
      <c r="H31" s="2769"/>
      <c r="I31" s="2769"/>
      <c r="J31" s="2769"/>
      <c r="K31" s="2856"/>
      <c r="L31" s="2856"/>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25" customFormat="1" ht="27">
      <c r="A32" s="2797" t="s">
        <v>671</v>
      </c>
      <c r="B32" s="2798">
        <v>0</v>
      </c>
      <c r="C32" s="2789"/>
      <c r="D32" s="2770"/>
      <c r="E32" s="2769"/>
      <c r="F32" s="2769"/>
      <c r="G32" s="2769"/>
      <c r="H32" s="2769"/>
      <c r="I32" s="2769"/>
      <c r="J32" s="2769"/>
      <c r="K32" s="2856"/>
      <c r="L32" s="2856"/>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25" customFormat="1" ht="14.25">
      <c r="A33" s="2783" t="s">
        <v>672</v>
      </c>
      <c r="B33" s="2799">
        <v>0.03</v>
      </c>
      <c r="C33" s="2800" t="s">
        <v>673</v>
      </c>
      <c r="D33" s="2770"/>
      <c r="E33" s="2769"/>
      <c r="F33" s="2769"/>
      <c r="G33" s="2769"/>
      <c r="H33" s="2769"/>
      <c r="I33" s="2769"/>
      <c r="J33" s="2769"/>
      <c r="K33" s="2856"/>
      <c r="L33" s="2856"/>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25" customFormat="1" ht="14.25">
      <c r="A34" s="2787" t="s">
        <v>674</v>
      </c>
      <c r="B34" s="2801">
        <v>0</v>
      </c>
      <c r="C34" s="2800" t="s">
        <v>675</v>
      </c>
      <c r="D34" s="2802" t="s">
        <v>676</v>
      </c>
      <c r="E34" s="2766"/>
      <c r="F34" s="2769"/>
      <c r="G34" s="2769"/>
      <c r="H34" s="2769"/>
      <c r="I34" s="2769"/>
      <c r="J34" s="2769"/>
      <c r="K34" s="2856"/>
      <c r="L34" s="2856"/>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25" customFormat="1" ht="14.25">
      <c r="A35" s="2787" t="s">
        <v>677</v>
      </c>
      <c r="B35" s="2788">
        <v>200</v>
      </c>
      <c r="C35" s="2800" t="s">
        <v>678</v>
      </c>
      <c r="D35" s="2786"/>
      <c r="E35" s="1410"/>
      <c r="F35" s="1410"/>
      <c r="G35" s="2769"/>
      <c r="H35" s="2769"/>
      <c r="I35" s="2769"/>
      <c r="J35" s="2769"/>
      <c r="K35" s="2856"/>
      <c r="L35" s="2856"/>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0" t="s">
        <v>679</v>
      </c>
      <c r="B36" s="2803">
        <v>1.4999999999999999E-2</v>
      </c>
      <c r="C36" s="2800" t="s">
        <v>680</v>
      </c>
      <c r="D36" s="2770"/>
      <c r="E36" s="2769"/>
      <c r="F36" s="2769"/>
      <c r="G36" s="2769"/>
      <c r="H36" s="2769"/>
      <c r="I36" s="2769"/>
      <c r="J36" s="2769"/>
      <c r="K36" s="2856"/>
      <c r="L36" s="2856"/>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3" t="s">
        <v>681</v>
      </c>
      <c r="B37" s="2804">
        <v>0.02</v>
      </c>
      <c r="C37" s="2800" t="s">
        <v>682</v>
      </c>
      <c r="D37" s="2770"/>
      <c r="E37" s="2769"/>
      <c r="F37" s="2769"/>
      <c r="G37" s="2769"/>
      <c r="H37" s="2769"/>
      <c r="I37" s="2769"/>
      <c r="J37" s="2769"/>
      <c r="K37" s="2856"/>
      <c r="L37" s="2856"/>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87" t="s">
        <v>683</v>
      </c>
      <c r="B38" s="2801">
        <v>0.02</v>
      </c>
      <c r="C38" s="2800" t="s">
        <v>682</v>
      </c>
      <c r="D38" s="2770"/>
      <c r="E38" s="2769"/>
      <c r="F38" s="2769"/>
      <c r="G38" s="2769"/>
      <c r="H38" s="2769"/>
      <c r="I38" s="2769"/>
      <c r="J38" s="2769"/>
      <c r="K38" s="2856"/>
      <c r="L38" s="2856"/>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797" t="s">
        <v>684</v>
      </c>
      <c r="B39" s="2805">
        <f ca="1">存贷款利率!I1</f>
        <v>1.4999999999999999E-2</v>
      </c>
      <c r="C39" s="2806"/>
      <c r="D39" s="2770"/>
      <c r="E39" s="2769"/>
      <c r="F39" s="2769"/>
      <c r="G39" s="2769"/>
      <c r="H39" s="2769"/>
      <c r="I39" s="2769"/>
      <c r="J39" s="2769"/>
      <c r="K39" s="2856"/>
      <c r="L39" s="2856"/>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07" t="s">
        <v>685</v>
      </c>
      <c r="B40" s="2808">
        <f ca="1">IF(A40="利息：取LPR",存贷款利率!G1,存贷款利率!G1+C40)</f>
        <v>4.1499999999999995E-2</v>
      </c>
      <c r="C40" s="2809">
        <v>5.0000000000000001E-3</v>
      </c>
      <c r="D40" s="2235"/>
      <c r="E40" s="2770"/>
      <c r="F40" s="2769"/>
      <c r="G40" s="2769"/>
      <c r="H40" s="2769"/>
      <c r="I40" s="2769"/>
      <c r="J40" s="2769"/>
      <c r="K40" s="2856"/>
      <c r="L40" s="2856"/>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3" t="s">
        <v>686</v>
      </c>
      <c r="B41" s="2810">
        <f>B42+B43</f>
        <v>5.6000000000000001E-2</v>
      </c>
      <c r="C41" s="2796"/>
      <c r="D41" s="2235"/>
      <c r="E41" s="2770"/>
      <c r="F41" s="2769"/>
      <c r="G41" s="2769"/>
      <c r="H41" s="2769"/>
      <c r="I41" s="2769"/>
      <c r="J41" s="2769"/>
      <c r="K41" s="2856"/>
      <c r="L41" s="2856"/>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1" t="s">
        <v>687</v>
      </c>
      <c r="B42" s="2812">
        <v>0.05</v>
      </c>
      <c r="C42" s="2813">
        <f>IF(B2&lt;DATE(2016,5,1),0,B42)</f>
        <v>0.05</v>
      </c>
      <c r="D42" s="2770"/>
      <c r="E42" s="2769"/>
      <c r="F42" s="2769"/>
      <c r="G42" s="2769"/>
      <c r="H42" s="2769"/>
      <c r="I42" s="2769"/>
      <c r="J42" s="2769"/>
      <c r="K42" s="2856"/>
      <c r="L42" s="2856"/>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1" t="s">
        <v>688</v>
      </c>
      <c r="B43" s="2814">
        <f>B42*(B44+B45+B46)+B47</f>
        <v>6.000000000000001E-3</v>
      </c>
      <c r="C43" s="2796"/>
      <c r="D43" s="2770"/>
      <c r="E43" s="2769"/>
      <c r="F43" s="2769"/>
      <c r="G43" s="2769"/>
      <c r="H43" s="2769"/>
      <c r="I43" s="2769"/>
      <c r="J43" s="2769"/>
      <c r="K43" s="2856"/>
      <c r="L43" s="2856"/>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15" t="s">
        <v>689</v>
      </c>
      <c r="B44" s="2816">
        <v>7.0000000000000007E-2</v>
      </c>
      <c r="C44" s="2800" t="s">
        <v>690</v>
      </c>
      <c r="D44" s="2770"/>
      <c r="E44" s="2769"/>
      <c r="F44" s="2769"/>
      <c r="G44" s="2769"/>
      <c r="H44" s="2769"/>
      <c r="I44" s="2769"/>
      <c r="J44" s="2769"/>
      <c r="K44" s="2856"/>
      <c r="L44" s="2856"/>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15" t="s">
        <v>691</v>
      </c>
      <c r="B45" s="2812">
        <v>0.03</v>
      </c>
      <c r="C45" s="2792" t="s">
        <v>692</v>
      </c>
      <c r="D45" s="2770"/>
      <c r="E45" s="2769"/>
      <c r="F45" s="2769"/>
      <c r="G45" s="2769"/>
      <c r="H45" s="2769"/>
      <c r="I45" s="2769"/>
      <c r="J45" s="2769"/>
      <c r="K45" s="2856"/>
      <c r="L45" s="2856"/>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15" t="s">
        <v>693</v>
      </c>
      <c r="B46" s="2812">
        <v>0.02</v>
      </c>
      <c r="C46" s="2792" t="s">
        <v>694</v>
      </c>
      <c r="D46" s="2770"/>
      <c r="E46" s="2769"/>
      <c r="F46" s="2769"/>
      <c r="G46" s="2769"/>
      <c r="H46" s="2769"/>
      <c r="I46" s="2769"/>
      <c r="J46" s="2769"/>
      <c r="K46" s="2856"/>
      <c r="L46" s="2856"/>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17" t="s">
        <v>695</v>
      </c>
      <c r="B47" s="2818"/>
      <c r="C47" s="2819" t="s">
        <v>696</v>
      </c>
      <c r="D47" s="2770"/>
      <c r="E47" s="2769"/>
      <c r="F47" s="2769"/>
      <c r="G47" s="2769"/>
      <c r="H47" s="2769"/>
      <c r="I47" s="2769"/>
      <c r="J47" s="2769"/>
      <c r="K47" s="2856"/>
      <c r="L47" s="2856"/>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0" t="s">
        <v>697</v>
      </c>
      <c r="B48" s="2821">
        <v>0.03</v>
      </c>
      <c r="C48" s="2792" t="s">
        <v>692</v>
      </c>
      <c r="D48" s="2770"/>
      <c r="E48" s="2769"/>
      <c r="F48" s="2769"/>
      <c r="G48" s="2769"/>
      <c r="H48" s="2769"/>
      <c r="I48" s="2769"/>
      <c r="J48" s="2769"/>
      <c r="K48" s="2856"/>
      <c r="L48" s="2856"/>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797" t="s">
        <v>698</v>
      </c>
      <c r="B49" s="2812">
        <v>5.0000000000000001E-4</v>
      </c>
      <c r="C49" s="2792" t="s">
        <v>699</v>
      </c>
      <c r="D49" s="2770"/>
      <c r="E49" s="2769"/>
      <c r="F49" s="2769"/>
      <c r="G49" s="2769"/>
      <c r="H49" s="2769"/>
      <c r="I49" s="2769"/>
      <c r="J49" s="2769"/>
      <c r="K49" s="2856"/>
      <c r="L49" s="2856"/>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2" t="s">
        <v>700</v>
      </c>
      <c r="B50" s="2823">
        <v>1.2E-2</v>
      </c>
      <c r="C50" s="1410"/>
      <c r="D50" s="2770"/>
      <c r="E50" s="2769"/>
      <c r="F50" s="2769"/>
      <c r="G50" s="2769"/>
      <c r="H50" s="2769"/>
      <c r="I50" s="2769"/>
      <c r="J50" s="2769"/>
      <c r="K50" s="2856"/>
      <c r="L50" s="2856"/>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0" t="s">
        <v>701</v>
      </c>
      <c r="B51" s="2824">
        <v>0.12</v>
      </c>
      <c r="C51" s="1410"/>
      <c r="D51" s="2770"/>
      <c r="E51" s="2769"/>
      <c r="F51" s="2769"/>
      <c r="G51" s="2769"/>
      <c r="H51" s="2769"/>
      <c r="I51" s="2769"/>
      <c r="J51" s="2769"/>
      <c r="K51" s="2856"/>
      <c r="L51" s="2856"/>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2" t="s">
        <v>702</v>
      </c>
      <c r="B52" s="2825">
        <f>SUMIF(A54:A63,B53,B54:B63)</f>
        <v>0</v>
      </c>
      <c r="C52" s="1410"/>
      <c r="D52" s="2770"/>
      <c r="E52" s="2769"/>
      <c r="F52" s="2769"/>
      <c r="G52" s="2769"/>
      <c r="H52" s="2769"/>
      <c r="I52" s="2769"/>
      <c r="J52" s="2769"/>
      <c r="K52" s="2856"/>
      <c r="L52" s="2856"/>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87" t="s">
        <v>703</v>
      </c>
      <c r="B53" s="2826"/>
      <c r="C53" s="1410" t="s">
        <v>704</v>
      </c>
      <c r="D53" s="2827" t="s">
        <v>705</v>
      </c>
      <c r="E53" s="2769"/>
      <c r="F53" s="2769"/>
      <c r="G53" s="2769"/>
      <c r="H53" s="2769"/>
      <c r="I53" s="2769"/>
      <c r="J53" s="2769"/>
      <c r="K53" s="2856"/>
      <c r="L53" s="2856"/>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28" t="s">
        <v>706</v>
      </c>
      <c r="B54" s="2829"/>
      <c r="C54" s="1410">
        <v>30</v>
      </c>
      <c r="D54" s="2770"/>
      <c r="E54" s="2769"/>
      <c r="F54" s="2769"/>
      <c r="G54" s="2769"/>
      <c r="H54" s="2769"/>
      <c r="I54" s="2769"/>
      <c r="J54" s="2769"/>
      <c r="K54" s="2856"/>
      <c r="L54" s="2856"/>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28" t="s">
        <v>707</v>
      </c>
      <c r="B55" s="2829"/>
      <c r="C55" s="1410">
        <v>24</v>
      </c>
      <c r="D55" s="2770"/>
      <c r="E55" s="2769"/>
      <c r="F55" s="2769"/>
      <c r="G55" s="2769"/>
      <c r="H55" s="2769"/>
      <c r="I55" s="2857"/>
      <c r="J55" s="2769"/>
      <c r="K55" s="2856"/>
      <c r="L55" s="2856"/>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28" t="s">
        <v>708</v>
      </c>
      <c r="B56" s="2829"/>
      <c r="C56" s="1410">
        <v>18</v>
      </c>
      <c r="D56" s="2770"/>
      <c r="E56" s="2769"/>
      <c r="F56" s="2769"/>
      <c r="G56" s="2769"/>
      <c r="H56" s="2769"/>
      <c r="I56" s="2769"/>
      <c r="J56" s="2769"/>
      <c r="K56" s="2856"/>
      <c r="L56" s="2856"/>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28" t="s">
        <v>709</v>
      </c>
      <c r="B57" s="2829"/>
      <c r="C57" s="1410">
        <v>12</v>
      </c>
      <c r="D57" s="2770"/>
      <c r="E57" s="2769"/>
      <c r="F57" s="2769"/>
      <c r="G57" s="2769"/>
      <c r="H57" s="2769"/>
      <c r="I57" s="2769"/>
      <c r="J57" s="2769"/>
      <c r="K57" s="2856"/>
      <c r="L57" s="2856"/>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28" t="s">
        <v>710</v>
      </c>
      <c r="B58" s="2829"/>
      <c r="C58" s="1410">
        <v>3</v>
      </c>
      <c r="D58" s="2770"/>
      <c r="E58" s="2769"/>
      <c r="F58" s="2769"/>
      <c r="G58" s="2769"/>
      <c r="H58" s="2769"/>
      <c r="I58" s="2769"/>
      <c r="J58" s="2769"/>
      <c r="K58" s="2856"/>
      <c r="L58" s="2856"/>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28" t="s">
        <v>711</v>
      </c>
      <c r="B59" s="2829"/>
      <c r="C59" s="1410">
        <v>1.5</v>
      </c>
      <c r="D59" s="2770"/>
      <c r="E59" s="2769"/>
      <c r="F59" s="2769"/>
      <c r="G59" s="2769"/>
      <c r="H59" s="2769"/>
      <c r="I59" s="2769"/>
      <c r="J59" s="2769"/>
      <c r="K59" s="2856"/>
      <c r="L59" s="2856"/>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28" t="s">
        <v>712</v>
      </c>
      <c r="B60" s="2829"/>
      <c r="C60" s="2769"/>
      <c r="D60" s="2770"/>
      <c r="E60" s="2769"/>
      <c r="F60" s="2769"/>
      <c r="G60" s="2769"/>
      <c r="H60" s="2769"/>
      <c r="I60" s="2769"/>
      <c r="J60" s="2769"/>
      <c r="K60" s="2856"/>
      <c r="L60" s="2856"/>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28" t="s">
        <v>713</v>
      </c>
      <c r="B61" s="2829"/>
      <c r="C61" s="2769"/>
      <c r="D61" s="2770"/>
      <c r="E61" s="2769"/>
      <c r="F61" s="2769"/>
      <c r="G61" s="2769"/>
      <c r="H61" s="2769"/>
      <c r="I61" s="2769"/>
      <c r="J61" s="2769"/>
      <c r="K61" s="2856"/>
      <c r="L61" s="2856"/>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28" t="s">
        <v>714</v>
      </c>
      <c r="B62" s="2829"/>
      <c r="C62" s="2769"/>
      <c r="D62" s="2770"/>
      <c r="E62" s="2769"/>
      <c r="F62" s="2769"/>
      <c r="G62" s="2769"/>
      <c r="H62" s="2769"/>
      <c r="I62" s="2769"/>
      <c r="J62" s="2769"/>
      <c r="K62" s="2856"/>
      <c r="L62" s="2856"/>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0" t="s">
        <v>715</v>
      </c>
      <c r="B63" s="2831"/>
      <c r="C63" s="2769"/>
      <c r="D63" s="2770"/>
      <c r="E63" s="2769"/>
      <c r="F63" s="2769"/>
      <c r="G63" s="2769"/>
      <c r="H63" s="2769"/>
      <c r="I63" s="2769"/>
      <c r="J63" s="2769"/>
      <c r="K63" s="2856"/>
      <c r="L63" s="2856"/>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2"/>
      <c r="B64" s="2235"/>
      <c r="C64" s="2235"/>
      <c r="D64" s="2767"/>
      <c r="E64" s="2235"/>
      <c r="F64" s="2235"/>
      <c r="G64" s="2235"/>
      <c r="H64" s="2235"/>
      <c r="I64" s="2235"/>
      <c r="J64" s="2235"/>
      <c r="K64" s="2856"/>
      <c r="L64" s="2856"/>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2"/>
      <c r="B65" s="2235"/>
      <c r="C65" s="2235"/>
      <c r="D65" s="2767"/>
      <c r="E65" s="2235"/>
      <c r="F65" s="2235"/>
      <c r="G65" s="2235"/>
      <c r="H65" s="2235"/>
      <c r="I65" s="2235"/>
      <c r="J65" s="2235"/>
      <c r="K65" s="2856"/>
      <c r="L65" s="2856"/>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2"/>
      <c r="B66" s="2235"/>
      <c r="C66" s="2235"/>
      <c r="D66" s="2767"/>
      <c r="E66" s="2235"/>
      <c r="F66" s="2235"/>
      <c r="G66" s="2235"/>
      <c r="H66" s="2235"/>
      <c r="I66" s="2235"/>
      <c r="J66" s="2235"/>
      <c r="K66" s="2856"/>
      <c r="L66" s="2856"/>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2"/>
      <c r="B67" s="2235"/>
      <c r="C67" s="2235"/>
      <c r="D67" s="2767"/>
      <c r="E67" s="2235"/>
      <c r="F67" s="2235"/>
      <c r="G67" s="2235"/>
      <c r="H67" s="2235"/>
      <c r="I67" s="2235"/>
      <c r="J67" s="2235"/>
      <c r="K67" s="2856"/>
      <c r="L67" s="2856"/>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2"/>
      <c r="B68" s="2235"/>
      <c r="C68" s="2235"/>
      <c r="D68" s="2767"/>
      <c r="E68" s="2235"/>
      <c r="F68" s="2235"/>
      <c r="G68" s="2235"/>
      <c r="H68" s="2235"/>
      <c r="I68" s="2235"/>
      <c r="J68" s="2235"/>
      <c r="K68" s="2856"/>
      <c r="L68" s="2856"/>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1"/>
      <c r="D69" s="2922"/>
      <c r="K69" s="1044"/>
      <c r="L69" s="1044"/>
    </row>
    <row r="70" spans="1:44" s="2307" customFormat="1">
      <c r="A70" s="2631"/>
      <c r="D70" s="2922"/>
      <c r="K70" s="1044"/>
      <c r="L70" s="1044"/>
    </row>
    <row r="71" spans="1:44" s="2307" customFormat="1">
      <c r="A71" s="2631"/>
      <c r="D71" s="2922"/>
      <c r="K71" s="1044"/>
      <c r="L71" s="1044"/>
    </row>
    <row r="72" spans="1:44" s="2307" customFormat="1">
      <c r="A72" s="2631"/>
      <c r="D72" s="2922"/>
      <c r="K72" s="1044"/>
      <c r="L72" s="1044"/>
    </row>
    <row r="73" spans="1:44" s="2307" customFormat="1">
      <c r="A73" s="2631"/>
      <c r="D73" s="2922"/>
      <c r="K73" s="1044"/>
      <c r="L73" s="1044"/>
    </row>
    <row r="74" spans="1:44" s="2307" customFormat="1">
      <c r="A74" s="2631"/>
      <c r="D74" s="2922"/>
      <c r="K74" s="1044"/>
      <c r="L74" s="1044"/>
    </row>
    <row r="75" spans="1:44" s="2307" customFormat="1">
      <c r="A75" s="2631"/>
      <c r="D75" s="2922"/>
      <c r="K75" s="1044"/>
      <c r="L75" s="1044"/>
    </row>
    <row r="76" spans="1:44" s="2307" customFormat="1">
      <c r="A76" s="2631"/>
      <c r="D76" s="2922"/>
      <c r="K76" s="1044"/>
      <c r="L76" s="1044"/>
    </row>
    <row r="77" spans="1:44" s="2307" customFormat="1">
      <c r="A77" s="2631"/>
      <c r="D77" s="2922"/>
      <c r="K77" s="1044"/>
      <c r="L77" s="1044"/>
    </row>
    <row r="78" spans="1:44" s="2307" customFormat="1">
      <c r="A78" s="2631"/>
      <c r="D78" s="2922"/>
      <c r="K78" s="1044"/>
      <c r="L78" s="1044"/>
    </row>
    <row r="79" spans="1:44" s="2307" customFormat="1">
      <c r="A79" s="2631"/>
      <c r="D79" s="2922"/>
      <c r="K79" s="1044"/>
      <c r="L79" s="1044"/>
    </row>
    <row r="80" spans="1:44" s="2307" customFormat="1">
      <c r="A80" s="2631"/>
      <c r="D80" s="2922"/>
      <c r="K80" s="1044"/>
      <c r="L80" s="1044"/>
    </row>
    <row r="81" spans="1:12" s="2307" customFormat="1">
      <c r="A81" s="2631"/>
      <c r="D81" s="2922"/>
      <c r="K81" s="1044"/>
      <c r="L81" s="1044"/>
    </row>
    <row r="82" spans="1:12" s="2307" customFormat="1">
      <c r="A82" s="2631"/>
      <c r="D82" s="2922"/>
      <c r="K82" s="1044"/>
      <c r="L82" s="1044"/>
    </row>
    <row r="83" spans="1:12" s="2307" customFormat="1">
      <c r="A83" s="2631"/>
      <c r="D83" s="2922"/>
      <c r="K83" s="1044"/>
      <c r="L83" s="1044"/>
    </row>
    <row r="84" spans="1:12" s="2307" customFormat="1">
      <c r="A84" s="2631"/>
      <c r="D84" s="2922"/>
      <c r="K84" s="1044"/>
      <c r="L84" s="1044"/>
    </row>
    <row r="85" spans="1:12" s="2307" customFormat="1">
      <c r="A85" s="2631"/>
      <c r="D85" s="2922"/>
      <c r="K85" s="1044"/>
      <c r="L85" s="1044"/>
    </row>
    <row r="86" spans="1:12" s="2307" customFormat="1">
      <c r="A86" s="2631"/>
      <c r="D86" s="2922"/>
      <c r="K86" s="1044"/>
      <c r="L86" s="1044"/>
    </row>
    <row r="87" spans="1:12" s="2307" customFormat="1">
      <c r="A87" s="2631"/>
      <c r="D87" s="2922"/>
      <c r="K87" s="1044"/>
      <c r="L87" s="1044"/>
    </row>
    <row r="88" spans="1:12" s="2307" customFormat="1">
      <c r="A88" s="2631"/>
      <c r="D88" s="2922"/>
      <c r="K88" s="1044"/>
      <c r="L88" s="1044"/>
    </row>
    <row r="89" spans="1:12" s="2307" customFormat="1">
      <c r="A89" s="2631"/>
      <c r="D89" s="2922"/>
      <c r="K89" s="1044"/>
      <c r="L89" s="1044"/>
    </row>
    <row r="90" spans="1:12" s="2307" customFormat="1">
      <c r="A90" s="2631"/>
      <c r="D90" s="2922"/>
      <c r="K90" s="1044"/>
      <c r="L90" s="1044"/>
    </row>
    <row r="91" spans="1:12" s="2307" customFormat="1">
      <c r="A91" s="2631"/>
      <c r="D91" s="2922"/>
      <c r="K91" s="1044"/>
      <c r="L91" s="1044"/>
    </row>
    <row r="92" spans="1:12" s="2307" customFormat="1">
      <c r="A92" s="2631"/>
      <c r="D92" s="2922"/>
      <c r="K92" s="1044"/>
      <c r="L92" s="1044"/>
    </row>
    <row r="93" spans="1:12" s="2307" customFormat="1">
      <c r="A93" s="2631"/>
      <c r="D93" s="2922"/>
      <c r="K93" s="1044"/>
      <c r="L93" s="1044"/>
    </row>
    <row r="94" spans="1:12" s="2307" customFormat="1">
      <c r="A94" s="2631"/>
      <c r="D94" s="2922"/>
      <c r="K94" s="1044"/>
      <c r="L94" s="1044"/>
    </row>
    <row r="95" spans="1:12" s="2307" customFormat="1">
      <c r="A95" s="2631"/>
      <c r="D95" s="2922"/>
      <c r="K95" s="1044"/>
      <c r="L95" s="1044"/>
    </row>
    <row r="96" spans="1:12" s="2307" customFormat="1">
      <c r="A96" s="2631"/>
      <c r="D96" s="2922"/>
      <c r="K96" s="1044"/>
      <c r="L96" s="1044"/>
    </row>
    <row r="97" spans="1:12" s="2307" customFormat="1">
      <c r="A97" s="2631"/>
      <c r="D97" s="2922"/>
      <c r="K97" s="1044"/>
      <c r="L97" s="1044"/>
    </row>
    <row r="98" spans="1:12" s="2307" customFormat="1">
      <c r="A98" s="2631"/>
      <c r="D98" s="2922"/>
      <c r="K98" s="1044"/>
      <c r="L98" s="1044"/>
    </row>
    <row r="99" spans="1:12" s="2307" customFormat="1">
      <c r="A99" s="2631"/>
      <c r="D99" s="2922"/>
      <c r="K99" s="1044"/>
      <c r="L99" s="1044"/>
    </row>
    <row r="100" spans="1:12" s="2307" customFormat="1">
      <c r="A100" s="2631"/>
      <c r="D100" s="2922"/>
      <c r="K100" s="1044"/>
      <c r="L100" s="1044"/>
    </row>
    <row r="101" spans="1:12" s="2307" customFormat="1">
      <c r="A101" s="2631"/>
      <c r="D101" s="2922"/>
      <c r="K101" s="1044"/>
      <c r="L101" s="1044"/>
    </row>
    <row r="102" spans="1:12" s="2307" customFormat="1">
      <c r="A102" s="2631"/>
      <c r="D102" s="2922"/>
      <c r="K102" s="1044"/>
      <c r="L102" s="1044"/>
    </row>
    <row r="103" spans="1:12" s="2307" customFormat="1">
      <c r="A103" s="2631"/>
      <c r="D103" s="2922"/>
      <c r="K103" s="1044"/>
      <c r="L103" s="1044"/>
    </row>
    <row r="104" spans="1:12" s="2307" customFormat="1">
      <c r="A104" s="2631"/>
      <c r="D104" s="2922"/>
      <c r="K104" s="1044"/>
      <c r="L104" s="1044"/>
    </row>
    <row r="105" spans="1:12" s="2307" customFormat="1">
      <c r="A105" s="2631"/>
      <c r="D105" s="2922"/>
      <c r="K105" s="1044"/>
      <c r="L105" s="1044"/>
    </row>
    <row r="106" spans="1:12" s="2307" customFormat="1">
      <c r="A106" s="2631"/>
      <c r="D106" s="2922"/>
      <c r="K106" s="1044"/>
      <c r="L106" s="1044"/>
    </row>
    <row r="107" spans="1:12" s="2307" customFormat="1">
      <c r="A107" s="2631"/>
      <c r="D107" s="2922"/>
      <c r="K107" s="1044"/>
      <c r="L107" s="1044"/>
    </row>
    <row r="108" spans="1:12" s="2307" customFormat="1">
      <c r="A108" s="2631"/>
      <c r="D108" s="2922"/>
      <c r="K108" s="1044"/>
      <c r="L108" s="1044"/>
    </row>
    <row r="109" spans="1:12" s="2307" customFormat="1">
      <c r="A109" s="2631"/>
      <c r="D109" s="2922"/>
      <c r="K109" s="1044"/>
      <c r="L109" s="1044"/>
    </row>
    <row r="110" spans="1:12" s="2307" customFormat="1">
      <c r="A110" s="2631"/>
      <c r="D110" s="2922"/>
      <c r="K110" s="1044"/>
      <c r="L110" s="1044"/>
    </row>
    <row r="111" spans="1:12" s="2307" customFormat="1">
      <c r="A111" s="2631"/>
      <c r="D111" s="2922"/>
      <c r="K111" s="1044"/>
      <c r="L111" s="1044"/>
    </row>
    <row r="112" spans="1:12" s="2307" customFormat="1">
      <c r="A112" s="2631"/>
      <c r="D112" s="2922"/>
      <c r="K112" s="1044"/>
      <c r="L112" s="1044"/>
    </row>
    <row r="113" spans="1:12" s="2307" customFormat="1">
      <c r="A113" s="2631"/>
      <c r="D113" s="2922"/>
      <c r="K113" s="1044"/>
      <c r="L113" s="1044"/>
    </row>
    <row r="114" spans="1:12" s="2307" customFormat="1">
      <c r="A114" s="2631"/>
      <c r="D114" s="2922"/>
      <c r="K114" s="1044"/>
      <c r="L114" s="1044"/>
    </row>
    <row r="115" spans="1:12" s="2307" customFormat="1">
      <c r="A115" s="2631"/>
      <c r="D115" s="2922"/>
      <c r="K115" s="1044"/>
      <c r="L115" s="1044"/>
    </row>
    <row r="116" spans="1:12" s="2307" customFormat="1">
      <c r="A116" s="2631"/>
      <c r="D116" s="2922"/>
      <c r="K116" s="1044"/>
      <c r="L116" s="1044"/>
    </row>
    <row r="117" spans="1:12" s="2307" customFormat="1">
      <c r="A117" s="2631"/>
      <c r="D117" s="2922"/>
      <c r="K117" s="1044"/>
      <c r="L117" s="1044"/>
    </row>
    <row r="118" spans="1:12" s="2307" customFormat="1">
      <c r="A118" s="2631"/>
      <c r="D118" s="2922"/>
      <c r="K118" s="1044"/>
      <c r="L118" s="1044"/>
    </row>
    <row r="119" spans="1:12" s="2307" customFormat="1">
      <c r="A119" s="2631"/>
      <c r="D119" s="2922"/>
      <c r="K119" s="1044"/>
      <c r="L119" s="1044"/>
    </row>
    <row r="120" spans="1:12" s="2307" customFormat="1">
      <c r="A120" s="2631"/>
      <c r="D120" s="2922"/>
      <c r="K120" s="1044"/>
      <c r="L120" s="1044"/>
    </row>
    <row r="121" spans="1:12" s="2307" customFormat="1">
      <c r="A121" s="2631"/>
      <c r="D121" s="2922"/>
      <c r="K121" s="1044"/>
      <c r="L121" s="1044"/>
    </row>
    <row r="122" spans="1:12" s="2307" customFormat="1">
      <c r="A122" s="2631"/>
      <c r="D122" s="2922"/>
      <c r="K122" s="1044"/>
      <c r="L122" s="1044"/>
    </row>
    <row r="123" spans="1:12" s="2307" customFormat="1">
      <c r="A123" s="2631"/>
      <c r="D123" s="2922"/>
      <c r="K123" s="1044"/>
      <c r="L123" s="1044"/>
    </row>
    <row r="124" spans="1:12" s="2307" customFormat="1">
      <c r="A124" s="2631"/>
      <c r="D124" s="2922"/>
      <c r="K124" s="1044"/>
      <c r="L124" s="1044"/>
    </row>
    <row r="125" spans="1:12" s="2307" customFormat="1">
      <c r="A125" s="2631"/>
      <c r="D125" s="2922"/>
      <c r="K125" s="1044"/>
      <c r="L125" s="1044"/>
    </row>
    <row r="126" spans="1:12" s="2307" customFormat="1">
      <c r="A126" s="2631"/>
      <c r="D126" s="2922"/>
      <c r="K126" s="1044"/>
      <c r="L126" s="1044"/>
    </row>
    <row r="127" spans="1:12" s="2307" customFormat="1">
      <c r="A127" s="2631"/>
      <c r="D127" s="2922"/>
      <c r="K127" s="1044"/>
      <c r="L127" s="1044"/>
    </row>
    <row r="128" spans="1:12" s="2307" customFormat="1">
      <c r="A128" s="2631"/>
      <c r="D128" s="2922"/>
      <c r="K128" s="1044"/>
      <c r="L128" s="1044"/>
    </row>
    <row r="129" spans="1:12" s="2307" customFormat="1">
      <c r="A129" s="2631"/>
      <c r="D129" s="2922"/>
      <c r="K129" s="1044"/>
      <c r="L129" s="1044"/>
    </row>
    <row r="130" spans="1:12" s="2307" customFormat="1">
      <c r="A130" s="2631"/>
      <c r="D130" s="2922"/>
      <c r="K130" s="1044"/>
      <c r="L130" s="1044"/>
    </row>
    <row r="131" spans="1:12" s="2307" customFormat="1">
      <c r="A131" s="2631"/>
      <c r="D131" s="2922"/>
      <c r="K131" s="1044"/>
      <c r="L131" s="1044"/>
    </row>
    <row r="132" spans="1:12" s="2307" customFormat="1">
      <c r="A132" s="2631"/>
      <c r="D132" s="2922"/>
      <c r="K132" s="1044"/>
      <c r="L132" s="1044"/>
    </row>
    <row r="133" spans="1:12" s="2307" customFormat="1">
      <c r="A133" s="2631"/>
      <c r="D133" s="2922"/>
      <c r="K133" s="1044"/>
      <c r="L133" s="1044"/>
    </row>
    <row r="134" spans="1:12" s="2726" customFormat="1">
      <c r="A134" s="2923"/>
      <c r="D134" s="2924"/>
      <c r="K134" s="948"/>
      <c r="L134" s="948"/>
    </row>
    <row r="135" spans="1:12" s="2726" customFormat="1">
      <c r="A135" s="2923"/>
      <c r="D135" s="2924"/>
      <c r="K135" s="948"/>
      <c r="L135" s="948"/>
    </row>
    <row r="136" spans="1:12" s="2726" customFormat="1">
      <c r="A136" s="2923"/>
      <c r="D136" s="2924"/>
      <c r="K136" s="948"/>
      <c r="L136" s="948"/>
    </row>
    <row r="137" spans="1:12" s="2726" customFormat="1">
      <c r="A137" s="2923"/>
      <c r="D137" s="2924"/>
      <c r="K137" s="948"/>
      <c r="L137" s="948"/>
    </row>
    <row r="138" spans="1:12" s="2726" customFormat="1">
      <c r="A138" s="2923"/>
      <c r="D138" s="2924"/>
      <c r="K138" s="948"/>
      <c r="L138" s="948"/>
    </row>
    <row r="139" spans="1:12" s="2726" customFormat="1">
      <c r="A139" s="2923"/>
      <c r="D139" s="2924"/>
      <c r="K139" s="948"/>
      <c r="L139" s="948"/>
    </row>
    <row r="140" spans="1:12" s="2726" customFormat="1">
      <c r="A140" s="2923"/>
      <c r="D140" s="2924"/>
      <c r="K140" s="948"/>
      <c r="L140" s="948"/>
    </row>
    <row r="141" spans="1:12" s="2726" customFormat="1">
      <c r="A141" s="2923"/>
      <c r="D141" s="2924"/>
      <c r="K141" s="948"/>
      <c r="L141" s="948"/>
    </row>
    <row r="142" spans="1:12" s="2726" customFormat="1">
      <c r="A142" s="2923"/>
      <c r="D142" s="2924"/>
      <c r="K142" s="948"/>
      <c r="L142" s="948"/>
    </row>
    <row r="143" spans="1:12" s="2726" customFormat="1">
      <c r="A143" s="2923"/>
      <c r="D143" s="2924"/>
      <c r="K143" s="948"/>
      <c r="L143" s="948"/>
    </row>
    <row r="144" spans="1:12" s="2726" customFormat="1">
      <c r="A144" s="2923"/>
      <c r="D144" s="2924"/>
      <c r="K144" s="948"/>
      <c r="L144" s="948"/>
    </row>
    <row r="145" spans="1:12" s="2726" customFormat="1">
      <c r="A145" s="2923"/>
      <c r="D145" s="2924"/>
      <c r="K145" s="948"/>
      <c r="L145" s="948"/>
    </row>
    <row r="146" spans="1:12" s="2726" customFormat="1">
      <c r="A146" s="2923"/>
      <c r="D146" s="2924"/>
      <c r="K146" s="948"/>
      <c r="L146" s="948"/>
    </row>
    <row r="147" spans="1:12" s="2726" customFormat="1">
      <c r="A147" s="2923"/>
      <c r="D147" s="2924"/>
      <c r="K147" s="948"/>
      <c r="L147" s="948"/>
    </row>
    <row r="148" spans="1:12" s="2726" customFormat="1">
      <c r="A148" s="2923"/>
      <c r="D148" s="2924"/>
      <c r="K148" s="948"/>
      <c r="L148" s="948"/>
    </row>
    <row r="149" spans="1:12" s="2726" customFormat="1">
      <c r="A149" s="2923"/>
      <c r="D149" s="2924"/>
      <c r="K149" s="948"/>
      <c r="L149" s="948"/>
    </row>
    <row r="150" spans="1:12" s="2726" customFormat="1">
      <c r="A150" s="2923"/>
      <c r="D150" s="2924"/>
      <c r="K150" s="948"/>
      <c r="L150" s="948"/>
    </row>
    <row r="151" spans="1:12" s="2726" customFormat="1">
      <c r="A151" s="2923"/>
      <c r="D151" s="2924"/>
      <c r="K151" s="948"/>
      <c r="L151" s="948"/>
    </row>
    <row r="152" spans="1:12" s="2726" customFormat="1">
      <c r="A152" s="2923"/>
      <c r="D152" s="2924"/>
      <c r="K152" s="948"/>
      <c r="L152" s="948"/>
    </row>
    <row r="153" spans="1:12" s="2726" customFormat="1">
      <c r="A153" s="2923"/>
      <c r="D153" s="2924"/>
      <c r="K153" s="948"/>
      <c r="L153" s="948"/>
    </row>
    <row r="154" spans="1:12" s="2726" customFormat="1">
      <c r="A154" s="2923"/>
      <c r="D154" s="2924"/>
      <c r="K154" s="948"/>
      <c r="L154" s="948"/>
    </row>
    <row r="155" spans="1:12" s="2726" customFormat="1">
      <c r="A155" s="2923"/>
      <c r="D155" s="2924"/>
      <c r="K155" s="948"/>
      <c r="L155" s="948"/>
    </row>
    <row r="156" spans="1:12" s="2726" customFormat="1">
      <c r="A156" s="2923"/>
      <c r="D156" s="2924"/>
      <c r="K156" s="948"/>
      <c r="L156" s="948"/>
    </row>
    <row r="157" spans="1:12" s="2726" customFormat="1">
      <c r="A157" s="2923"/>
      <c r="D157" s="2924"/>
      <c r="K157" s="948"/>
      <c r="L157" s="948"/>
    </row>
    <row r="158" spans="1:12" s="2726" customFormat="1">
      <c r="A158" s="2923"/>
      <c r="D158" s="2924"/>
      <c r="K158" s="948"/>
      <c r="L158" s="948"/>
    </row>
    <row r="159" spans="1:12" s="2726" customFormat="1">
      <c r="A159" s="2923"/>
      <c r="D159" s="2924"/>
      <c r="K159" s="948"/>
      <c r="L159" s="948"/>
    </row>
    <row r="160" spans="1:12" s="2726" customFormat="1">
      <c r="A160" s="2923"/>
      <c r="D160" s="2924"/>
      <c r="K160" s="948"/>
      <c r="L160" s="948"/>
    </row>
    <row r="161" spans="1:12" s="2726" customFormat="1">
      <c r="A161" s="2923"/>
      <c r="D161" s="2924"/>
      <c r="K161" s="948"/>
      <c r="L161" s="948"/>
    </row>
    <row r="162" spans="1:12" s="2726" customFormat="1">
      <c r="A162" s="2923"/>
      <c r="D162" s="2924"/>
      <c r="K162" s="948"/>
      <c r="L162" s="948"/>
    </row>
    <row r="163" spans="1:12" s="2726" customFormat="1">
      <c r="A163" s="2923"/>
      <c r="D163" s="2924"/>
      <c r="K163" s="948"/>
      <c r="L163" s="948"/>
    </row>
    <row r="164" spans="1:12" s="2726" customFormat="1">
      <c r="A164" s="2923"/>
      <c r="D164" s="2924"/>
      <c r="K164" s="948"/>
      <c r="L164" s="948"/>
    </row>
    <row r="165" spans="1:12" s="2726" customFormat="1">
      <c r="A165" s="2923"/>
      <c r="D165" s="2924"/>
      <c r="K165" s="948"/>
      <c r="L165" s="948"/>
    </row>
    <row r="166" spans="1:12" s="2726" customFormat="1">
      <c r="A166" s="2923"/>
      <c r="D166" s="2924"/>
      <c r="K166" s="948"/>
      <c r="L166" s="948"/>
    </row>
    <row r="167" spans="1:12" s="2726" customFormat="1">
      <c r="A167" s="2923"/>
      <c r="D167" s="2924"/>
      <c r="K167" s="948"/>
      <c r="L167" s="948"/>
    </row>
    <row r="168" spans="1:12" s="2726" customFormat="1">
      <c r="A168" s="2923"/>
      <c r="D168" s="2924"/>
      <c r="K168" s="948"/>
      <c r="L168" s="948"/>
    </row>
    <row r="169" spans="1:12" s="2726" customFormat="1">
      <c r="A169" s="2923"/>
      <c r="D169" s="2924"/>
      <c r="K169" s="948"/>
      <c r="L169" s="948"/>
    </row>
    <row r="170" spans="1:12" s="2726" customFormat="1">
      <c r="A170" s="2923"/>
      <c r="D170" s="2924"/>
      <c r="K170" s="948"/>
      <c r="L170" s="948"/>
    </row>
    <row r="171" spans="1:12" s="2726" customFormat="1">
      <c r="A171" s="2923"/>
      <c r="D171" s="2924"/>
      <c r="K171" s="948"/>
      <c r="L171" s="948"/>
    </row>
    <row r="172" spans="1:12" s="2726" customFormat="1">
      <c r="A172" s="2923"/>
      <c r="D172" s="2924"/>
      <c r="K172" s="948"/>
      <c r="L172" s="948"/>
    </row>
    <row r="173" spans="1:12" s="2726" customFormat="1">
      <c r="A173" s="2923"/>
      <c r="D173" s="2924"/>
      <c r="K173" s="948"/>
      <c r="L173" s="948"/>
    </row>
    <row r="174" spans="1:12" s="2726" customFormat="1">
      <c r="A174" s="2923"/>
      <c r="D174" s="2924"/>
      <c r="K174" s="948"/>
      <c r="L174" s="948"/>
    </row>
  </sheetData>
  <sheetProtection password="CEE9" sheet="1" objects="1" scenarios="1" formatCells="0" formatColumns="0" formatRows="0"/>
  <phoneticPr fontId="222"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24"/>
    <col min="30" max="16384" width="9" style="2654"/>
  </cols>
  <sheetData>
    <row r="1" spans="1:29" s="2652" customFormat="1" ht="18">
      <c r="A1" s="3527" t="s">
        <v>716</v>
      </c>
      <c r="B1" s="3528"/>
      <c r="C1" s="3528"/>
      <c r="D1" s="3528"/>
      <c r="E1" s="3528"/>
      <c r="F1" s="3528"/>
      <c r="G1" s="3528"/>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717</v>
      </c>
      <c r="D2" s="2665"/>
      <c r="E2" s="2662"/>
      <c r="F2" s="2666"/>
      <c r="G2" s="2664" t="s">
        <v>718</v>
      </c>
      <c r="H2" s="2224"/>
      <c r="I2" s="2224"/>
      <c r="J2" s="2224"/>
      <c r="K2" s="2224"/>
      <c r="L2" s="2224"/>
      <c r="M2" s="2224"/>
      <c r="N2" s="2224"/>
      <c r="O2" s="2224"/>
      <c r="P2" s="2224"/>
      <c r="Q2" s="2224"/>
      <c r="R2" s="2224"/>
    </row>
    <row r="3" spans="1:29" ht="48">
      <c r="A3" s="2667" t="s">
        <v>719</v>
      </c>
      <c r="B3" s="2668" t="s">
        <v>720</v>
      </c>
      <c r="C3" s="2669" t="s">
        <v>721</v>
      </c>
      <c r="D3" s="2670"/>
      <c r="E3" s="2671" t="s">
        <v>719</v>
      </c>
      <c r="F3" s="2672" t="s">
        <v>722</v>
      </c>
      <c r="G3" s="2673" t="s">
        <v>723</v>
      </c>
      <c r="H3" s="2224"/>
      <c r="I3" s="2224"/>
      <c r="J3" s="2224"/>
      <c r="K3" s="2224"/>
      <c r="L3" s="2224"/>
      <c r="M3" s="2224"/>
      <c r="N3" s="2224"/>
      <c r="O3" s="2224"/>
      <c r="P3" s="2224"/>
      <c r="Q3" s="2224"/>
      <c r="R3" s="2224"/>
    </row>
    <row r="4" spans="1:29" ht="36.75">
      <c r="A4" s="2671"/>
      <c r="B4" s="2013" t="s">
        <v>724</v>
      </c>
      <c r="C4" s="2674" t="s">
        <v>725</v>
      </c>
      <c r="D4" s="2670"/>
      <c r="E4" s="2675"/>
      <c r="F4" s="2336" t="s">
        <v>726</v>
      </c>
      <c r="G4" s="2676" t="s">
        <v>727</v>
      </c>
      <c r="H4" s="2224"/>
      <c r="I4" s="2224"/>
      <c r="J4" s="2224"/>
      <c r="K4" s="2224"/>
      <c r="L4" s="2224"/>
      <c r="M4" s="2224"/>
      <c r="N4" s="2224"/>
      <c r="O4" s="2224"/>
      <c r="P4" s="2224"/>
      <c r="Q4" s="2224"/>
      <c r="R4" s="2224"/>
    </row>
    <row r="5" spans="1:29" ht="36.75">
      <c r="A5" s="2671"/>
      <c r="B5" s="2013" t="s">
        <v>728</v>
      </c>
      <c r="C5" s="2674" t="s">
        <v>729</v>
      </c>
      <c r="D5" s="2670"/>
      <c r="E5" s="2675"/>
      <c r="F5" s="2013" t="s">
        <v>549</v>
      </c>
      <c r="G5" s="2676" t="s">
        <v>730</v>
      </c>
      <c r="H5" s="2224"/>
      <c r="I5" s="2224"/>
      <c r="J5" s="2224"/>
      <c r="K5" s="2224"/>
      <c r="L5" s="2224"/>
      <c r="M5" s="2224"/>
      <c r="N5" s="2224"/>
      <c r="O5" s="2224"/>
      <c r="P5" s="2224"/>
      <c r="Q5" s="2224"/>
      <c r="R5" s="2224"/>
    </row>
    <row r="6" spans="1:29" ht="36">
      <c r="A6" s="2671"/>
      <c r="B6" s="2013" t="s">
        <v>726</v>
      </c>
      <c r="C6" s="2676" t="s">
        <v>727</v>
      </c>
      <c r="D6" s="2670"/>
      <c r="E6" s="2675"/>
      <c r="F6" s="2013" t="s">
        <v>731</v>
      </c>
      <c r="G6" s="2676" t="s">
        <v>732</v>
      </c>
      <c r="H6" s="2224"/>
      <c r="I6" s="2224"/>
      <c r="J6" s="2224"/>
      <c r="K6" s="2224"/>
      <c r="L6" s="2224"/>
      <c r="M6" s="2224"/>
      <c r="N6" s="2224"/>
      <c r="O6" s="2224"/>
      <c r="P6" s="2224"/>
      <c r="Q6" s="2224"/>
      <c r="R6" s="2224"/>
    </row>
    <row r="7" spans="1:29" ht="24">
      <c r="A7" s="2671"/>
      <c r="B7" s="2013" t="s">
        <v>549</v>
      </c>
      <c r="C7" s="2676" t="s">
        <v>730</v>
      </c>
      <c r="D7" s="2677"/>
      <c r="E7" s="2678"/>
      <c r="F7" s="2679" t="s">
        <v>733</v>
      </c>
      <c r="G7" s="2680" t="s">
        <v>734</v>
      </c>
      <c r="H7" s="2224"/>
      <c r="I7" s="2224"/>
      <c r="J7" s="2224"/>
      <c r="K7" s="2224"/>
      <c r="L7" s="2224"/>
      <c r="M7" s="2224"/>
      <c r="N7" s="2224"/>
      <c r="O7" s="2224"/>
      <c r="P7" s="2224"/>
      <c r="Q7" s="2224"/>
      <c r="R7" s="2224"/>
    </row>
    <row r="8" spans="1:29">
      <c r="A8" s="2671"/>
      <c r="B8" s="2013" t="s">
        <v>731</v>
      </c>
      <c r="C8" s="2676" t="s">
        <v>732</v>
      </c>
      <c r="D8" s="2677"/>
      <c r="E8" s="2677"/>
      <c r="F8" s="2135"/>
      <c r="G8" s="2135"/>
      <c r="H8" s="2224"/>
      <c r="I8" s="2224"/>
      <c r="J8" s="2224"/>
      <c r="K8" s="2224"/>
      <c r="L8" s="2224"/>
      <c r="M8" s="2224"/>
      <c r="N8" s="2224"/>
      <c r="O8" s="2224"/>
      <c r="P8" s="2224"/>
      <c r="Q8" s="2224"/>
      <c r="R8" s="2224"/>
    </row>
    <row r="9" spans="1:29" ht="24">
      <c r="A9" s="2671"/>
      <c r="B9" s="2013" t="s">
        <v>735</v>
      </c>
      <c r="C9" s="2674" t="s">
        <v>736</v>
      </c>
      <c r="D9" s="2670"/>
      <c r="E9" s="2677"/>
      <c r="F9" s="2135"/>
      <c r="G9" s="2135"/>
      <c r="H9" s="2224"/>
      <c r="I9" s="2224"/>
      <c r="J9" s="2224"/>
      <c r="K9" s="2224"/>
      <c r="L9" s="2224"/>
      <c r="M9" s="2224"/>
      <c r="N9" s="2224"/>
      <c r="O9" s="2224"/>
      <c r="P9" s="2224"/>
      <c r="Q9" s="2224"/>
      <c r="R9" s="2224"/>
    </row>
    <row r="10" spans="1:29" s="2653" customFormat="1">
      <c r="A10" s="2681"/>
      <c r="B10" s="2682" t="s">
        <v>737</v>
      </c>
      <c r="C10" s="2683"/>
      <c r="D10" s="2670"/>
      <c r="E10" s="2670"/>
      <c r="F10" s="2135"/>
      <c r="G10" s="2135"/>
      <c r="H10" s="2684"/>
      <c r="I10" s="2714"/>
      <c r="J10" s="2715"/>
      <c r="K10" s="2684"/>
      <c r="L10" s="2714"/>
      <c r="M10" s="2715"/>
      <c r="N10" s="2684"/>
      <c r="O10" s="2714"/>
      <c r="P10" s="2715"/>
      <c r="Q10" s="2684"/>
      <c r="R10" s="2714"/>
      <c r="S10" s="2224"/>
      <c r="T10" s="2224"/>
      <c r="U10" s="2224"/>
      <c r="V10" s="2224"/>
      <c r="W10" s="2224"/>
      <c r="X10" s="2224"/>
      <c r="Y10" s="2224"/>
      <c r="Z10" s="2224"/>
      <c r="AA10" s="2224"/>
      <c r="AB10" s="2224"/>
      <c r="AC10" s="222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24"/>
      <c r="T11" s="2224"/>
      <c r="U11" s="2224"/>
      <c r="V11" s="2224"/>
      <c r="W11" s="2224"/>
      <c r="X11" s="2224"/>
      <c r="Y11" s="2224"/>
      <c r="Z11" s="2224"/>
      <c r="AA11" s="2224"/>
      <c r="AB11" s="2224"/>
      <c r="AC11" s="222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738</v>
      </c>
      <c r="B13" s="2687"/>
      <c r="C13" s="2687"/>
      <c r="D13" s="2685"/>
      <c r="E13" s="2687"/>
      <c r="F13" s="2687"/>
      <c r="G13" s="2687"/>
    </row>
    <row r="14" spans="1:29">
      <c r="A14" s="2690"/>
      <c r="B14" s="2690"/>
      <c r="C14" s="2691" t="s">
        <v>717</v>
      </c>
      <c r="D14" s="2670"/>
      <c r="E14" s="2692"/>
      <c r="F14" s="2692"/>
      <c r="G14" s="2664" t="s">
        <v>718</v>
      </c>
    </row>
    <row r="15" spans="1:29" ht="51">
      <c r="A15" s="2693" t="s">
        <v>719</v>
      </c>
      <c r="B15" s="2694" t="s">
        <v>720</v>
      </c>
      <c r="C15" s="2695" t="str">
        <f>C3</f>
        <v>估价对象周边居住用地比例、居住小区规模和社区发展完善程度，综合评价居住社区成熟度一般</v>
      </c>
      <c r="D15" s="2670"/>
      <c r="E15" s="2696" t="s">
        <v>719</v>
      </c>
      <c r="F15" s="2694" t="s">
        <v>722</v>
      </c>
      <c r="G15" s="2697" t="str">
        <f>G3</f>
        <v>估价对象位于XX开发区，园区建设成熟度XX，产业集聚程度XX</v>
      </c>
    </row>
    <row r="16" spans="1:29" ht="38.25">
      <c r="A16" s="2698"/>
      <c r="B16" s="2699" t="s">
        <v>724</v>
      </c>
      <c r="C16" s="2700" t="str">
        <f>C4</f>
        <v>估价对象位于XX商圈，周边商业氛围成熟，人流量大，商业繁华度好</v>
      </c>
      <c r="D16" s="2670"/>
      <c r="E16" s="2701"/>
      <c r="F16" s="2702" t="s">
        <v>726</v>
      </c>
      <c r="G16" s="2703" t="str">
        <f>G4</f>
        <v>估价对象周边道路状况、公共交通通达情况、停车便捷程度，综合评价交通便捷度较好</v>
      </c>
    </row>
    <row r="17" spans="1:18" ht="38.25">
      <c r="A17" s="2698"/>
      <c r="B17" s="2699" t="s">
        <v>728</v>
      </c>
      <c r="C17" s="2700" t="str">
        <f>C5</f>
        <v>估价对象位于XX商圈，周边办公楼项目较多，入驻率高，办公集聚程度较好</v>
      </c>
      <c r="D17" s="2677"/>
      <c r="E17" s="2701"/>
      <c r="F17" s="2702" t="s">
        <v>739</v>
      </c>
      <c r="G17" s="2704"/>
    </row>
    <row r="18" spans="1:18" ht="38.25">
      <c r="A18" s="2698"/>
      <c r="B18" s="2702" t="s">
        <v>726</v>
      </c>
      <c r="C18" s="2703" t="str">
        <f>C6</f>
        <v>估价对象周边道路状况、公共交通通达情况、停车便捷程度，综合评价交通便捷度较好</v>
      </c>
      <c r="D18" s="2677"/>
      <c r="E18" s="2701"/>
      <c r="F18" s="2702" t="s">
        <v>733</v>
      </c>
      <c r="G18" s="2703" t="str">
        <f>G7</f>
        <v>该园区内是否有污染型企业，绿化情况，卫生条件，整体环境状况判断</v>
      </c>
    </row>
    <row r="19" spans="1:18" ht="25.5">
      <c r="A19" s="2698"/>
      <c r="B19" s="2702" t="s">
        <v>739</v>
      </c>
      <c r="C19" s="2704"/>
      <c r="D19" s="2670"/>
      <c r="E19" s="2701"/>
      <c r="F19" s="2013" t="s">
        <v>549</v>
      </c>
      <c r="G19" s="2703" t="str">
        <f>G5</f>
        <v>估价对象所在区域公共配套设施齐备情况</v>
      </c>
    </row>
    <row r="20" spans="1:18" ht="25.5">
      <c r="A20" s="2698"/>
      <c r="B20" s="2702" t="s">
        <v>740</v>
      </c>
      <c r="C20" s="2700" t="str">
        <f>C9</f>
        <v>区域自然环境：；人文环境；综合评价环境状况一般</v>
      </c>
      <c r="D20" s="2677"/>
      <c r="E20" s="2701"/>
      <c r="F20" s="2013" t="s">
        <v>731</v>
      </c>
      <c r="G20" s="2703" t="str">
        <f>G6</f>
        <v>估价对象所在区域基础设施水平</v>
      </c>
    </row>
    <row r="21" spans="1:18" ht="25.5">
      <c r="A21" s="2698"/>
      <c r="B21" s="2013" t="s">
        <v>549</v>
      </c>
      <c r="C21" s="2703" t="str">
        <f>C7</f>
        <v>估价对象所在区域公共配套设施齐备情况</v>
      </c>
      <c r="D21" s="2670"/>
      <c r="E21" s="2701"/>
      <c r="F21" s="2702" t="s">
        <v>741</v>
      </c>
      <c r="G21" s="2705"/>
    </row>
    <row r="22" spans="1:18" ht="13.5" customHeight="1">
      <c r="A22" s="2698"/>
      <c r="B22" s="2013" t="s">
        <v>731</v>
      </c>
      <c r="C22" s="2703" t="str">
        <f>C8</f>
        <v>估价对象所在区域基础设施水平</v>
      </c>
      <c r="D22" s="2670"/>
      <c r="E22" s="2701"/>
      <c r="F22" s="2702" t="s">
        <v>737</v>
      </c>
      <c r="G22" s="2704"/>
    </row>
    <row r="23" spans="1:18" s="2224" customFormat="1">
      <c r="A23" s="2698"/>
      <c r="B23" s="2702" t="s">
        <v>741</v>
      </c>
      <c r="C23" s="2705"/>
      <c r="D23" s="2631"/>
      <c r="E23" s="2706"/>
      <c r="F23" s="2707" t="s">
        <v>496</v>
      </c>
      <c r="G23" s="2708"/>
      <c r="H23" s="2658"/>
      <c r="I23" s="2659"/>
      <c r="J23" s="2658"/>
      <c r="K23" s="2658"/>
      <c r="L23" s="2659"/>
      <c r="M23" s="2658"/>
      <c r="N23" s="2658"/>
      <c r="O23" s="2659"/>
      <c r="P23" s="2658"/>
      <c r="Q23" s="2658"/>
      <c r="R23" s="2660"/>
    </row>
    <row r="24" spans="1:18" s="2224" customFormat="1">
      <c r="A24" s="2709"/>
      <c r="B24" s="2707" t="s">
        <v>737</v>
      </c>
      <c r="C24" s="2710">
        <f>C10</f>
        <v>0</v>
      </c>
      <c r="D24" s="2631"/>
      <c r="E24" s="2711"/>
      <c r="F24" s="2711"/>
      <c r="G24" s="2712"/>
      <c r="H24" s="2658"/>
      <c r="I24" s="2659"/>
      <c r="J24" s="2658"/>
      <c r="K24" s="2658"/>
      <c r="L24" s="2659"/>
      <c r="M24" s="2658"/>
      <c r="N24" s="2658"/>
      <c r="O24" s="2659"/>
      <c r="P24" s="2658"/>
      <c r="Q24" s="2658"/>
      <c r="R24" s="2660"/>
    </row>
    <row r="25" spans="1:18" s="2224" customFormat="1">
      <c r="B25" s="2658"/>
      <c r="C25" s="2658"/>
      <c r="D25" s="2658"/>
      <c r="H25" s="2658"/>
      <c r="I25" s="2659"/>
      <c r="J25" s="2658"/>
      <c r="K25" s="2658"/>
      <c r="L25" s="2659"/>
      <c r="M25" s="2658"/>
      <c r="N25" s="2658"/>
      <c r="O25" s="2659"/>
      <c r="P25" s="2658"/>
      <c r="Q25" s="2658"/>
      <c r="R25" s="2660"/>
    </row>
    <row r="26" spans="1:18" s="2224" customFormat="1">
      <c r="B26" s="2658"/>
      <c r="C26" s="2658"/>
      <c r="D26" s="2658"/>
      <c r="H26" s="2658"/>
      <c r="I26" s="2659"/>
      <c r="J26" s="2658"/>
      <c r="K26" s="2658"/>
      <c r="L26" s="2659"/>
      <c r="M26" s="2658"/>
      <c r="N26" s="2658"/>
      <c r="O26" s="2659"/>
      <c r="P26" s="2658"/>
      <c r="Q26" s="2658"/>
      <c r="R26" s="2660"/>
    </row>
    <row r="27" spans="1:18" s="2224" customFormat="1">
      <c r="B27" s="2658"/>
      <c r="C27" s="2658"/>
      <c r="D27" s="2658"/>
      <c r="H27" s="2658"/>
      <c r="I27" s="2659"/>
      <c r="J27" s="2658"/>
      <c r="K27" s="2658"/>
      <c r="L27" s="2659"/>
      <c r="M27" s="2658"/>
      <c r="N27" s="2658"/>
      <c r="O27" s="2659"/>
      <c r="P27" s="2658"/>
      <c r="Q27" s="2658"/>
      <c r="R27" s="2660"/>
    </row>
    <row r="28" spans="1:18" s="2224" customFormat="1">
      <c r="B28" s="2658"/>
      <c r="C28" s="2658"/>
      <c r="D28" s="2658"/>
      <c r="H28" s="2658"/>
      <c r="I28" s="2659"/>
      <c r="J28" s="2658"/>
      <c r="K28" s="2658"/>
      <c r="L28" s="2659"/>
      <c r="M28" s="2658"/>
      <c r="N28" s="2658"/>
      <c r="O28" s="2659"/>
      <c r="P28" s="2658"/>
      <c r="Q28" s="2658"/>
      <c r="R28" s="2660"/>
    </row>
    <row r="29" spans="1:18" s="2224" customFormat="1">
      <c r="B29" s="2658"/>
      <c r="C29" s="2658"/>
      <c r="D29" s="2658"/>
      <c r="H29" s="2658"/>
      <c r="I29" s="2659"/>
      <c r="J29" s="2658"/>
      <c r="K29" s="2658"/>
      <c r="L29" s="2659"/>
      <c r="M29" s="2658"/>
      <c r="N29" s="2658"/>
      <c r="O29" s="2659"/>
      <c r="P29" s="2658"/>
      <c r="Q29" s="2658"/>
      <c r="R29" s="2660"/>
    </row>
    <row r="30" spans="1:18" s="2224" customFormat="1">
      <c r="B30" s="2658"/>
      <c r="C30" s="2658"/>
      <c r="D30" s="2658"/>
      <c r="H30" s="2658"/>
      <c r="I30" s="2659"/>
      <c r="J30" s="2658"/>
      <c r="K30" s="2658"/>
      <c r="L30" s="2659"/>
      <c r="M30" s="2658"/>
      <c r="N30" s="2658"/>
      <c r="O30" s="2659"/>
      <c r="P30" s="2658"/>
      <c r="Q30" s="2658"/>
      <c r="R30" s="2660"/>
    </row>
    <row r="31" spans="1:18" s="2224" customFormat="1">
      <c r="B31" s="2658"/>
      <c r="C31" s="2658"/>
      <c r="D31" s="2658"/>
      <c r="H31" s="2658"/>
      <c r="I31" s="2659"/>
      <c r="J31" s="2658"/>
      <c r="K31" s="2658"/>
      <c r="L31" s="2659"/>
      <c r="M31" s="2658"/>
      <c r="N31" s="2658"/>
      <c r="O31" s="2659"/>
      <c r="P31" s="2658"/>
      <c r="Q31" s="2658"/>
      <c r="R31" s="2660"/>
    </row>
    <row r="32" spans="1:18" s="2224" customFormat="1">
      <c r="B32" s="2658"/>
      <c r="C32" s="2658"/>
      <c r="D32" s="2658"/>
      <c r="H32" s="2658"/>
      <c r="I32" s="2659"/>
      <c r="J32" s="2658"/>
      <c r="K32" s="2658"/>
      <c r="L32" s="2659"/>
      <c r="M32" s="2658"/>
      <c r="N32" s="2658"/>
      <c r="O32" s="2659"/>
      <c r="P32" s="2658"/>
      <c r="Q32" s="2658"/>
      <c r="R32" s="2660"/>
    </row>
    <row r="33" spans="2:18" s="2224" customFormat="1">
      <c r="B33" s="2658"/>
      <c r="C33" s="2658"/>
      <c r="D33" s="2658"/>
      <c r="H33" s="2658"/>
      <c r="I33" s="2659"/>
      <c r="J33" s="2658"/>
      <c r="K33" s="2658"/>
      <c r="L33" s="2659"/>
      <c r="M33" s="2658"/>
      <c r="N33" s="2658"/>
      <c r="O33" s="2659"/>
      <c r="P33" s="2658"/>
      <c r="Q33" s="2658"/>
      <c r="R33" s="2660"/>
    </row>
    <row r="34" spans="2:18" s="2224" customFormat="1">
      <c r="B34" s="2658"/>
      <c r="C34" s="2658"/>
      <c r="D34" s="2658"/>
      <c r="H34" s="2658"/>
      <c r="I34" s="2659"/>
      <c r="J34" s="2658"/>
      <c r="K34" s="2658"/>
      <c r="L34" s="2659"/>
      <c r="M34" s="2658"/>
      <c r="N34" s="2658"/>
      <c r="O34" s="2659"/>
      <c r="P34" s="2658"/>
      <c r="Q34" s="2658"/>
      <c r="R34" s="2660"/>
    </row>
    <row r="35" spans="2:18" s="2224" customFormat="1">
      <c r="B35" s="2658"/>
      <c r="C35" s="2658"/>
      <c r="D35" s="2658"/>
      <c r="H35" s="2658"/>
      <c r="I35" s="2659"/>
      <c r="J35" s="2658"/>
      <c r="K35" s="2658"/>
      <c r="L35" s="2659"/>
      <c r="M35" s="2658"/>
      <c r="N35" s="2658"/>
      <c r="O35" s="2659"/>
      <c r="P35" s="2658"/>
      <c r="Q35" s="2658"/>
      <c r="R35" s="2660"/>
    </row>
    <row r="36" spans="2:18" s="2224" customFormat="1">
      <c r="B36" s="2658"/>
      <c r="C36" s="2658"/>
      <c r="D36" s="2658"/>
      <c r="H36" s="2658"/>
      <c r="I36" s="2659"/>
      <c r="J36" s="2658"/>
      <c r="K36" s="2658"/>
      <c r="L36" s="2659"/>
      <c r="M36" s="2658"/>
      <c r="N36" s="2658"/>
      <c r="O36" s="2659"/>
      <c r="P36" s="2658"/>
      <c r="Q36" s="2658"/>
      <c r="R36" s="2660"/>
    </row>
    <row r="37" spans="2:18" s="2224" customFormat="1">
      <c r="B37" s="2658"/>
      <c r="C37" s="2658"/>
      <c r="D37" s="2658"/>
      <c r="H37" s="2658"/>
      <c r="I37" s="2659"/>
      <c r="J37" s="2658"/>
      <c r="K37" s="2658"/>
      <c r="L37" s="2659"/>
      <c r="M37" s="2658"/>
      <c r="N37" s="2658"/>
      <c r="O37" s="2659"/>
      <c r="P37" s="2658"/>
      <c r="Q37" s="2658"/>
      <c r="R37" s="2660"/>
    </row>
    <row r="38" spans="2:18" s="2224" customFormat="1">
      <c r="B38" s="2658"/>
      <c r="C38" s="2658"/>
      <c r="D38" s="2658"/>
      <c r="E38" s="2658"/>
      <c r="F38" s="2658"/>
      <c r="G38" s="2659"/>
      <c r="H38" s="2658"/>
      <c r="I38" s="2659"/>
      <c r="J38" s="2658"/>
      <c r="K38" s="2658"/>
      <c r="L38" s="2659"/>
      <c r="M38" s="2658"/>
      <c r="N38" s="2658"/>
      <c r="O38" s="2659"/>
      <c r="P38" s="2658"/>
      <c r="Q38" s="2658"/>
      <c r="R38" s="2660"/>
    </row>
    <row r="39" spans="2:18" s="2224" customFormat="1">
      <c r="B39" s="2658"/>
      <c r="C39" s="2658"/>
      <c r="D39" s="2658"/>
      <c r="E39" s="2658"/>
      <c r="F39" s="2658"/>
      <c r="G39" s="2659"/>
      <c r="H39" s="2658"/>
      <c r="I39" s="2659"/>
      <c r="J39" s="2658"/>
      <c r="K39" s="2658"/>
      <c r="L39" s="2659"/>
      <c r="M39" s="2658"/>
      <c r="N39" s="2658"/>
      <c r="O39" s="2659"/>
      <c r="P39" s="2658"/>
      <c r="Q39" s="2658"/>
      <c r="R39" s="2660"/>
    </row>
    <row r="40" spans="2:18" s="2224" customFormat="1">
      <c r="B40" s="2658"/>
      <c r="C40" s="2658"/>
      <c r="D40" s="2658"/>
      <c r="E40" s="2658"/>
      <c r="F40" s="2658"/>
      <c r="G40" s="2659"/>
      <c r="H40" s="2658"/>
      <c r="I40" s="2659"/>
      <c r="J40" s="2658"/>
      <c r="K40" s="2658"/>
      <c r="L40" s="2659"/>
      <c r="M40" s="2658"/>
      <c r="N40" s="2658"/>
      <c r="O40" s="2659"/>
      <c r="P40" s="2658"/>
      <c r="Q40" s="2658"/>
      <c r="R40" s="2660"/>
    </row>
    <row r="41" spans="2:18" s="2224" customFormat="1">
      <c r="B41" s="2658"/>
      <c r="C41" s="2658"/>
      <c r="D41" s="2658"/>
      <c r="E41" s="2658"/>
      <c r="F41" s="2658"/>
      <c r="G41" s="2659"/>
      <c r="H41" s="2658"/>
      <c r="I41" s="2659"/>
      <c r="J41" s="2658"/>
      <c r="K41" s="2658"/>
      <c r="L41" s="2659"/>
      <c r="M41" s="2658"/>
      <c r="N41" s="2658"/>
      <c r="O41" s="2659"/>
      <c r="P41" s="2658"/>
      <c r="Q41" s="2658"/>
      <c r="R41" s="2660"/>
    </row>
    <row r="42" spans="2:18" s="2224" customFormat="1">
      <c r="B42" s="2658"/>
      <c r="C42" s="2658"/>
      <c r="D42" s="2658"/>
      <c r="E42" s="2658"/>
      <c r="F42" s="2658"/>
      <c r="G42" s="2659"/>
      <c r="H42" s="2658"/>
      <c r="I42" s="2659"/>
      <c r="J42" s="2658"/>
      <c r="K42" s="2658"/>
      <c r="L42" s="2659"/>
      <c r="M42" s="2658"/>
      <c r="N42" s="2658"/>
      <c r="O42" s="2659"/>
      <c r="P42" s="2658"/>
      <c r="Q42" s="2658"/>
      <c r="R42" s="2660"/>
    </row>
    <row r="43" spans="2:18" s="2224" customFormat="1">
      <c r="B43" s="2658"/>
      <c r="C43" s="2658"/>
      <c r="D43" s="2658"/>
      <c r="E43" s="2658"/>
      <c r="F43" s="2658"/>
      <c r="G43" s="2659"/>
      <c r="H43" s="2658"/>
      <c r="I43" s="2659"/>
      <c r="J43" s="2658"/>
      <c r="K43" s="2658"/>
      <c r="L43" s="2659"/>
      <c r="M43" s="2658"/>
      <c r="N43" s="2658"/>
      <c r="O43" s="2659"/>
      <c r="P43" s="2658"/>
      <c r="Q43" s="2658"/>
      <c r="R43" s="2660"/>
    </row>
    <row r="44" spans="2:18" s="2224" customFormat="1">
      <c r="B44" s="2658"/>
      <c r="C44" s="2658"/>
      <c r="D44" s="2658"/>
      <c r="E44" s="2658"/>
      <c r="F44" s="2658"/>
      <c r="G44" s="2659"/>
      <c r="H44" s="2658"/>
      <c r="I44" s="2659"/>
      <c r="J44" s="2658"/>
      <c r="K44" s="2658"/>
      <c r="L44" s="2659"/>
      <c r="M44" s="2658"/>
      <c r="N44" s="2658"/>
      <c r="O44" s="2659"/>
      <c r="P44" s="2658"/>
      <c r="Q44" s="2658"/>
      <c r="R44" s="2660"/>
    </row>
    <row r="45" spans="2:18" s="2224" customFormat="1">
      <c r="B45" s="2658"/>
      <c r="C45" s="2658"/>
      <c r="D45" s="2658"/>
      <c r="E45" s="2658"/>
      <c r="F45" s="2658"/>
      <c r="G45" s="2659"/>
      <c r="H45" s="2658"/>
      <c r="I45" s="2659"/>
      <c r="J45" s="2658"/>
      <c r="K45" s="2658"/>
      <c r="L45" s="2659"/>
      <c r="M45" s="2658"/>
      <c r="N45" s="2658"/>
      <c r="O45" s="2659"/>
      <c r="P45" s="2658"/>
      <c r="Q45" s="2658"/>
      <c r="R45" s="2660"/>
    </row>
    <row r="46" spans="2:18" s="2224" customFormat="1">
      <c r="B46" s="2658"/>
      <c r="C46" s="2658"/>
      <c r="D46" s="2658"/>
      <c r="E46" s="2658"/>
      <c r="F46" s="2658"/>
      <c r="G46" s="2659"/>
      <c r="H46" s="2658"/>
      <c r="I46" s="2659"/>
      <c r="J46" s="2658"/>
      <c r="K46" s="2658"/>
      <c r="L46" s="2659"/>
      <c r="M46" s="2658"/>
      <c r="N46" s="2658"/>
      <c r="O46" s="2659"/>
      <c r="P46" s="2658"/>
      <c r="Q46" s="2658"/>
      <c r="R46" s="2660"/>
    </row>
    <row r="47" spans="2:18" s="2224" customFormat="1">
      <c r="B47" s="2658"/>
      <c r="C47" s="2658"/>
      <c r="D47" s="2658"/>
      <c r="E47" s="2658"/>
      <c r="F47" s="2658"/>
      <c r="G47" s="2659"/>
      <c r="H47" s="2658"/>
      <c r="I47" s="2659"/>
      <c r="J47" s="2658"/>
      <c r="K47" s="2658"/>
      <c r="L47" s="2659"/>
      <c r="M47" s="2658"/>
      <c r="N47" s="2658"/>
      <c r="O47" s="2659"/>
      <c r="P47" s="2658"/>
      <c r="Q47" s="2658"/>
      <c r="R47" s="2660"/>
    </row>
    <row r="48" spans="2:18" s="2224" customFormat="1">
      <c r="B48" s="2658"/>
      <c r="C48" s="2658"/>
      <c r="D48" s="2658"/>
      <c r="E48" s="2658"/>
      <c r="F48" s="2658"/>
      <c r="G48" s="2659"/>
      <c r="H48" s="2658"/>
      <c r="I48" s="2659"/>
      <c r="J48" s="2658"/>
      <c r="K48" s="2658"/>
      <c r="L48" s="2659"/>
      <c r="M48" s="2658"/>
      <c r="N48" s="2658"/>
      <c r="O48" s="2659"/>
      <c r="P48" s="2658"/>
      <c r="Q48" s="2658"/>
      <c r="R48" s="2660"/>
    </row>
    <row r="49" spans="2:18" s="2224" customFormat="1">
      <c r="B49" s="2658"/>
      <c r="C49" s="2658"/>
      <c r="D49" s="2658"/>
      <c r="E49" s="2658"/>
      <c r="F49" s="2658"/>
      <c r="G49" s="2659"/>
      <c r="H49" s="2658"/>
      <c r="I49" s="2659"/>
      <c r="J49" s="2658"/>
      <c r="K49" s="2658"/>
      <c r="L49" s="2659"/>
      <c r="M49" s="2658"/>
      <c r="N49" s="2658"/>
      <c r="O49" s="2659"/>
      <c r="P49" s="2658"/>
      <c r="Q49" s="2658"/>
      <c r="R49" s="2660"/>
    </row>
    <row r="50" spans="2:18" s="2224" customFormat="1">
      <c r="B50" s="2658"/>
      <c r="C50" s="2658"/>
      <c r="D50" s="2658"/>
      <c r="E50" s="2658"/>
      <c r="F50" s="2658"/>
      <c r="G50" s="2659"/>
      <c r="H50" s="2658"/>
      <c r="I50" s="2659"/>
      <c r="J50" s="2658"/>
      <c r="K50" s="2658"/>
      <c r="L50" s="2659"/>
      <c r="M50" s="2658"/>
      <c r="N50" s="2658"/>
      <c r="O50" s="2659"/>
      <c r="P50" s="2658"/>
      <c r="Q50" s="2658"/>
      <c r="R50" s="2660"/>
    </row>
    <row r="51" spans="2:18" s="2224" customFormat="1">
      <c r="B51" s="2658"/>
      <c r="C51" s="2658"/>
      <c r="D51" s="2658"/>
      <c r="E51" s="2658"/>
      <c r="F51" s="2658"/>
      <c r="G51" s="2659"/>
      <c r="H51" s="2658"/>
      <c r="I51" s="2659"/>
      <c r="J51" s="2658"/>
      <c r="K51" s="2658"/>
      <c r="L51" s="2659"/>
      <c r="M51" s="2658"/>
      <c r="N51" s="2658"/>
      <c r="O51" s="2659"/>
      <c r="P51" s="2658"/>
      <c r="Q51" s="2658"/>
      <c r="R51" s="2660"/>
    </row>
    <row r="52" spans="2:18" s="2224" customFormat="1">
      <c r="B52" s="2658"/>
      <c r="C52" s="2658"/>
      <c r="D52" s="2658"/>
      <c r="E52" s="2658"/>
      <c r="F52" s="2658"/>
      <c r="G52" s="2659"/>
      <c r="H52" s="2658"/>
      <c r="I52" s="2659"/>
      <c r="J52" s="2658"/>
      <c r="K52" s="2658"/>
      <c r="L52" s="2659"/>
      <c r="M52" s="2658"/>
      <c r="N52" s="2658"/>
      <c r="O52" s="2659"/>
      <c r="P52" s="2658"/>
      <c r="Q52" s="2658"/>
      <c r="R52" s="2660"/>
    </row>
    <row r="53" spans="2:18" s="2224" customFormat="1">
      <c r="B53" s="2658"/>
      <c r="C53" s="2658"/>
      <c r="D53" s="2658"/>
      <c r="E53" s="2658"/>
      <c r="F53" s="2658"/>
      <c r="G53" s="2659"/>
      <c r="H53" s="2658"/>
      <c r="I53" s="2659"/>
      <c r="J53" s="2658"/>
      <c r="K53" s="2658"/>
      <c r="L53" s="2659"/>
      <c r="M53" s="2658"/>
      <c r="N53" s="2658"/>
      <c r="O53" s="2659"/>
      <c r="P53" s="2658"/>
      <c r="Q53" s="2658"/>
      <c r="R53" s="2660"/>
    </row>
    <row r="54" spans="2:18" s="2224" customFormat="1">
      <c r="B54" s="2658"/>
      <c r="C54" s="2658"/>
      <c r="D54" s="2658"/>
      <c r="E54" s="2658"/>
      <c r="F54" s="2658"/>
      <c r="G54" s="2659"/>
      <c r="H54" s="2658"/>
      <c r="I54" s="2659"/>
      <c r="J54" s="2658"/>
      <c r="K54" s="2658"/>
      <c r="L54" s="2659"/>
      <c r="M54" s="2658"/>
      <c r="N54" s="2658"/>
      <c r="O54" s="2659"/>
      <c r="P54" s="2658"/>
      <c r="Q54" s="2658"/>
      <c r="R54" s="2660"/>
    </row>
    <row r="55" spans="2:18" s="2224" customFormat="1">
      <c r="B55" s="2658"/>
      <c r="C55" s="2658"/>
      <c r="D55" s="2658"/>
      <c r="E55" s="2658"/>
      <c r="F55" s="2658"/>
      <c r="G55" s="2659"/>
      <c r="H55" s="2658"/>
      <c r="I55" s="2659"/>
      <c r="J55" s="2658"/>
      <c r="K55" s="2658"/>
      <c r="L55" s="2659"/>
      <c r="M55" s="2658"/>
      <c r="N55" s="2658"/>
      <c r="O55" s="2659"/>
      <c r="P55" s="2658"/>
      <c r="Q55" s="2658"/>
      <c r="R55" s="2660"/>
    </row>
    <row r="56" spans="2:18" s="2224" customFormat="1">
      <c r="B56" s="2658"/>
      <c r="C56" s="2658"/>
      <c r="D56" s="2658"/>
      <c r="E56" s="2658"/>
      <c r="F56" s="2658"/>
      <c r="G56" s="2659"/>
      <c r="H56" s="2658"/>
      <c r="I56" s="2659"/>
      <c r="J56" s="2658"/>
      <c r="K56" s="2658"/>
      <c r="L56" s="2659"/>
      <c r="M56" s="2658"/>
      <c r="N56" s="2658"/>
      <c r="O56" s="2659"/>
      <c r="P56" s="2658"/>
      <c r="Q56" s="2658"/>
      <c r="R56" s="2660"/>
    </row>
    <row r="57" spans="2:18" s="2224" customFormat="1">
      <c r="B57" s="2658"/>
      <c r="C57" s="2658"/>
      <c r="D57" s="2658"/>
      <c r="E57" s="2658"/>
      <c r="F57" s="2658"/>
      <c r="G57" s="2659"/>
      <c r="H57" s="2658"/>
      <c r="I57" s="2659"/>
      <c r="J57" s="2658"/>
      <c r="K57" s="2658"/>
      <c r="L57" s="2659"/>
      <c r="M57" s="2658"/>
      <c r="N57" s="2658"/>
      <c r="O57" s="2659"/>
      <c r="P57" s="2658"/>
      <c r="Q57" s="2658"/>
      <c r="R57" s="2660"/>
    </row>
    <row r="58" spans="2:18" s="2224" customFormat="1">
      <c r="B58" s="2658"/>
      <c r="C58" s="2658"/>
      <c r="D58" s="2658"/>
      <c r="E58" s="2658"/>
      <c r="F58" s="2658"/>
      <c r="G58" s="2659"/>
      <c r="H58" s="2658"/>
      <c r="I58" s="2659"/>
      <c r="J58" s="2658"/>
      <c r="K58" s="2658"/>
      <c r="L58" s="2659"/>
      <c r="M58" s="2658"/>
      <c r="N58" s="2658"/>
      <c r="O58" s="2659"/>
      <c r="P58" s="2658"/>
      <c r="Q58" s="2658"/>
      <c r="R58" s="2660"/>
    </row>
    <row r="59" spans="2:18" s="2224" customFormat="1">
      <c r="B59" s="2658"/>
      <c r="C59" s="2658"/>
      <c r="D59" s="2658"/>
      <c r="E59" s="2658"/>
      <c r="F59" s="2658"/>
      <c r="G59" s="2659"/>
      <c r="H59" s="2658"/>
      <c r="I59" s="2659"/>
      <c r="J59" s="2658"/>
      <c r="K59" s="2658"/>
      <c r="L59" s="2659"/>
      <c r="M59" s="2658"/>
      <c r="N59" s="2658"/>
      <c r="O59" s="2659"/>
      <c r="P59" s="2658"/>
      <c r="Q59" s="2658"/>
      <c r="R59" s="2660"/>
    </row>
    <row r="60" spans="2:18" s="2224" customFormat="1">
      <c r="B60" s="2658"/>
      <c r="C60" s="2658"/>
      <c r="D60" s="2658"/>
      <c r="E60" s="2658"/>
      <c r="F60" s="2658"/>
      <c r="G60" s="2659"/>
      <c r="H60" s="2658"/>
      <c r="I60" s="2659"/>
      <c r="J60" s="2658"/>
      <c r="K60" s="2658"/>
      <c r="L60" s="2659"/>
      <c r="M60" s="2658"/>
      <c r="N60" s="2658"/>
      <c r="O60" s="2659"/>
      <c r="P60" s="2658"/>
      <c r="Q60" s="2658"/>
      <c r="R60" s="2660"/>
    </row>
    <row r="61" spans="2:18" s="2224" customFormat="1">
      <c r="B61" s="2658"/>
      <c r="C61" s="2658"/>
      <c r="D61" s="2658"/>
      <c r="E61" s="2658"/>
      <c r="F61" s="2658"/>
      <c r="G61" s="2659"/>
      <c r="H61" s="2658"/>
      <c r="I61" s="2659"/>
      <c r="J61" s="2658"/>
      <c r="K61" s="2658"/>
      <c r="L61" s="2659"/>
      <c r="M61" s="2658"/>
      <c r="N61" s="2658"/>
      <c r="O61" s="2659"/>
      <c r="P61" s="2658"/>
      <c r="Q61" s="2658"/>
      <c r="R61" s="2660"/>
    </row>
    <row r="62" spans="2:18" s="2224" customFormat="1">
      <c r="B62" s="2658"/>
      <c r="C62" s="2658"/>
      <c r="D62" s="2658"/>
      <c r="E62" s="2658"/>
      <c r="F62" s="2658"/>
      <c r="G62" s="2659"/>
      <c r="H62" s="2658"/>
      <c r="I62" s="2659"/>
      <c r="J62" s="2658"/>
      <c r="K62" s="2658"/>
      <c r="L62" s="2659"/>
      <c r="M62" s="2658"/>
      <c r="N62" s="2658"/>
      <c r="O62" s="2659"/>
      <c r="P62" s="2658"/>
      <c r="Q62" s="2658"/>
      <c r="R62" s="2660"/>
    </row>
    <row r="63" spans="2:18" s="2224" customFormat="1">
      <c r="B63" s="2658"/>
      <c r="C63" s="2658"/>
      <c r="D63" s="2658"/>
      <c r="E63" s="2658"/>
      <c r="F63" s="2658"/>
      <c r="G63" s="2659"/>
      <c r="H63" s="2658"/>
      <c r="I63" s="2659"/>
      <c r="J63" s="2658"/>
      <c r="K63" s="2658"/>
      <c r="L63" s="2659"/>
      <c r="M63" s="2658"/>
      <c r="N63" s="2658"/>
      <c r="O63" s="2659"/>
      <c r="P63" s="2658"/>
      <c r="Q63" s="2658"/>
      <c r="R63" s="2660"/>
    </row>
    <row r="64" spans="2:18" s="2224" customFormat="1">
      <c r="B64" s="2658"/>
      <c r="C64" s="2658"/>
      <c r="D64" s="2658"/>
      <c r="E64" s="2658"/>
      <c r="F64" s="2658"/>
      <c r="G64" s="2659"/>
      <c r="H64" s="2658"/>
      <c r="I64" s="2659"/>
      <c r="J64" s="2658"/>
      <c r="K64" s="2658"/>
      <c r="L64" s="2659"/>
      <c r="M64" s="2658"/>
      <c r="N64" s="2658"/>
      <c r="O64" s="2659"/>
      <c r="P64" s="2658"/>
      <c r="Q64" s="2658"/>
      <c r="R64" s="2660"/>
    </row>
    <row r="65" spans="2:18" s="2224" customFormat="1">
      <c r="B65" s="2658"/>
      <c r="C65" s="2658"/>
      <c r="D65" s="2658"/>
      <c r="E65" s="2658"/>
      <c r="F65" s="2658"/>
      <c r="G65" s="2659"/>
      <c r="H65" s="2658"/>
      <c r="I65" s="2659"/>
      <c r="J65" s="2658"/>
      <c r="K65" s="2658"/>
      <c r="L65" s="2659"/>
      <c r="M65" s="2658"/>
      <c r="N65" s="2658"/>
      <c r="O65" s="2659"/>
      <c r="P65" s="2658"/>
      <c r="Q65" s="2658"/>
      <c r="R65" s="2660"/>
    </row>
    <row r="66" spans="2:18" s="2224" customFormat="1">
      <c r="B66" s="2658"/>
      <c r="C66" s="2658"/>
      <c r="D66" s="2658"/>
      <c r="E66" s="2658"/>
      <c r="F66" s="2658"/>
      <c r="G66" s="2659"/>
      <c r="H66" s="2658"/>
      <c r="I66" s="2659"/>
      <c r="J66" s="2658"/>
      <c r="K66" s="2658"/>
      <c r="L66" s="2659"/>
      <c r="M66" s="2658"/>
      <c r="N66" s="2658"/>
      <c r="O66" s="2659"/>
      <c r="P66" s="2658"/>
      <c r="Q66" s="2658"/>
      <c r="R66" s="2660"/>
    </row>
    <row r="67" spans="2:18" s="2224" customFormat="1">
      <c r="B67" s="2658"/>
      <c r="C67" s="2658"/>
      <c r="D67" s="2658"/>
      <c r="E67" s="2658"/>
      <c r="F67" s="2658"/>
      <c r="G67" s="2659"/>
      <c r="H67" s="2658"/>
      <c r="I67" s="2659"/>
      <c r="J67" s="2658"/>
      <c r="K67" s="2658"/>
      <c r="L67" s="2659"/>
      <c r="M67" s="2658"/>
      <c r="N67" s="2658"/>
      <c r="O67" s="2659"/>
      <c r="P67" s="2658"/>
      <c r="Q67" s="2658"/>
      <c r="R67" s="2660"/>
    </row>
    <row r="68" spans="2:18" s="2224" customFormat="1">
      <c r="B68" s="2658"/>
      <c r="C68" s="2658"/>
      <c r="D68" s="2658"/>
      <c r="E68" s="2658"/>
      <c r="F68" s="2658"/>
      <c r="G68" s="2659"/>
      <c r="H68" s="2658"/>
      <c r="I68" s="2659"/>
      <c r="J68" s="2658"/>
      <c r="K68" s="2658"/>
      <c r="L68" s="2659"/>
      <c r="M68" s="2658"/>
      <c r="N68" s="2658"/>
      <c r="O68" s="2659"/>
      <c r="P68" s="2658"/>
      <c r="Q68" s="2658"/>
      <c r="R68" s="2660"/>
    </row>
    <row r="69" spans="2:18" s="2224" customFormat="1">
      <c r="B69" s="2658"/>
      <c r="C69" s="2658"/>
      <c r="D69" s="2658"/>
      <c r="E69" s="2658"/>
      <c r="F69" s="2658"/>
      <c r="G69" s="2659"/>
      <c r="H69" s="2658"/>
      <c r="I69" s="2659"/>
      <c r="J69" s="2658"/>
      <c r="K69" s="2658"/>
      <c r="L69" s="2659"/>
      <c r="M69" s="2658"/>
      <c r="N69" s="2658"/>
      <c r="O69" s="2659"/>
      <c r="P69" s="2658"/>
      <c r="Q69" s="2658"/>
      <c r="R69" s="2660"/>
    </row>
    <row r="70" spans="2:18" s="2224" customFormat="1">
      <c r="B70" s="2658"/>
      <c r="C70" s="2658"/>
      <c r="D70" s="2658"/>
      <c r="E70" s="2658"/>
      <c r="F70" s="2658"/>
      <c r="G70" s="2659"/>
      <c r="H70" s="2658"/>
      <c r="I70" s="2659"/>
      <c r="J70" s="2658"/>
      <c r="K70" s="2658"/>
      <c r="L70" s="2659"/>
      <c r="M70" s="2658"/>
      <c r="N70" s="2658"/>
      <c r="O70" s="2659"/>
      <c r="P70" s="2658"/>
      <c r="Q70" s="2658"/>
      <c r="R70" s="2660"/>
    </row>
    <row r="71" spans="2:18" s="2224" customFormat="1">
      <c r="B71" s="2658"/>
      <c r="C71" s="2658"/>
      <c r="D71" s="2658"/>
      <c r="E71" s="2658"/>
      <c r="F71" s="2658"/>
      <c r="G71" s="2659"/>
      <c r="H71" s="2658"/>
      <c r="I71" s="2659"/>
      <c r="J71" s="2658"/>
      <c r="K71" s="2658"/>
      <c r="L71" s="2659"/>
      <c r="M71" s="2658"/>
      <c r="N71" s="2658"/>
      <c r="O71" s="2659"/>
      <c r="P71" s="2658"/>
      <c r="Q71" s="2658"/>
      <c r="R71" s="2660"/>
    </row>
    <row r="72" spans="2:18" s="2224" customFormat="1">
      <c r="B72" s="2658"/>
      <c r="C72" s="2658"/>
      <c r="D72" s="2658"/>
      <c r="E72" s="2658"/>
      <c r="F72" s="2658"/>
      <c r="G72" s="2659"/>
      <c r="H72" s="2658"/>
      <c r="I72" s="2659"/>
      <c r="J72" s="2658"/>
      <c r="K72" s="2658"/>
      <c r="L72" s="2659"/>
      <c r="M72" s="2658"/>
      <c r="N72" s="2658"/>
      <c r="O72" s="2659"/>
      <c r="P72" s="2658"/>
      <c r="Q72" s="2658"/>
      <c r="R72" s="2660"/>
    </row>
    <row r="73" spans="2:18" s="2224" customFormat="1">
      <c r="B73" s="2658"/>
      <c r="C73" s="2658"/>
      <c r="D73" s="2658"/>
      <c r="E73" s="2658"/>
      <c r="F73" s="2658"/>
      <c r="G73" s="2659"/>
      <c r="H73" s="2658"/>
      <c r="I73" s="2659"/>
      <c r="J73" s="2658"/>
      <c r="K73" s="2658"/>
      <c r="L73" s="2659"/>
      <c r="M73" s="2658"/>
      <c r="N73" s="2658"/>
      <c r="O73" s="2659"/>
      <c r="P73" s="2658"/>
      <c r="Q73" s="2658"/>
      <c r="R73" s="2660"/>
    </row>
    <row r="74" spans="2:18" s="2224" customFormat="1">
      <c r="B74" s="2658"/>
      <c r="C74" s="2658"/>
      <c r="D74" s="2658"/>
      <c r="E74" s="2658"/>
      <c r="F74" s="2658"/>
      <c r="G74" s="2659"/>
      <c r="H74" s="2658"/>
      <c r="I74" s="2659"/>
      <c r="J74" s="2658"/>
      <c r="K74" s="2658"/>
      <c r="L74" s="2659"/>
      <c r="M74" s="2658"/>
      <c r="N74" s="2658"/>
      <c r="O74" s="2659"/>
      <c r="P74" s="2658"/>
      <c r="Q74" s="2658"/>
      <c r="R74" s="2660"/>
    </row>
    <row r="75" spans="2:18" s="2224" customFormat="1">
      <c r="B75" s="2658"/>
      <c r="C75" s="2658"/>
      <c r="D75" s="2658"/>
      <c r="E75" s="2658"/>
      <c r="F75" s="2658"/>
      <c r="G75" s="2659"/>
      <c r="H75" s="2658"/>
      <c r="I75" s="2659"/>
      <c r="J75" s="2658"/>
      <c r="K75" s="2658"/>
      <c r="L75" s="2659"/>
      <c r="M75" s="2658"/>
      <c r="N75" s="2658"/>
      <c r="O75" s="2659"/>
      <c r="P75" s="2658"/>
      <c r="Q75" s="2658"/>
      <c r="R75" s="2660"/>
    </row>
    <row r="76" spans="2:18" s="2224" customFormat="1">
      <c r="B76" s="2658"/>
      <c r="C76" s="2658"/>
      <c r="D76" s="2658"/>
      <c r="E76" s="2658"/>
      <c r="F76" s="2658"/>
      <c r="G76" s="2659"/>
      <c r="H76" s="2658"/>
      <c r="I76" s="2659"/>
      <c r="J76" s="2658"/>
      <c r="K76" s="2658"/>
      <c r="L76" s="2659"/>
      <c r="M76" s="2658"/>
      <c r="N76" s="2658"/>
      <c r="O76" s="2659"/>
      <c r="P76" s="2658"/>
      <c r="Q76" s="2658"/>
      <c r="R76" s="2660"/>
    </row>
    <row r="77" spans="2:18" s="2224" customFormat="1">
      <c r="B77" s="2658"/>
      <c r="C77" s="2658"/>
      <c r="D77" s="2658"/>
      <c r="E77" s="2658"/>
      <c r="F77" s="2658"/>
      <c r="G77" s="2659"/>
      <c r="H77" s="2658"/>
      <c r="I77" s="2659"/>
      <c r="J77" s="2658"/>
      <c r="K77" s="2658"/>
      <c r="L77" s="2659"/>
      <c r="M77" s="2658"/>
      <c r="N77" s="2658"/>
      <c r="O77" s="2659"/>
      <c r="P77" s="2658"/>
      <c r="Q77" s="2658"/>
      <c r="R77" s="2660"/>
    </row>
    <row r="78" spans="2:18" s="2224" customFormat="1">
      <c r="B78" s="2658"/>
      <c r="C78" s="2658"/>
      <c r="D78" s="2658"/>
      <c r="E78" s="2658"/>
      <c r="F78" s="2658"/>
      <c r="G78" s="2659"/>
      <c r="H78" s="2658"/>
      <c r="I78" s="2659"/>
      <c r="J78" s="2658"/>
      <c r="K78" s="2658"/>
      <c r="L78" s="2659"/>
      <c r="M78" s="2658"/>
      <c r="N78" s="2658"/>
      <c r="O78" s="2659"/>
      <c r="P78" s="2658"/>
      <c r="Q78" s="2658"/>
      <c r="R78" s="2660"/>
    </row>
    <row r="79" spans="2:18" s="2224" customFormat="1">
      <c r="B79" s="2658"/>
      <c r="C79" s="2658"/>
      <c r="D79" s="2658"/>
      <c r="E79" s="2658"/>
      <c r="F79" s="2658"/>
      <c r="G79" s="2659"/>
      <c r="H79" s="2658"/>
      <c r="I79" s="2659"/>
      <c r="J79" s="2658"/>
      <c r="K79" s="2658"/>
      <c r="L79" s="2659"/>
      <c r="M79" s="2658"/>
      <c r="N79" s="2658"/>
      <c r="O79" s="2659"/>
      <c r="P79" s="2658"/>
      <c r="Q79" s="2658"/>
      <c r="R79" s="2660"/>
    </row>
    <row r="80" spans="2:18" s="2224" customFormat="1">
      <c r="B80" s="2658"/>
      <c r="C80" s="2658"/>
      <c r="D80" s="2658"/>
      <c r="E80" s="2658"/>
      <c r="F80" s="2658"/>
      <c r="G80" s="2659"/>
      <c r="H80" s="2658"/>
      <c r="I80" s="2659"/>
      <c r="J80" s="2658"/>
      <c r="K80" s="2658"/>
      <c r="L80" s="2659"/>
      <c r="M80" s="2658"/>
      <c r="N80" s="2658"/>
      <c r="O80" s="2659"/>
      <c r="P80" s="2658"/>
      <c r="Q80" s="2658"/>
      <c r="R80" s="2660"/>
    </row>
    <row r="81" spans="2:18" s="2224" customFormat="1">
      <c r="B81" s="2658"/>
      <c r="C81" s="2658"/>
      <c r="D81" s="2658"/>
      <c r="E81" s="2658"/>
      <c r="F81" s="2658"/>
      <c r="G81" s="2659"/>
      <c r="H81" s="2658"/>
      <c r="I81" s="2659"/>
      <c r="J81" s="2658"/>
      <c r="K81" s="2658"/>
      <c r="L81" s="2659"/>
      <c r="M81" s="2658"/>
      <c r="N81" s="2658"/>
      <c r="O81" s="2659"/>
      <c r="P81" s="2658"/>
      <c r="Q81" s="2658"/>
      <c r="R81" s="2660"/>
    </row>
    <row r="82" spans="2:18" s="2224" customFormat="1">
      <c r="B82" s="2658"/>
      <c r="C82" s="2658"/>
      <c r="D82" s="2658"/>
      <c r="E82" s="2658"/>
      <c r="F82" s="2658"/>
      <c r="G82" s="2659"/>
      <c r="H82" s="2658"/>
      <c r="I82" s="2659"/>
      <c r="J82" s="2658"/>
      <c r="K82" s="2658"/>
      <c r="L82" s="2659"/>
      <c r="M82" s="2658"/>
      <c r="N82" s="2658"/>
      <c r="O82" s="2659"/>
      <c r="P82" s="2658"/>
      <c r="Q82" s="2658"/>
      <c r="R82" s="2660"/>
    </row>
    <row r="83" spans="2:18" s="2224" customFormat="1">
      <c r="B83" s="2658"/>
      <c r="C83" s="2658"/>
      <c r="D83" s="2658"/>
      <c r="E83" s="2658"/>
      <c r="F83" s="2658"/>
      <c r="G83" s="2659"/>
      <c r="H83" s="2658"/>
      <c r="I83" s="2659"/>
      <c r="J83" s="2658"/>
      <c r="K83" s="2658"/>
      <c r="L83" s="2659"/>
      <c r="M83" s="2658"/>
      <c r="N83" s="2658"/>
      <c r="O83" s="2659"/>
      <c r="P83" s="2658"/>
      <c r="Q83" s="2658"/>
      <c r="R83" s="2660"/>
    </row>
    <row r="84" spans="2:18" s="2224" customFormat="1">
      <c r="B84" s="2658"/>
      <c r="C84" s="2658"/>
      <c r="D84" s="2658"/>
      <c r="E84" s="2658"/>
      <c r="F84" s="2658"/>
      <c r="G84" s="2659"/>
      <c r="H84" s="2658"/>
      <c r="I84" s="2659"/>
      <c r="J84" s="2658"/>
      <c r="K84" s="2658"/>
      <c r="L84" s="2659"/>
      <c r="M84" s="2658"/>
      <c r="N84" s="2658"/>
      <c r="O84" s="2659"/>
      <c r="P84" s="2658"/>
      <c r="Q84" s="2658"/>
      <c r="R84" s="2660"/>
    </row>
    <row r="85" spans="2:18" s="2224" customFormat="1">
      <c r="B85" s="2658"/>
      <c r="C85" s="2658"/>
      <c r="D85" s="2658"/>
      <c r="E85" s="2658"/>
      <c r="F85" s="2658"/>
      <c r="G85" s="2659"/>
      <c r="H85" s="2658"/>
      <c r="I85" s="2659"/>
      <c r="J85" s="2658"/>
      <c r="K85" s="2658"/>
      <c r="L85" s="2659"/>
      <c r="M85" s="2658"/>
      <c r="N85" s="2658"/>
      <c r="O85" s="2659"/>
      <c r="P85" s="2658"/>
      <c r="Q85" s="2658"/>
      <c r="R85" s="2660"/>
    </row>
    <row r="86" spans="2:18" s="2224" customFormat="1">
      <c r="B86" s="2658"/>
      <c r="C86" s="2658"/>
      <c r="D86" s="2658"/>
      <c r="E86" s="2658"/>
      <c r="F86" s="2658"/>
      <c r="G86" s="2659"/>
      <c r="H86" s="2658"/>
      <c r="I86" s="2659"/>
      <c r="J86" s="2658"/>
      <c r="K86" s="2658"/>
      <c r="L86" s="2659"/>
      <c r="M86" s="2658"/>
      <c r="N86" s="2658"/>
      <c r="O86" s="2659"/>
      <c r="P86" s="2658"/>
      <c r="Q86" s="2658"/>
      <c r="R86" s="2660"/>
    </row>
    <row r="87" spans="2:18" s="2224" customFormat="1">
      <c r="B87" s="2658"/>
      <c r="C87" s="2658"/>
      <c r="D87" s="2658"/>
      <c r="E87" s="2658"/>
      <c r="F87" s="2658"/>
      <c r="G87" s="2659"/>
      <c r="H87" s="2658"/>
      <c r="I87" s="2659"/>
      <c r="J87" s="2658"/>
      <c r="K87" s="2658"/>
      <c r="L87" s="2659"/>
      <c r="M87" s="2658"/>
      <c r="N87" s="2658"/>
      <c r="O87" s="2659"/>
      <c r="P87" s="2658"/>
      <c r="Q87" s="2658"/>
      <c r="R87" s="2660"/>
    </row>
    <row r="88" spans="2:18" s="2224" customFormat="1">
      <c r="B88" s="2658"/>
      <c r="C88" s="2658"/>
      <c r="D88" s="2658"/>
      <c r="E88" s="2658"/>
      <c r="F88" s="2658"/>
      <c r="G88" s="2659"/>
      <c r="H88" s="2658"/>
      <c r="I88" s="2659"/>
      <c r="J88" s="2658"/>
      <c r="K88" s="2658"/>
      <c r="L88" s="2659"/>
      <c r="M88" s="2658"/>
      <c r="N88" s="2658"/>
      <c r="O88" s="2659"/>
      <c r="P88" s="2658"/>
      <c r="Q88" s="2658"/>
      <c r="R88" s="2660"/>
    </row>
    <row r="89" spans="2:18" s="2224" customFormat="1">
      <c r="B89" s="2658"/>
      <c r="C89" s="2658"/>
      <c r="D89" s="2658"/>
      <c r="E89" s="2658"/>
      <c r="F89" s="2658"/>
      <c r="G89" s="2659"/>
      <c r="H89" s="2658"/>
      <c r="I89" s="2659"/>
      <c r="J89" s="2658"/>
      <c r="K89" s="2658"/>
      <c r="L89" s="2659"/>
      <c r="M89" s="2658"/>
      <c r="N89" s="2658"/>
      <c r="O89" s="2659"/>
      <c r="P89" s="2658"/>
      <c r="Q89" s="2658"/>
      <c r="R89" s="2660"/>
    </row>
    <row r="90" spans="2:18" s="2224" customFormat="1">
      <c r="B90" s="2658"/>
      <c r="C90" s="2658"/>
      <c r="D90" s="2658"/>
      <c r="E90" s="2658"/>
      <c r="F90" s="2658"/>
      <c r="G90" s="2659"/>
      <c r="H90" s="2658"/>
      <c r="I90" s="2659"/>
      <c r="J90" s="2658"/>
      <c r="K90" s="2658"/>
      <c r="L90" s="2659"/>
      <c r="M90" s="2658"/>
      <c r="N90" s="2658"/>
      <c r="O90" s="2659"/>
      <c r="P90" s="2658"/>
      <c r="Q90" s="2658"/>
      <c r="R90" s="2660"/>
    </row>
    <row r="91" spans="2:18" s="2224" customFormat="1">
      <c r="B91" s="2658"/>
      <c r="C91" s="2658"/>
      <c r="D91" s="2658"/>
      <c r="E91" s="2658"/>
      <c r="F91" s="2658"/>
      <c r="G91" s="2659"/>
      <c r="H91" s="2658"/>
      <c r="I91" s="2659"/>
      <c r="J91" s="2658"/>
      <c r="K91" s="2658"/>
      <c r="L91" s="2659"/>
      <c r="M91" s="2658"/>
      <c r="N91" s="2658"/>
      <c r="O91" s="2659"/>
      <c r="P91" s="2658"/>
      <c r="Q91" s="2658"/>
      <c r="R91" s="2660"/>
    </row>
    <row r="92" spans="2:18" s="2224" customFormat="1">
      <c r="B92" s="2658"/>
      <c r="C92" s="2658"/>
      <c r="D92" s="2658"/>
      <c r="E92" s="2658"/>
      <c r="F92" s="2658"/>
      <c r="G92" s="2659"/>
      <c r="H92" s="2658"/>
      <c r="I92" s="2659"/>
      <c r="J92" s="2658"/>
      <c r="K92" s="2658"/>
      <c r="L92" s="2659"/>
      <c r="M92" s="2658"/>
      <c r="N92" s="2658"/>
      <c r="O92" s="2659"/>
      <c r="P92" s="2658"/>
      <c r="Q92" s="2658"/>
      <c r="R92" s="2660"/>
    </row>
    <row r="93" spans="2:18" s="2224" customFormat="1">
      <c r="B93" s="2658"/>
      <c r="C93" s="2658"/>
      <c r="D93" s="2658"/>
      <c r="E93" s="2658"/>
      <c r="F93" s="2658"/>
      <c r="G93" s="2659"/>
      <c r="H93" s="2658"/>
      <c r="I93" s="2659"/>
      <c r="J93" s="2658"/>
      <c r="K93" s="2658"/>
      <c r="L93" s="2659"/>
      <c r="M93" s="2658"/>
      <c r="N93" s="2658"/>
      <c r="O93" s="2659"/>
      <c r="P93" s="2658"/>
      <c r="Q93" s="2658"/>
      <c r="R93" s="2660"/>
    </row>
    <row r="94" spans="2:18" s="2224" customFormat="1">
      <c r="B94" s="2658"/>
      <c r="C94" s="2658"/>
      <c r="D94" s="2658"/>
      <c r="E94" s="2658"/>
      <c r="F94" s="2658"/>
      <c r="G94" s="2659"/>
      <c r="H94" s="2658"/>
      <c r="I94" s="2659"/>
      <c r="J94" s="2658"/>
      <c r="K94" s="2658"/>
      <c r="L94" s="2659"/>
      <c r="M94" s="2658"/>
      <c r="N94" s="2658"/>
      <c r="O94" s="2659"/>
      <c r="P94" s="2658"/>
      <c r="Q94" s="2658"/>
      <c r="R94" s="2660"/>
    </row>
    <row r="95" spans="2:18" s="2224" customFormat="1">
      <c r="B95" s="2658"/>
      <c r="C95" s="2658"/>
      <c r="D95" s="2658"/>
      <c r="E95" s="2658"/>
      <c r="F95" s="2658"/>
      <c r="G95" s="2659"/>
      <c r="H95" s="2658"/>
      <c r="I95" s="2659"/>
      <c r="J95" s="2658"/>
      <c r="K95" s="2658"/>
      <c r="L95" s="2659"/>
      <c r="M95" s="2658"/>
      <c r="N95" s="2658"/>
      <c r="O95" s="2659"/>
      <c r="P95" s="2658"/>
      <c r="Q95" s="2658"/>
      <c r="R95" s="2660"/>
    </row>
    <row r="96" spans="2:18" s="2224" customFormat="1">
      <c r="B96" s="2658"/>
      <c r="C96" s="2658"/>
      <c r="D96" s="2658"/>
      <c r="E96" s="2658"/>
      <c r="F96" s="2658"/>
      <c r="G96" s="2659"/>
      <c r="H96" s="2658"/>
      <c r="I96" s="2659"/>
      <c r="J96" s="2658"/>
      <c r="K96" s="2658"/>
      <c r="L96" s="2659"/>
      <c r="M96" s="2658"/>
      <c r="N96" s="2658"/>
      <c r="O96" s="2659"/>
      <c r="P96" s="2658"/>
      <c r="Q96" s="2658"/>
      <c r="R96" s="2660"/>
    </row>
    <row r="97" spans="2:18" s="2224" customFormat="1">
      <c r="B97" s="2658"/>
      <c r="C97" s="2658"/>
      <c r="D97" s="2658"/>
      <c r="E97" s="2658"/>
      <c r="F97" s="2658"/>
      <c r="G97" s="2659"/>
      <c r="H97" s="2658"/>
      <c r="I97" s="2659"/>
      <c r="J97" s="2658"/>
      <c r="K97" s="2658"/>
      <c r="L97" s="2659"/>
      <c r="M97" s="2658"/>
      <c r="N97" s="2658"/>
      <c r="O97" s="2659"/>
      <c r="P97" s="2658"/>
      <c r="Q97" s="2658"/>
      <c r="R97" s="2660"/>
    </row>
    <row r="98" spans="2:18" s="2224" customFormat="1">
      <c r="B98" s="2658"/>
      <c r="C98" s="2658"/>
      <c r="D98" s="2658"/>
      <c r="E98" s="2658"/>
      <c r="F98" s="2658"/>
      <c r="G98" s="2659"/>
      <c r="H98" s="2658"/>
      <c r="I98" s="2659"/>
      <c r="J98" s="2658"/>
      <c r="K98" s="2658"/>
      <c r="L98" s="2659"/>
      <c r="M98" s="2658"/>
      <c r="N98" s="2658"/>
      <c r="O98" s="2659"/>
      <c r="P98" s="2658"/>
      <c r="Q98" s="2658"/>
      <c r="R98" s="2660"/>
    </row>
    <row r="99" spans="2:18" s="2224" customFormat="1">
      <c r="B99" s="2658"/>
      <c r="C99" s="2658"/>
      <c r="D99" s="2658"/>
      <c r="E99" s="2658"/>
      <c r="F99" s="2658"/>
      <c r="G99" s="2659"/>
      <c r="H99" s="2658"/>
      <c r="I99" s="2659"/>
      <c r="J99" s="2658"/>
      <c r="K99" s="2658"/>
      <c r="L99" s="2659"/>
      <c r="M99" s="2658"/>
      <c r="N99" s="2658"/>
      <c r="O99" s="2659"/>
      <c r="P99" s="2658"/>
      <c r="Q99" s="2658"/>
      <c r="R99" s="2660"/>
    </row>
    <row r="100" spans="2:18" s="2224" customFormat="1">
      <c r="B100" s="2658"/>
      <c r="C100" s="2658"/>
      <c r="D100" s="2658"/>
      <c r="E100" s="2658"/>
      <c r="F100" s="2658"/>
      <c r="G100" s="2659"/>
      <c r="H100" s="2658"/>
      <c r="I100" s="2659"/>
      <c r="J100" s="2658"/>
      <c r="K100" s="2658"/>
      <c r="L100" s="2659"/>
      <c r="M100" s="2658"/>
      <c r="N100" s="2658"/>
      <c r="O100" s="2659"/>
      <c r="P100" s="2658"/>
      <c r="Q100" s="2658"/>
      <c r="R100" s="2660"/>
    </row>
    <row r="101" spans="2:18" s="2224" customFormat="1">
      <c r="B101" s="2658"/>
      <c r="C101" s="2658"/>
      <c r="D101" s="2658"/>
      <c r="E101" s="2658"/>
      <c r="F101" s="2658"/>
      <c r="G101" s="2659"/>
      <c r="H101" s="2658"/>
      <c r="I101" s="2659"/>
      <c r="J101" s="2658"/>
      <c r="K101" s="2658"/>
      <c r="L101" s="2659"/>
      <c r="M101" s="2658"/>
      <c r="N101" s="2658"/>
      <c r="O101" s="2659"/>
      <c r="P101" s="2658"/>
      <c r="Q101" s="2658"/>
      <c r="R101" s="2660"/>
    </row>
    <row r="102" spans="2:18" s="2224" customFormat="1">
      <c r="B102" s="2658"/>
      <c r="C102" s="2658"/>
      <c r="D102" s="2658"/>
      <c r="E102" s="2658"/>
      <c r="F102" s="2658"/>
      <c r="G102" s="2659"/>
      <c r="H102" s="2658"/>
      <c r="I102" s="2659"/>
      <c r="J102" s="2658"/>
      <c r="K102" s="2658"/>
      <c r="L102" s="2659"/>
      <c r="M102" s="2658"/>
      <c r="N102" s="2658"/>
      <c r="O102" s="2659"/>
      <c r="P102" s="2658"/>
      <c r="Q102" s="2658"/>
      <c r="R102" s="2660"/>
    </row>
    <row r="103" spans="2:18" s="2224" customFormat="1">
      <c r="B103" s="2658"/>
      <c r="C103" s="2658"/>
      <c r="D103" s="2658"/>
      <c r="E103" s="2658"/>
      <c r="F103" s="2658"/>
      <c r="G103" s="2659"/>
      <c r="H103" s="2658"/>
      <c r="I103" s="2659"/>
      <c r="J103" s="2658"/>
      <c r="K103" s="2658"/>
      <c r="L103" s="2659"/>
      <c r="M103" s="2658"/>
      <c r="N103" s="2658"/>
      <c r="O103" s="2659"/>
      <c r="P103" s="2658"/>
      <c r="Q103" s="2658"/>
      <c r="R103" s="2660"/>
    </row>
    <row r="104" spans="2:18" s="2224" customFormat="1">
      <c r="B104" s="2658"/>
      <c r="C104" s="2658"/>
      <c r="D104" s="2658"/>
      <c r="E104" s="2658"/>
      <c r="F104" s="2658"/>
      <c r="G104" s="2659"/>
      <c r="H104" s="2658"/>
      <c r="I104" s="2659"/>
      <c r="J104" s="2658"/>
      <c r="K104" s="2658"/>
      <c r="L104" s="2659"/>
      <c r="M104" s="2658"/>
      <c r="N104" s="2658"/>
      <c r="O104" s="2659"/>
      <c r="P104" s="2658"/>
      <c r="Q104" s="2658"/>
      <c r="R104" s="2660"/>
    </row>
    <row r="105" spans="2:18" s="2224" customFormat="1">
      <c r="B105" s="2658"/>
      <c r="C105" s="2658"/>
      <c r="D105" s="2658"/>
      <c r="E105" s="2658"/>
      <c r="F105" s="2658"/>
      <c r="G105" s="2659"/>
      <c r="H105" s="2658"/>
      <c r="I105" s="2659"/>
      <c r="J105" s="2658"/>
      <c r="K105" s="2658"/>
      <c r="L105" s="2659"/>
      <c r="M105" s="2658"/>
      <c r="N105" s="2658"/>
      <c r="O105" s="2659"/>
      <c r="P105" s="2658"/>
      <c r="Q105" s="2658"/>
      <c r="R105" s="2660"/>
    </row>
    <row r="106" spans="2:18" s="2224" customFormat="1">
      <c r="B106" s="2658"/>
      <c r="C106" s="2658"/>
      <c r="D106" s="2658"/>
      <c r="E106" s="2658"/>
      <c r="F106" s="2658"/>
      <c r="G106" s="2659"/>
      <c r="H106" s="2658"/>
      <c r="I106" s="2659"/>
      <c r="J106" s="2658"/>
      <c r="K106" s="2658"/>
      <c r="L106" s="2659"/>
      <c r="M106" s="2658"/>
      <c r="N106" s="2658"/>
      <c r="O106" s="2659"/>
      <c r="P106" s="2658"/>
      <c r="Q106" s="2658"/>
      <c r="R106" s="2660"/>
    </row>
    <row r="107" spans="2:18" s="2224" customFormat="1">
      <c r="B107" s="2658"/>
      <c r="C107" s="2658"/>
      <c r="D107" s="2658"/>
      <c r="E107" s="2658"/>
      <c r="F107" s="2658"/>
      <c r="G107" s="2659"/>
      <c r="H107" s="2658"/>
      <c r="I107" s="2659"/>
      <c r="J107" s="2658"/>
      <c r="K107" s="2658"/>
      <c r="L107" s="2659"/>
      <c r="M107" s="2658"/>
      <c r="N107" s="2658"/>
      <c r="O107" s="2659"/>
      <c r="P107" s="2658"/>
      <c r="Q107" s="2658"/>
      <c r="R107" s="2660"/>
    </row>
    <row r="108" spans="2:18" s="2224" customFormat="1">
      <c r="B108" s="2658"/>
      <c r="C108" s="2658"/>
      <c r="D108" s="2658"/>
      <c r="E108" s="2658"/>
      <c r="F108" s="2658"/>
      <c r="G108" s="2659"/>
      <c r="H108" s="2658"/>
      <c r="I108" s="2659"/>
      <c r="J108" s="2658"/>
      <c r="K108" s="2658"/>
      <c r="L108" s="2659"/>
      <c r="M108" s="2658"/>
      <c r="N108" s="2658"/>
      <c r="O108" s="2659"/>
      <c r="P108" s="2658"/>
      <c r="Q108" s="2658"/>
      <c r="R108" s="2660"/>
    </row>
    <row r="109" spans="2:18" s="2224" customFormat="1">
      <c r="B109" s="2658"/>
      <c r="C109" s="2658"/>
      <c r="D109" s="2658"/>
      <c r="E109" s="2658"/>
      <c r="F109" s="2658"/>
      <c r="G109" s="2659"/>
      <c r="H109" s="2658"/>
      <c r="I109" s="2659"/>
      <c r="J109" s="2658"/>
      <c r="K109" s="2658"/>
      <c r="L109" s="2659"/>
      <c r="M109" s="2658"/>
      <c r="N109" s="2658"/>
      <c r="O109" s="2659"/>
      <c r="P109" s="2658"/>
      <c r="Q109" s="2658"/>
      <c r="R109" s="2660"/>
    </row>
    <row r="110" spans="2:18" s="2224" customFormat="1">
      <c r="B110" s="2658"/>
      <c r="C110" s="2658"/>
      <c r="D110" s="2658"/>
      <c r="E110" s="2658"/>
      <c r="F110" s="2658"/>
      <c r="G110" s="2659"/>
      <c r="H110" s="2658"/>
      <c r="I110" s="2659"/>
      <c r="J110" s="2658"/>
      <c r="K110" s="2658"/>
      <c r="L110" s="2659"/>
      <c r="M110" s="2658"/>
      <c r="N110" s="2658"/>
      <c r="O110" s="2659"/>
      <c r="P110" s="2658"/>
      <c r="Q110" s="2658"/>
      <c r="R110" s="2660"/>
    </row>
    <row r="111" spans="2:18" s="2224" customFormat="1">
      <c r="B111" s="2658"/>
      <c r="C111" s="2658"/>
      <c r="D111" s="2658"/>
      <c r="E111" s="2658"/>
      <c r="F111" s="2658"/>
      <c r="G111" s="2659"/>
      <c r="H111" s="2658"/>
      <c r="I111" s="2659"/>
      <c r="J111" s="2658"/>
      <c r="K111" s="2658"/>
      <c r="L111" s="2659"/>
      <c r="M111" s="2658"/>
      <c r="N111" s="2658"/>
      <c r="O111" s="2659"/>
      <c r="P111" s="2658"/>
      <c r="Q111" s="2658"/>
      <c r="R111" s="2660"/>
    </row>
    <row r="112" spans="2:18" s="2224" customFormat="1">
      <c r="B112" s="2658"/>
      <c r="C112" s="2658"/>
      <c r="D112" s="2658"/>
      <c r="E112" s="2658"/>
      <c r="F112" s="2658"/>
      <c r="G112" s="2659"/>
      <c r="H112" s="2658"/>
      <c r="I112" s="2659"/>
      <c r="J112" s="2658"/>
      <c r="K112" s="2658"/>
      <c r="L112" s="2659"/>
      <c r="M112" s="2658"/>
      <c r="N112" s="2658"/>
      <c r="O112" s="2659"/>
      <c r="P112" s="2658"/>
      <c r="Q112" s="2658"/>
      <c r="R112" s="2660"/>
    </row>
    <row r="113" spans="2:18" s="2224" customFormat="1">
      <c r="B113" s="2658"/>
      <c r="C113" s="2658"/>
      <c r="D113" s="2658"/>
      <c r="E113" s="2658"/>
      <c r="F113" s="2658"/>
      <c r="G113" s="2659"/>
      <c r="H113" s="2658"/>
      <c r="I113" s="2659"/>
      <c r="J113" s="2658"/>
      <c r="K113" s="2658"/>
      <c r="L113" s="2659"/>
      <c r="M113" s="2658"/>
      <c r="N113" s="2658"/>
      <c r="O113" s="2659"/>
      <c r="P113" s="2658"/>
      <c r="Q113" s="2658"/>
      <c r="R113" s="2660"/>
    </row>
    <row r="114" spans="2:18" s="2224" customFormat="1">
      <c r="B114" s="2658"/>
      <c r="C114" s="2658"/>
      <c r="D114" s="2658"/>
      <c r="E114" s="2658"/>
      <c r="F114" s="2658"/>
      <c r="G114" s="2659"/>
      <c r="H114" s="2658"/>
      <c r="I114" s="2659"/>
      <c r="J114" s="2658"/>
      <c r="K114" s="2658"/>
      <c r="L114" s="2659"/>
      <c r="M114" s="2658"/>
      <c r="N114" s="2658"/>
      <c r="O114" s="2659"/>
      <c r="P114" s="2658"/>
      <c r="Q114" s="2658"/>
      <c r="R114" s="2660"/>
    </row>
    <row r="115" spans="2:18" s="2224" customFormat="1">
      <c r="B115" s="2658"/>
      <c r="C115" s="2658"/>
      <c r="D115" s="2658"/>
      <c r="E115" s="2658"/>
      <c r="F115" s="2658"/>
      <c r="G115" s="2659"/>
      <c r="H115" s="2658"/>
      <c r="I115" s="2659"/>
      <c r="J115" s="2658"/>
      <c r="K115" s="2658"/>
      <c r="L115" s="2659"/>
      <c r="M115" s="2658"/>
      <c r="N115" s="2658"/>
      <c r="O115" s="2659"/>
      <c r="P115" s="2658"/>
      <c r="Q115" s="2658"/>
      <c r="R115" s="2660"/>
    </row>
    <row r="116" spans="2:18" s="2224" customFormat="1">
      <c r="B116" s="2658"/>
      <c r="C116" s="2658"/>
      <c r="D116" s="2658"/>
      <c r="E116" s="2658"/>
      <c r="F116" s="2658"/>
      <c r="G116" s="2659"/>
      <c r="H116" s="2658"/>
      <c r="I116" s="2659"/>
      <c r="J116" s="2658"/>
      <c r="K116" s="2658"/>
      <c r="L116" s="2659"/>
      <c r="M116" s="2658"/>
      <c r="N116" s="2658"/>
      <c r="O116" s="2659"/>
      <c r="P116" s="2658"/>
      <c r="Q116" s="2658"/>
      <c r="R116" s="2660"/>
    </row>
    <row r="117" spans="2:18" s="2224" customFormat="1">
      <c r="B117" s="2658"/>
      <c r="C117" s="2658"/>
      <c r="D117" s="2658"/>
      <c r="E117" s="2658"/>
      <c r="F117" s="2658"/>
      <c r="G117" s="2659"/>
      <c r="H117" s="2658"/>
      <c r="I117" s="2659"/>
      <c r="J117" s="2658"/>
      <c r="K117" s="2658"/>
      <c r="L117" s="2659"/>
      <c r="M117" s="2658"/>
      <c r="N117" s="2658"/>
      <c r="O117" s="2659"/>
      <c r="P117" s="2658"/>
      <c r="Q117" s="2658"/>
      <c r="R117" s="2660"/>
    </row>
    <row r="118" spans="2:18" s="2224" customFormat="1">
      <c r="B118" s="2658"/>
      <c r="C118" s="2658"/>
      <c r="D118" s="2658"/>
      <c r="E118" s="2658"/>
      <c r="F118" s="2658"/>
      <c r="G118" s="2659"/>
      <c r="H118" s="2658"/>
      <c r="I118" s="2659"/>
      <c r="J118" s="2658"/>
      <c r="K118" s="2658"/>
      <c r="L118" s="2659"/>
      <c r="M118" s="2658"/>
      <c r="N118" s="2658"/>
      <c r="O118" s="2659"/>
      <c r="P118" s="2658"/>
      <c r="Q118" s="2658"/>
      <c r="R118" s="2660"/>
    </row>
    <row r="119" spans="2:18" s="2224" customFormat="1">
      <c r="B119" s="2658"/>
      <c r="C119" s="2658"/>
      <c r="D119" s="2658"/>
      <c r="E119" s="2658"/>
      <c r="F119" s="2658"/>
      <c r="G119" s="2659"/>
      <c r="H119" s="2658"/>
      <c r="I119" s="2659"/>
      <c r="J119" s="2658"/>
      <c r="K119" s="2658"/>
      <c r="L119" s="2659"/>
      <c r="M119" s="2658"/>
      <c r="N119" s="2658"/>
      <c r="O119" s="2659"/>
      <c r="P119" s="2658"/>
      <c r="Q119" s="2658"/>
      <c r="R119" s="2660"/>
    </row>
    <row r="120" spans="2:18" s="2224" customFormat="1">
      <c r="B120" s="2658"/>
      <c r="C120" s="2658"/>
      <c r="D120" s="2658"/>
      <c r="E120" s="2658"/>
      <c r="F120" s="2658"/>
      <c r="G120" s="2659"/>
      <c r="H120" s="2658"/>
      <c r="I120" s="2659"/>
      <c r="J120" s="2658"/>
      <c r="K120" s="2658"/>
      <c r="L120" s="2659"/>
      <c r="M120" s="2658"/>
      <c r="N120" s="2658"/>
      <c r="O120" s="2659"/>
      <c r="P120" s="2658"/>
      <c r="Q120" s="2658"/>
      <c r="R120" s="2660"/>
    </row>
    <row r="121" spans="2:18" s="2224" customFormat="1">
      <c r="B121" s="2658"/>
      <c r="C121" s="2658"/>
      <c r="D121" s="2658"/>
      <c r="E121" s="2658"/>
      <c r="F121" s="2658"/>
      <c r="G121" s="2659"/>
      <c r="H121" s="2658"/>
      <c r="I121" s="2659"/>
      <c r="J121" s="2658"/>
      <c r="K121" s="2658"/>
      <c r="L121" s="2659"/>
      <c r="M121" s="2658"/>
      <c r="N121" s="2658"/>
      <c r="O121" s="2659"/>
      <c r="P121" s="2658"/>
      <c r="Q121" s="2658"/>
      <c r="R121" s="2660"/>
    </row>
    <row r="122" spans="2:18" s="2224" customFormat="1">
      <c r="B122" s="2658"/>
      <c r="C122" s="2658"/>
      <c r="D122" s="2658"/>
      <c r="E122" s="2658"/>
      <c r="F122" s="2658"/>
      <c r="G122" s="2659"/>
      <c r="H122" s="2658"/>
      <c r="I122" s="2659"/>
      <c r="J122" s="2658"/>
      <c r="K122" s="2658"/>
      <c r="L122" s="2659"/>
      <c r="M122" s="2658"/>
      <c r="N122" s="2658"/>
      <c r="O122" s="2659"/>
      <c r="P122" s="2658"/>
      <c r="Q122" s="2658"/>
      <c r="R122" s="2660"/>
    </row>
    <row r="123" spans="2:18" s="2224" customFormat="1">
      <c r="B123" s="2658"/>
      <c r="C123" s="2658"/>
      <c r="D123" s="2658"/>
      <c r="E123" s="2658"/>
      <c r="F123" s="2658"/>
      <c r="G123" s="2659"/>
      <c r="H123" s="2658"/>
      <c r="I123" s="2659"/>
      <c r="J123" s="2658"/>
      <c r="K123" s="2658"/>
      <c r="L123" s="2659"/>
      <c r="M123" s="2658"/>
      <c r="N123" s="2658"/>
      <c r="O123" s="2659"/>
      <c r="P123" s="2658"/>
      <c r="Q123" s="2658"/>
      <c r="R123" s="2660"/>
    </row>
    <row r="124" spans="2:18" s="2224" customFormat="1">
      <c r="B124" s="2658"/>
      <c r="C124" s="2658"/>
      <c r="D124" s="2658"/>
      <c r="E124" s="2658"/>
      <c r="F124" s="2658"/>
      <c r="G124" s="2659"/>
      <c r="H124" s="2658"/>
      <c r="I124" s="2659"/>
      <c r="J124" s="2658"/>
      <c r="K124" s="2658"/>
      <c r="L124" s="2659"/>
      <c r="M124" s="2658"/>
      <c r="N124" s="2658"/>
      <c r="O124" s="2659"/>
      <c r="P124" s="2658"/>
      <c r="Q124" s="2658"/>
      <c r="R124" s="2660"/>
    </row>
    <row r="125" spans="2:18" s="2224" customFormat="1">
      <c r="B125" s="2658"/>
      <c r="C125" s="2658"/>
      <c r="D125" s="2658"/>
      <c r="E125" s="2658"/>
      <c r="F125" s="2658"/>
      <c r="G125" s="2659"/>
      <c r="H125" s="2658"/>
      <c r="I125" s="2659"/>
      <c r="J125" s="2658"/>
      <c r="K125" s="2658"/>
      <c r="L125" s="2659"/>
      <c r="M125" s="2658"/>
      <c r="N125" s="2658"/>
      <c r="O125" s="2659"/>
      <c r="P125" s="2658"/>
      <c r="Q125" s="2658"/>
      <c r="R125" s="2660"/>
    </row>
    <row r="126" spans="2:18" s="2224" customFormat="1">
      <c r="B126" s="2658"/>
      <c r="C126" s="2658"/>
      <c r="D126" s="2658"/>
      <c r="E126" s="2658"/>
      <c r="F126" s="2658"/>
      <c r="G126" s="2659"/>
      <c r="H126" s="2658"/>
      <c r="I126" s="2659"/>
      <c r="J126" s="2658"/>
      <c r="K126" s="2658"/>
      <c r="L126" s="2659"/>
      <c r="M126" s="2658"/>
      <c r="N126" s="2658"/>
      <c r="O126" s="2659"/>
      <c r="P126" s="2658"/>
      <c r="Q126" s="2658"/>
      <c r="R126" s="2660"/>
    </row>
    <row r="127" spans="2:18" s="2224" customFormat="1">
      <c r="B127" s="2658"/>
      <c r="C127" s="2658"/>
      <c r="D127" s="2658"/>
      <c r="E127" s="2658"/>
      <c r="F127" s="2658"/>
      <c r="G127" s="2659"/>
      <c r="H127" s="2658"/>
      <c r="I127" s="2659"/>
      <c r="J127" s="2658"/>
      <c r="K127" s="2658"/>
      <c r="L127" s="2659"/>
      <c r="M127" s="2658"/>
      <c r="N127" s="2658"/>
      <c r="O127" s="2659"/>
      <c r="P127" s="2658"/>
      <c r="Q127" s="2658"/>
      <c r="R127" s="2660"/>
    </row>
    <row r="128" spans="2:18" s="2224" customFormat="1">
      <c r="B128" s="2658"/>
      <c r="C128" s="2658"/>
      <c r="D128" s="2658"/>
      <c r="E128" s="2658"/>
      <c r="F128" s="2658"/>
      <c r="G128" s="2659"/>
      <c r="H128" s="2658"/>
      <c r="I128" s="2659"/>
      <c r="J128" s="2658"/>
      <c r="K128" s="2658"/>
      <c r="L128" s="2659"/>
      <c r="M128" s="2658"/>
      <c r="N128" s="2658"/>
      <c r="O128" s="2659"/>
      <c r="P128" s="2658"/>
      <c r="Q128" s="2658"/>
      <c r="R128" s="2660"/>
    </row>
    <row r="129" spans="2:18" s="2224" customFormat="1">
      <c r="B129" s="2658"/>
      <c r="C129" s="2658"/>
      <c r="D129" s="2658"/>
      <c r="E129" s="2658"/>
      <c r="F129" s="2658"/>
      <c r="G129" s="2659"/>
      <c r="H129" s="2658"/>
      <c r="I129" s="2659"/>
      <c r="J129" s="2658"/>
      <c r="K129" s="2658"/>
      <c r="L129" s="2659"/>
      <c r="M129" s="2658"/>
      <c r="N129" s="2658"/>
      <c r="O129" s="2659"/>
      <c r="P129" s="2658"/>
      <c r="Q129" s="2658"/>
      <c r="R129" s="2660"/>
    </row>
    <row r="130" spans="2:18" s="2224" customFormat="1">
      <c r="B130" s="2658"/>
      <c r="C130" s="2658"/>
      <c r="D130" s="2658"/>
      <c r="E130" s="2658"/>
      <c r="F130" s="2658"/>
      <c r="G130" s="2659"/>
      <c r="H130" s="2658"/>
      <c r="I130" s="2659"/>
      <c r="J130" s="2658"/>
      <c r="K130" s="2658"/>
      <c r="L130" s="2659"/>
      <c r="M130" s="2658"/>
      <c r="N130" s="2658"/>
      <c r="O130" s="2659"/>
      <c r="P130" s="2658"/>
      <c r="Q130" s="2658"/>
      <c r="R130" s="2660"/>
    </row>
    <row r="131" spans="2:18" s="2224" customFormat="1">
      <c r="B131" s="2658"/>
      <c r="C131" s="2658"/>
      <c r="D131" s="2658"/>
      <c r="E131" s="2658"/>
      <c r="F131" s="2658"/>
      <c r="G131" s="2659"/>
      <c r="H131" s="2658"/>
      <c r="I131" s="2659"/>
      <c r="J131" s="2658"/>
      <c r="K131" s="2658"/>
      <c r="L131" s="2659"/>
      <c r="M131" s="2658"/>
      <c r="N131" s="2658"/>
      <c r="O131" s="2659"/>
      <c r="P131" s="2658"/>
      <c r="Q131" s="2658"/>
      <c r="R131" s="2660"/>
    </row>
    <row r="132" spans="2:18" s="2224" customFormat="1">
      <c r="B132" s="2658"/>
      <c r="C132" s="2658"/>
      <c r="D132" s="2658"/>
      <c r="E132" s="2658"/>
      <c r="F132" s="2658"/>
      <c r="G132" s="2659"/>
      <c r="H132" s="2658"/>
      <c r="I132" s="2659"/>
      <c r="J132" s="2658"/>
      <c r="K132" s="2658"/>
      <c r="L132" s="2659"/>
      <c r="M132" s="2658"/>
      <c r="N132" s="2658"/>
      <c r="O132" s="2659"/>
      <c r="P132" s="2658"/>
      <c r="Q132" s="2658"/>
      <c r="R132" s="2660"/>
    </row>
    <row r="133" spans="2:18" s="2224" customFormat="1">
      <c r="B133" s="2658"/>
      <c r="C133" s="2658"/>
      <c r="D133" s="2658"/>
      <c r="E133" s="2658"/>
      <c r="F133" s="2658"/>
      <c r="G133" s="2659"/>
      <c r="H133" s="2658"/>
      <c r="I133" s="2659"/>
      <c r="J133" s="2658"/>
      <c r="K133" s="2658"/>
      <c r="L133" s="2659"/>
      <c r="M133" s="2658"/>
      <c r="N133" s="2658"/>
      <c r="O133" s="2659"/>
      <c r="P133" s="2658"/>
      <c r="Q133" s="2658"/>
      <c r="R133" s="2660"/>
    </row>
    <row r="134" spans="2:18" s="2224" customFormat="1">
      <c r="B134" s="2658"/>
      <c r="C134" s="2658"/>
      <c r="D134" s="2658"/>
      <c r="E134" s="2658"/>
      <c r="F134" s="2658"/>
      <c r="G134" s="2659"/>
      <c r="H134" s="2658"/>
      <c r="I134" s="2659"/>
      <c r="J134" s="2658"/>
      <c r="K134" s="2658"/>
      <c r="L134" s="2659"/>
      <c r="M134" s="2658"/>
      <c r="N134" s="2658"/>
      <c r="O134" s="2659"/>
      <c r="P134" s="2658"/>
      <c r="Q134" s="2658"/>
      <c r="R134" s="2660"/>
    </row>
    <row r="135" spans="2:18" s="2224" customFormat="1">
      <c r="B135" s="2658"/>
      <c r="C135" s="2658"/>
      <c r="D135" s="2658"/>
      <c r="E135" s="2658"/>
      <c r="F135" s="2658"/>
      <c r="G135" s="2659"/>
      <c r="H135" s="2658"/>
      <c r="I135" s="2659"/>
      <c r="J135" s="2658"/>
      <c r="K135" s="2658"/>
      <c r="L135" s="2659"/>
      <c r="M135" s="2658"/>
      <c r="N135" s="2658"/>
      <c r="O135" s="2659"/>
      <c r="P135" s="2658"/>
      <c r="Q135" s="2658"/>
      <c r="R135" s="2660"/>
    </row>
    <row r="136" spans="2:18" s="2224" customFormat="1">
      <c r="B136" s="2658"/>
      <c r="C136" s="2658"/>
      <c r="D136" s="2658"/>
      <c r="E136" s="2658"/>
      <c r="F136" s="2658"/>
      <c r="G136" s="2659"/>
      <c r="H136" s="2658"/>
      <c r="I136" s="2659"/>
      <c r="J136" s="2658"/>
      <c r="K136" s="2658"/>
      <c r="L136" s="2659"/>
      <c r="M136" s="2658"/>
      <c r="N136" s="2658"/>
      <c r="O136" s="2659"/>
      <c r="P136" s="2658"/>
      <c r="Q136" s="2658"/>
      <c r="R136" s="2660"/>
    </row>
    <row r="137" spans="2:18" s="2224" customFormat="1">
      <c r="B137" s="2658"/>
      <c r="C137" s="2658"/>
      <c r="D137" s="2658"/>
      <c r="E137" s="2658"/>
      <c r="F137" s="2658"/>
      <c r="G137" s="2659"/>
      <c r="H137" s="2658"/>
      <c r="I137" s="2659"/>
      <c r="J137" s="2658"/>
      <c r="K137" s="2658"/>
      <c r="L137" s="2659"/>
      <c r="M137" s="2658"/>
      <c r="N137" s="2658"/>
      <c r="O137" s="2659"/>
      <c r="P137" s="2658"/>
      <c r="Q137" s="2658"/>
      <c r="R137" s="2660"/>
    </row>
    <row r="138" spans="2:18" s="2224" customFormat="1">
      <c r="B138" s="2658"/>
      <c r="C138" s="2658"/>
      <c r="D138" s="2658"/>
      <c r="E138" s="2658"/>
      <c r="F138" s="2658"/>
      <c r="G138" s="2659"/>
      <c r="H138" s="2658"/>
      <c r="I138" s="2659"/>
      <c r="J138" s="2658"/>
      <c r="K138" s="2658"/>
      <c r="L138" s="2659"/>
      <c r="M138" s="2658"/>
      <c r="N138" s="2658"/>
      <c r="O138" s="2659"/>
      <c r="P138" s="2658"/>
      <c r="Q138" s="2658"/>
      <c r="R138" s="2660"/>
    </row>
    <row r="139" spans="2:18" s="2224" customFormat="1">
      <c r="B139" s="2658"/>
      <c r="C139" s="2658"/>
      <c r="D139" s="2658"/>
      <c r="E139" s="2658"/>
      <c r="F139" s="2658"/>
      <c r="G139" s="2659"/>
      <c r="H139" s="2658"/>
      <c r="I139" s="2659"/>
      <c r="J139" s="2658"/>
      <c r="K139" s="2658"/>
      <c r="L139" s="2659"/>
      <c r="M139" s="2658"/>
      <c r="N139" s="2658"/>
      <c r="O139" s="2659"/>
      <c r="P139" s="2658"/>
      <c r="Q139" s="2658"/>
      <c r="R139" s="2660"/>
    </row>
    <row r="140" spans="2:18" s="2224" customFormat="1">
      <c r="B140" s="2658"/>
      <c r="C140" s="2658"/>
      <c r="D140" s="2658"/>
      <c r="E140" s="2658"/>
      <c r="F140" s="2658"/>
      <c r="G140" s="2659"/>
      <c r="H140" s="2658"/>
      <c r="I140" s="2659"/>
      <c r="J140" s="2658"/>
      <c r="K140" s="2658"/>
      <c r="L140" s="2659"/>
      <c r="M140" s="2658"/>
      <c r="N140" s="2658"/>
      <c r="O140" s="2659"/>
      <c r="P140" s="2658"/>
      <c r="Q140" s="2658"/>
      <c r="R140" s="2660"/>
    </row>
    <row r="141" spans="2:18" s="2224" customFormat="1">
      <c r="B141" s="2658"/>
      <c r="C141" s="2658"/>
      <c r="D141" s="2658"/>
      <c r="E141" s="2658"/>
      <c r="F141" s="2658"/>
      <c r="G141" s="2659"/>
      <c r="H141" s="2658"/>
      <c r="I141" s="2659"/>
      <c r="J141" s="2658"/>
      <c r="K141" s="2658"/>
      <c r="L141" s="2659"/>
      <c r="M141" s="2658"/>
      <c r="N141" s="2658"/>
      <c r="O141" s="2659"/>
      <c r="P141" s="2658"/>
      <c r="Q141" s="2658"/>
      <c r="R141" s="2660"/>
    </row>
    <row r="142" spans="2:18" s="2224" customFormat="1">
      <c r="B142" s="2658"/>
      <c r="C142" s="2658"/>
      <c r="D142" s="2658"/>
      <c r="E142" s="2658"/>
      <c r="F142" s="2658"/>
      <c r="G142" s="2659"/>
      <c r="H142" s="2658"/>
      <c r="I142" s="2659"/>
      <c r="J142" s="2658"/>
      <c r="K142" s="2658"/>
      <c r="L142" s="2659"/>
      <c r="M142" s="2658"/>
      <c r="N142" s="2658"/>
      <c r="O142" s="2659"/>
      <c r="P142" s="2658"/>
      <c r="Q142" s="2658"/>
      <c r="R142" s="2660"/>
    </row>
    <row r="143" spans="2:18" s="2224" customFormat="1">
      <c r="B143" s="2658"/>
      <c r="C143" s="2658"/>
      <c r="D143" s="2658"/>
      <c r="E143" s="2658"/>
      <c r="F143" s="2658"/>
      <c r="G143" s="2659"/>
      <c r="H143" s="2658"/>
      <c r="I143" s="2659"/>
      <c r="J143" s="2658"/>
      <c r="K143" s="2658"/>
      <c r="L143" s="2659"/>
      <c r="M143" s="2658"/>
      <c r="N143" s="2658"/>
      <c r="O143" s="2659"/>
      <c r="P143" s="2658"/>
      <c r="Q143" s="2658"/>
      <c r="R143" s="2660"/>
    </row>
    <row r="144" spans="2:18" s="2224" customFormat="1">
      <c r="B144" s="2658"/>
      <c r="C144" s="2658"/>
      <c r="D144" s="2658"/>
      <c r="E144" s="2658"/>
      <c r="F144" s="2658"/>
      <c r="G144" s="2659"/>
      <c r="H144" s="2658"/>
      <c r="I144" s="2659"/>
      <c r="J144" s="2658"/>
      <c r="K144" s="2658"/>
      <c r="L144" s="2659"/>
      <c r="M144" s="2658"/>
      <c r="N144" s="2658"/>
      <c r="O144" s="2659"/>
      <c r="P144" s="2658"/>
      <c r="Q144" s="2658"/>
      <c r="R144" s="2660"/>
    </row>
    <row r="145" spans="2:18" s="2224" customFormat="1">
      <c r="B145" s="2658"/>
      <c r="C145" s="2658"/>
      <c r="D145" s="2658"/>
      <c r="E145" s="2658"/>
      <c r="F145" s="2658"/>
      <c r="G145" s="2659"/>
      <c r="H145" s="2658"/>
      <c r="I145" s="2659"/>
      <c r="J145" s="2658"/>
      <c r="K145" s="2658"/>
      <c r="L145" s="2659"/>
      <c r="M145" s="2658"/>
      <c r="N145" s="2658"/>
      <c r="O145" s="2659"/>
      <c r="P145" s="2658"/>
      <c r="Q145" s="2658"/>
      <c r="R145" s="2660"/>
    </row>
    <row r="146" spans="2:18" s="2224" customFormat="1">
      <c r="B146" s="2658"/>
      <c r="C146" s="2658"/>
      <c r="D146" s="2658"/>
      <c r="E146" s="2658"/>
      <c r="F146" s="2658"/>
      <c r="G146" s="2659"/>
      <c r="H146" s="2658"/>
      <c r="I146" s="2659"/>
      <c r="J146" s="2658"/>
      <c r="K146" s="2658"/>
      <c r="L146" s="2659"/>
      <c r="M146" s="2658"/>
      <c r="N146" s="2658"/>
      <c r="O146" s="2659"/>
      <c r="P146" s="2658"/>
      <c r="Q146" s="2658"/>
      <c r="R146" s="2660"/>
    </row>
    <row r="147" spans="2:18" s="2224" customFormat="1">
      <c r="B147" s="2658"/>
      <c r="C147" s="2658"/>
      <c r="D147" s="2658"/>
      <c r="E147" s="2658"/>
      <c r="F147" s="2658"/>
      <c r="G147" s="2659"/>
      <c r="H147" s="2658"/>
      <c r="I147" s="2659"/>
      <c r="J147" s="2658"/>
      <c r="K147" s="2658"/>
      <c r="L147" s="2659"/>
      <c r="M147" s="2658"/>
      <c r="N147" s="2658"/>
      <c r="O147" s="2659"/>
      <c r="P147" s="2658"/>
      <c r="Q147" s="2658"/>
      <c r="R147" s="2660"/>
    </row>
    <row r="148" spans="2:18" s="2224" customFormat="1">
      <c r="B148" s="2658"/>
      <c r="C148" s="2658"/>
      <c r="D148" s="2658"/>
      <c r="E148" s="2658"/>
      <c r="F148" s="2658"/>
      <c r="G148" s="2659"/>
      <c r="H148" s="2658"/>
      <c r="I148" s="2659"/>
      <c r="J148" s="2658"/>
      <c r="K148" s="2658"/>
      <c r="L148" s="2659"/>
      <c r="M148" s="2658"/>
      <c r="N148" s="2658"/>
      <c r="O148" s="2659"/>
      <c r="P148" s="2658"/>
      <c r="Q148" s="2658"/>
      <c r="R148" s="2660"/>
    </row>
    <row r="149" spans="2:18" s="2224" customFormat="1">
      <c r="B149" s="2658"/>
      <c r="C149" s="2658"/>
      <c r="D149" s="2658"/>
      <c r="E149" s="2658"/>
      <c r="F149" s="2658"/>
      <c r="G149" s="2659"/>
      <c r="H149" s="2658"/>
      <c r="I149" s="2659"/>
      <c r="J149" s="2658"/>
      <c r="K149" s="2658"/>
      <c r="L149" s="2659"/>
      <c r="M149" s="2658"/>
      <c r="N149" s="2658"/>
      <c r="O149" s="2659"/>
      <c r="P149" s="2658"/>
      <c r="Q149" s="2658"/>
      <c r="R149" s="2660"/>
    </row>
    <row r="150" spans="2:18" s="2224" customFormat="1">
      <c r="B150" s="2658"/>
      <c r="C150" s="2658"/>
      <c r="D150" s="2658"/>
      <c r="E150" s="2658"/>
      <c r="F150" s="2658"/>
      <c r="G150" s="2659"/>
      <c r="H150" s="2658"/>
      <c r="I150" s="2659"/>
      <c r="J150" s="2658"/>
      <c r="K150" s="2658"/>
      <c r="L150" s="2659"/>
      <c r="M150" s="2658"/>
      <c r="N150" s="2658"/>
      <c r="O150" s="2659"/>
      <c r="P150" s="2658"/>
      <c r="Q150" s="2658"/>
      <c r="R150" s="2660"/>
    </row>
    <row r="151" spans="2:18" s="2224" customFormat="1">
      <c r="B151" s="2658"/>
      <c r="C151" s="2658"/>
      <c r="D151" s="2658"/>
      <c r="E151" s="2658"/>
      <c r="F151" s="2658"/>
      <c r="G151" s="2659"/>
      <c r="H151" s="2658"/>
      <c r="I151" s="2659"/>
      <c r="J151" s="2658"/>
      <c r="K151" s="2658"/>
      <c r="L151" s="2659"/>
      <c r="M151" s="2658"/>
      <c r="N151" s="2658"/>
      <c r="O151" s="2659"/>
      <c r="P151" s="2658"/>
      <c r="Q151" s="2658"/>
      <c r="R151" s="2660"/>
    </row>
    <row r="152" spans="2:18" s="2224" customFormat="1">
      <c r="B152" s="2658"/>
      <c r="C152" s="2658"/>
      <c r="D152" s="2658"/>
      <c r="E152" s="2658"/>
      <c r="F152" s="2658"/>
      <c r="G152" s="2659"/>
      <c r="H152" s="2658"/>
      <c r="I152" s="2659"/>
      <c r="J152" s="2658"/>
      <c r="K152" s="2658"/>
      <c r="L152" s="2659"/>
      <c r="M152" s="2658"/>
      <c r="N152" s="2658"/>
      <c r="O152" s="2659"/>
      <c r="P152" s="2658"/>
      <c r="Q152" s="2658"/>
      <c r="R152" s="2660"/>
    </row>
    <row r="153" spans="2:18" s="2224" customFormat="1">
      <c r="B153" s="2658"/>
      <c r="C153" s="2658"/>
      <c r="D153" s="2658"/>
      <c r="E153" s="2658"/>
      <c r="F153" s="2658"/>
      <c r="G153" s="2659"/>
      <c r="H153" s="2658"/>
      <c r="I153" s="2659"/>
      <c r="J153" s="2658"/>
      <c r="K153" s="2658"/>
      <c r="L153" s="2659"/>
      <c r="M153" s="2658"/>
      <c r="N153" s="2658"/>
      <c r="O153" s="2659"/>
      <c r="P153" s="2658"/>
      <c r="Q153" s="2658"/>
      <c r="R153" s="2660"/>
    </row>
    <row r="154" spans="2:18" s="2224" customFormat="1">
      <c r="B154" s="2658"/>
      <c r="C154" s="2658"/>
      <c r="D154" s="2658"/>
      <c r="E154" s="2658"/>
      <c r="F154" s="2658"/>
      <c r="G154" s="2659"/>
      <c r="H154" s="2658"/>
      <c r="I154" s="2659"/>
      <c r="J154" s="2658"/>
      <c r="K154" s="2658"/>
      <c r="L154" s="2659"/>
      <c r="M154" s="2658"/>
      <c r="N154" s="2658"/>
      <c r="O154" s="2659"/>
      <c r="P154" s="2658"/>
      <c r="Q154" s="2658"/>
      <c r="R154" s="2660"/>
    </row>
    <row r="155" spans="2:18" s="2224" customFormat="1">
      <c r="B155" s="2658"/>
      <c r="C155" s="2658"/>
      <c r="D155" s="2658"/>
      <c r="E155" s="2658"/>
      <c r="F155" s="2658"/>
      <c r="G155" s="2659"/>
      <c r="H155" s="2658"/>
      <c r="I155" s="2659"/>
      <c r="J155" s="2658"/>
      <c r="K155" s="2658"/>
      <c r="L155" s="2659"/>
      <c r="M155" s="2658"/>
      <c r="N155" s="2658"/>
      <c r="O155" s="2659"/>
      <c r="P155" s="2658"/>
      <c r="Q155" s="2658"/>
      <c r="R155" s="2660"/>
    </row>
    <row r="156" spans="2:18" s="2224" customFormat="1">
      <c r="B156" s="2658"/>
      <c r="C156" s="2658"/>
      <c r="D156" s="2658"/>
      <c r="E156" s="2658"/>
      <c r="F156" s="2658"/>
      <c r="G156" s="2659"/>
      <c r="H156" s="2658"/>
      <c r="I156" s="2659"/>
      <c r="J156" s="2658"/>
      <c r="K156" s="2658"/>
      <c r="L156" s="2659"/>
      <c r="M156" s="2658"/>
      <c r="N156" s="2658"/>
      <c r="O156" s="2659"/>
      <c r="P156" s="2658"/>
      <c r="Q156" s="2658"/>
      <c r="R156" s="2660"/>
    </row>
    <row r="157" spans="2:18" s="2224" customFormat="1">
      <c r="B157" s="2658"/>
      <c r="C157" s="2658"/>
      <c r="D157" s="2658"/>
      <c r="E157" s="2658"/>
      <c r="F157" s="2658"/>
      <c r="G157" s="2659"/>
      <c r="H157" s="2658"/>
      <c r="I157" s="2659"/>
      <c r="J157" s="2658"/>
      <c r="K157" s="2658"/>
      <c r="L157" s="2659"/>
      <c r="M157" s="2658"/>
      <c r="N157" s="2658"/>
      <c r="O157" s="2659"/>
      <c r="P157" s="2658"/>
      <c r="Q157" s="2658"/>
      <c r="R157" s="2660"/>
    </row>
    <row r="158" spans="2:18" s="2224" customFormat="1">
      <c r="B158" s="2658"/>
      <c r="C158" s="2658"/>
      <c r="D158" s="2658"/>
      <c r="E158" s="2658"/>
      <c r="F158" s="2658"/>
      <c r="G158" s="2659"/>
      <c r="H158" s="2658"/>
      <c r="I158" s="2659"/>
      <c r="J158" s="2658"/>
      <c r="K158" s="2658"/>
      <c r="L158" s="2659"/>
      <c r="M158" s="2658"/>
      <c r="N158" s="2658"/>
      <c r="O158" s="2659"/>
      <c r="P158" s="2658"/>
      <c r="Q158" s="2658"/>
      <c r="R158" s="2660"/>
    </row>
    <row r="159" spans="2:18" s="2224" customFormat="1">
      <c r="B159" s="2658"/>
      <c r="C159" s="2658"/>
      <c r="D159" s="2658"/>
      <c r="E159" s="2658"/>
      <c r="F159" s="2658"/>
      <c r="G159" s="2659"/>
      <c r="H159" s="2658"/>
      <c r="I159" s="2659"/>
      <c r="J159" s="2658"/>
      <c r="K159" s="2658"/>
      <c r="L159" s="2659"/>
      <c r="M159" s="2658"/>
      <c r="N159" s="2658"/>
      <c r="O159" s="2659"/>
      <c r="P159" s="2658"/>
      <c r="Q159" s="2658"/>
      <c r="R159" s="2660"/>
    </row>
    <row r="160" spans="2:18" s="2224" customFormat="1">
      <c r="B160" s="2658"/>
      <c r="C160" s="2658"/>
      <c r="D160" s="2658"/>
      <c r="E160" s="2658"/>
      <c r="F160" s="2658"/>
      <c r="G160" s="2659"/>
      <c r="H160" s="2658"/>
      <c r="I160" s="2659"/>
      <c r="J160" s="2658"/>
      <c r="K160" s="2658"/>
      <c r="L160" s="2659"/>
      <c r="M160" s="2658"/>
      <c r="N160" s="2658"/>
      <c r="O160" s="2659"/>
      <c r="P160" s="2658"/>
      <c r="Q160" s="2658"/>
      <c r="R160" s="2660"/>
    </row>
    <row r="161" spans="2:18" s="2224" customFormat="1">
      <c r="B161" s="2658"/>
      <c r="C161" s="2658"/>
      <c r="D161" s="2658"/>
      <c r="E161" s="2658"/>
      <c r="F161" s="2658"/>
      <c r="G161" s="2659"/>
      <c r="H161" s="2658"/>
      <c r="I161" s="2659"/>
      <c r="J161" s="2658"/>
      <c r="K161" s="2658"/>
      <c r="L161" s="2659"/>
      <c r="M161" s="2658"/>
      <c r="N161" s="2658"/>
      <c r="O161" s="2659"/>
      <c r="P161" s="2658"/>
      <c r="Q161" s="2658"/>
      <c r="R161" s="2660"/>
    </row>
    <row r="162" spans="2:18" s="2224" customFormat="1">
      <c r="B162" s="2658"/>
      <c r="C162" s="2658"/>
      <c r="D162" s="2658"/>
      <c r="E162" s="2658"/>
      <c r="F162" s="2658"/>
      <c r="G162" s="2659"/>
      <c r="H162" s="2658"/>
      <c r="I162" s="2659"/>
      <c r="J162" s="2658"/>
      <c r="K162" s="2658"/>
      <c r="L162" s="2659"/>
      <c r="M162" s="2658"/>
      <c r="N162" s="2658"/>
      <c r="O162" s="2659"/>
      <c r="P162" s="2658"/>
      <c r="Q162" s="2658"/>
      <c r="R162" s="2660"/>
    </row>
    <row r="163" spans="2:18" s="2224" customFormat="1">
      <c r="B163" s="2658"/>
      <c r="C163" s="2658"/>
      <c r="D163" s="2658"/>
      <c r="E163" s="2658"/>
      <c r="F163" s="2658"/>
      <c r="G163" s="2659"/>
      <c r="H163" s="2658"/>
      <c r="I163" s="2659"/>
      <c r="J163" s="2658"/>
      <c r="K163" s="2658"/>
      <c r="L163" s="2659"/>
      <c r="M163" s="2658"/>
      <c r="N163" s="2658"/>
      <c r="O163" s="2659"/>
      <c r="P163" s="2658"/>
      <c r="Q163" s="2658"/>
      <c r="R163" s="2660"/>
    </row>
    <row r="164" spans="2:18" s="2224" customFormat="1">
      <c r="B164" s="2658"/>
      <c r="C164" s="2658"/>
      <c r="D164" s="2658"/>
      <c r="E164" s="2658"/>
      <c r="F164" s="2658"/>
      <c r="G164" s="2659"/>
      <c r="H164" s="2658"/>
      <c r="I164" s="2659"/>
      <c r="J164" s="2658"/>
      <c r="K164" s="2658"/>
      <c r="L164" s="2659"/>
      <c r="M164" s="2658"/>
      <c r="N164" s="2658"/>
      <c r="O164" s="2659"/>
      <c r="P164" s="2658"/>
      <c r="Q164" s="2658"/>
      <c r="R164" s="2660"/>
    </row>
    <row r="165" spans="2:18" s="2224" customFormat="1">
      <c r="B165" s="2658"/>
      <c r="C165" s="2658"/>
      <c r="D165" s="2658"/>
      <c r="E165" s="2658"/>
      <c r="F165" s="2658"/>
      <c r="G165" s="2659"/>
      <c r="H165" s="2658"/>
      <c r="I165" s="2659"/>
      <c r="J165" s="2658"/>
      <c r="K165" s="2658"/>
      <c r="L165" s="2659"/>
      <c r="M165" s="2658"/>
      <c r="N165" s="2658"/>
      <c r="O165" s="2659"/>
      <c r="P165" s="2658"/>
      <c r="Q165" s="2658"/>
      <c r="R165" s="2660"/>
    </row>
    <row r="166" spans="2:18" s="2224" customFormat="1">
      <c r="B166" s="2658"/>
      <c r="C166" s="2658"/>
      <c r="D166" s="2658"/>
      <c r="E166" s="2658"/>
      <c r="F166" s="2658"/>
      <c r="G166" s="2659"/>
      <c r="H166" s="2658"/>
      <c r="I166" s="2659"/>
      <c r="J166" s="2658"/>
      <c r="K166" s="2658"/>
      <c r="L166" s="2659"/>
      <c r="M166" s="2658"/>
      <c r="N166" s="2658"/>
      <c r="O166" s="2659"/>
      <c r="P166" s="2658"/>
      <c r="Q166" s="2658"/>
      <c r="R166" s="2660"/>
    </row>
    <row r="167" spans="2:18" s="2224" customFormat="1">
      <c r="B167" s="2658"/>
      <c r="C167" s="2658"/>
      <c r="D167" s="2658"/>
      <c r="E167" s="2658"/>
      <c r="F167" s="2658"/>
      <c r="G167" s="2659"/>
      <c r="H167" s="2658"/>
      <c r="I167" s="2659"/>
      <c r="J167" s="2658"/>
      <c r="K167" s="2658"/>
      <c r="L167" s="2659"/>
      <c r="M167" s="2658"/>
      <c r="N167" s="2658"/>
      <c r="O167" s="2659"/>
      <c r="P167" s="2658"/>
      <c r="Q167" s="2658"/>
      <c r="R167" s="2660"/>
    </row>
    <row r="168" spans="2:18" s="2224" customFormat="1">
      <c r="B168" s="2658"/>
      <c r="C168" s="2658"/>
      <c r="D168" s="2658"/>
      <c r="E168" s="2658"/>
      <c r="F168" s="2658"/>
      <c r="G168" s="2659"/>
      <c r="H168" s="2658"/>
      <c r="I168" s="2659"/>
      <c r="J168" s="2658"/>
      <c r="K168" s="2658"/>
      <c r="L168" s="2659"/>
      <c r="M168" s="2658"/>
      <c r="N168" s="2658"/>
      <c r="O168" s="2659"/>
      <c r="P168" s="2658"/>
      <c r="Q168" s="2658"/>
      <c r="R168" s="2660"/>
    </row>
    <row r="169" spans="2:18" s="2224" customFormat="1">
      <c r="B169" s="2658"/>
      <c r="C169" s="2658"/>
      <c r="D169" s="2658"/>
      <c r="E169" s="2658"/>
      <c r="F169" s="2658"/>
      <c r="G169" s="2659"/>
      <c r="H169" s="2658"/>
      <c r="I169" s="2659"/>
      <c r="J169" s="2658"/>
      <c r="K169" s="2658"/>
      <c r="L169" s="2659"/>
      <c r="M169" s="2658"/>
      <c r="N169" s="2658"/>
      <c r="O169" s="2659"/>
      <c r="P169" s="2658"/>
      <c r="Q169" s="2658"/>
      <c r="R169" s="2660"/>
    </row>
    <row r="170" spans="2:18" s="2224" customFormat="1">
      <c r="B170" s="2658"/>
      <c r="C170" s="2658"/>
      <c r="D170" s="2658"/>
      <c r="E170" s="2658"/>
      <c r="F170" s="2658"/>
      <c r="G170" s="2659"/>
      <c r="H170" s="2658"/>
      <c r="I170" s="2659"/>
      <c r="J170" s="2658"/>
      <c r="K170" s="2658"/>
      <c r="L170" s="2659"/>
      <c r="M170" s="2658"/>
      <c r="N170" s="2658"/>
      <c r="O170" s="2659"/>
      <c r="P170" s="2658"/>
      <c r="Q170" s="2658"/>
      <c r="R170" s="2660"/>
    </row>
    <row r="171" spans="2:18" s="2224" customFormat="1">
      <c r="B171" s="2658"/>
      <c r="C171" s="2658"/>
      <c r="D171" s="2658"/>
      <c r="E171" s="2658"/>
      <c r="F171" s="2658"/>
      <c r="G171" s="2659"/>
      <c r="H171" s="2658"/>
      <c r="I171" s="2659"/>
      <c r="J171" s="2658"/>
      <c r="K171" s="2658"/>
      <c r="L171" s="2659"/>
      <c r="M171" s="2658"/>
      <c r="N171" s="2658"/>
      <c r="O171" s="2659"/>
      <c r="P171" s="2658"/>
      <c r="Q171" s="2658"/>
      <c r="R171" s="2660"/>
    </row>
    <row r="172" spans="2:18" s="2224" customFormat="1">
      <c r="B172" s="2658"/>
      <c r="C172" s="2658"/>
      <c r="D172" s="2658"/>
      <c r="E172" s="2658"/>
      <c r="F172" s="2658"/>
      <c r="G172" s="2659"/>
      <c r="H172" s="2658"/>
      <c r="I172" s="2659"/>
      <c r="J172" s="2658"/>
      <c r="K172" s="2658"/>
      <c r="L172" s="2659"/>
      <c r="M172" s="2658"/>
      <c r="N172" s="2658"/>
      <c r="O172" s="2659"/>
      <c r="P172" s="2658"/>
      <c r="Q172" s="2658"/>
      <c r="R172" s="2660"/>
    </row>
    <row r="173" spans="2:18" s="2224" customFormat="1">
      <c r="B173" s="2658"/>
      <c r="C173" s="2658"/>
      <c r="D173" s="2658"/>
      <c r="E173" s="2658"/>
      <c r="F173" s="2658"/>
      <c r="G173" s="2659"/>
      <c r="H173" s="2658"/>
      <c r="I173" s="2659"/>
      <c r="J173" s="2658"/>
      <c r="K173" s="2658"/>
      <c r="L173" s="2659"/>
      <c r="M173" s="2658"/>
      <c r="N173" s="2658"/>
      <c r="O173" s="2659"/>
      <c r="P173" s="2658"/>
      <c r="Q173" s="2658"/>
      <c r="R173" s="2660"/>
    </row>
    <row r="174" spans="2:18" s="2224" customFormat="1">
      <c r="B174" s="2658"/>
      <c r="C174" s="2658"/>
      <c r="D174" s="2658"/>
      <c r="E174" s="2658"/>
      <c r="F174" s="2658"/>
      <c r="G174" s="2659"/>
      <c r="H174" s="2658"/>
      <c r="I174" s="2659"/>
      <c r="J174" s="2658"/>
      <c r="K174" s="2658"/>
      <c r="L174" s="2659"/>
      <c r="M174" s="2658"/>
      <c r="N174" s="2658"/>
      <c r="O174" s="2659"/>
      <c r="P174" s="2658"/>
      <c r="Q174" s="2658"/>
      <c r="R174" s="2660"/>
    </row>
    <row r="175" spans="2:18" s="2224" customFormat="1">
      <c r="B175" s="2658"/>
      <c r="C175" s="2658"/>
      <c r="D175" s="2658"/>
      <c r="E175" s="2658"/>
      <c r="F175" s="2658"/>
      <c r="G175" s="2659"/>
      <c r="H175" s="2658"/>
      <c r="I175" s="2659"/>
      <c r="J175" s="2658"/>
      <c r="K175" s="2658"/>
      <c r="L175" s="2659"/>
      <c r="M175" s="2658"/>
      <c r="N175" s="2658"/>
      <c r="O175" s="2659"/>
      <c r="P175" s="2658"/>
      <c r="Q175" s="2658"/>
      <c r="R175" s="2660"/>
    </row>
    <row r="176" spans="2:18" s="2224" customFormat="1">
      <c r="B176" s="2658"/>
      <c r="C176" s="2658"/>
      <c r="D176" s="2658"/>
      <c r="E176" s="2658"/>
      <c r="F176" s="2658"/>
      <c r="G176" s="2659"/>
      <c r="H176" s="2658"/>
      <c r="I176" s="2659"/>
      <c r="J176" s="2658"/>
      <c r="K176" s="2658"/>
      <c r="L176" s="2659"/>
      <c r="M176" s="2658"/>
      <c r="N176" s="2658"/>
      <c r="O176" s="2659"/>
      <c r="P176" s="2658"/>
      <c r="Q176" s="2658"/>
      <c r="R176" s="2660"/>
    </row>
    <row r="177" spans="1:18" s="2224" customFormat="1">
      <c r="B177" s="2658"/>
      <c r="C177" s="2658"/>
      <c r="D177" s="2658"/>
      <c r="E177" s="2658"/>
      <c r="F177" s="2658"/>
      <c r="G177" s="2659"/>
      <c r="H177" s="2658"/>
      <c r="I177" s="2659"/>
      <c r="J177" s="2658"/>
      <c r="K177" s="2658"/>
      <c r="L177" s="2659"/>
      <c r="M177" s="2658"/>
      <c r="N177" s="2658"/>
      <c r="O177" s="2659"/>
      <c r="P177" s="2658"/>
      <c r="Q177" s="2658"/>
      <c r="R177" s="2660"/>
    </row>
    <row r="178" spans="1:18" s="2224" customFormat="1">
      <c r="B178" s="2658"/>
      <c r="C178" s="2658"/>
      <c r="D178" s="2658"/>
      <c r="E178" s="2658"/>
      <c r="F178" s="2658"/>
      <c r="G178" s="2659"/>
      <c r="H178" s="2658"/>
      <c r="I178" s="2659"/>
      <c r="J178" s="2658"/>
      <c r="K178" s="2658"/>
      <c r="L178" s="2659"/>
      <c r="M178" s="2658"/>
      <c r="N178" s="2658"/>
      <c r="O178" s="2659"/>
      <c r="P178" s="2658"/>
      <c r="Q178" s="2658"/>
      <c r="R178" s="2660"/>
    </row>
    <row r="179" spans="1:18" s="2224" customFormat="1">
      <c r="B179" s="2658"/>
      <c r="C179" s="2658"/>
      <c r="D179" s="2658"/>
      <c r="E179" s="2658"/>
      <c r="F179" s="2658"/>
      <c r="G179" s="2659"/>
      <c r="H179" s="2658"/>
      <c r="I179" s="2659"/>
      <c r="J179" s="2658"/>
      <c r="K179" s="2658"/>
      <c r="L179" s="2659"/>
      <c r="M179" s="2658"/>
      <c r="N179" s="2658"/>
      <c r="O179" s="2659"/>
      <c r="P179" s="2658"/>
      <c r="Q179" s="2658"/>
      <c r="R179" s="2660"/>
    </row>
    <row r="180" spans="1:18" s="2224" customFormat="1">
      <c r="B180" s="2658"/>
      <c r="C180" s="2658"/>
      <c r="D180" s="2658"/>
      <c r="E180" s="2658"/>
      <c r="F180" s="2658"/>
      <c r="G180" s="2659"/>
      <c r="H180" s="2658"/>
      <c r="I180" s="2659"/>
      <c r="J180" s="2658"/>
      <c r="K180" s="2658"/>
      <c r="L180" s="2659"/>
      <c r="M180" s="2658"/>
      <c r="N180" s="2658"/>
      <c r="O180" s="2659"/>
      <c r="P180" s="2658"/>
      <c r="Q180" s="2658"/>
      <c r="R180" s="2660"/>
    </row>
    <row r="181" spans="1:18" s="2224" customFormat="1">
      <c r="B181" s="2658"/>
      <c r="C181" s="2658"/>
      <c r="D181" s="2658"/>
      <c r="E181" s="2658"/>
      <c r="F181" s="2658"/>
      <c r="G181" s="2659"/>
      <c r="H181" s="2658"/>
      <c r="I181" s="2659"/>
      <c r="J181" s="2658"/>
      <c r="K181" s="2658"/>
      <c r="L181" s="2659"/>
      <c r="M181" s="2658"/>
      <c r="N181" s="2658"/>
      <c r="O181" s="2659"/>
      <c r="P181" s="2658"/>
      <c r="Q181" s="2658"/>
      <c r="R181" s="2660"/>
    </row>
    <row r="182" spans="1:18" s="2224" customFormat="1">
      <c r="B182" s="2658"/>
      <c r="C182" s="2658"/>
      <c r="D182" s="2658"/>
      <c r="E182" s="2658"/>
      <c r="F182" s="2658"/>
      <c r="G182" s="2659"/>
      <c r="H182" s="2658"/>
      <c r="I182" s="2659"/>
      <c r="J182" s="2658"/>
      <c r="K182" s="2658"/>
      <c r="L182" s="2659"/>
      <c r="M182" s="2658"/>
      <c r="N182" s="2658"/>
      <c r="O182" s="2659"/>
      <c r="P182" s="2658"/>
      <c r="Q182" s="2658"/>
      <c r="R182" s="2660"/>
    </row>
    <row r="183" spans="1:18" s="2224" customFormat="1">
      <c r="B183" s="2658"/>
      <c r="C183" s="2658"/>
      <c r="D183" s="2658"/>
      <c r="E183" s="2658"/>
      <c r="F183" s="2658"/>
      <c r="G183" s="2659"/>
      <c r="H183" s="2658"/>
      <c r="I183" s="2659"/>
      <c r="J183" s="2658"/>
      <c r="K183" s="2658"/>
      <c r="L183" s="2659"/>
      <c r="M183" s="2658"/>
      <c r="N183" s="2658"/>
      <c r="O183" s="2659"/>
      <c r="P183" s="2658"/>
      <c r="Q183" s="2658"/>
      <c r="R183" s="2660"/>
    </row>
    <row r="184" spans="1:18" s="2224" customFormat="1">
      <c r="B184" s="2658"/>
      <c r="C184" s="2658"/>
      <c r="D184" s="2658"/>
      <c r="E184" s="2658"/>
      <c r="F184" s="2658"/>
      <c r="G184" s="2659"/>
      <c r="H184" s="2658"/>
      <c r="I184" s="2659"/>
      <c r="J184" s="2658"/>
      <c r="K184" s="2658"/>
      <c r="L184" s="2659"/>
      <c r="M184" s="2658"/>
      <c r="N184" s="2658"/>
      <c r="O184" s="2659"/>
      <c r="P184" s="2658"/>
      <c r="Q184" s="2658"/>
      <c r="R184" s="2660"/>
    </row>
    <row r="185" spans="1:18" s="222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24"/>
      <c r="B186" s="2658"/>
      <c r="C186" s="2658"/>
      <c r="E186" s="2658"/>
      <c r="F186" s="2658"/>
      <c r="G186" s="2659"/>
    </row>
    <row r="187" spans="1:18">
      <c r="A187" s="222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80" zoomScaleNormal="80" zoomScaleSheetLayoutView="80" workbookViewId="0">
      <selection activeCell="E39" sqref="E39"/>
    </sheetView>
  </sheetViews>
  <sheetFormatPr defaultColWidth="9" defaultRowHeight="13.5"/>
  <cols>
    <col min="1" max="1" width="25" style="2636" customWidth="1"/>
    <col min="2" max="9" width="15.75" style="2636" customWidth="1"/>
    <col min="10" max="16384" width="9" style="2636"/>
  </cols>
  <sheetData>
    <row r="1" spans="1:11">
      <c r="A1" s="2637" t="s">
        <v>742</v>
      </c>
      <c r="B1" s="2637">
        <f>SUM(B14:B23)</f>
        <v>32646.850000000002</v>
      </c>
      <c r="C1" s="2638"/>
      <c r="D1" s="2638"/>
      <c r="E1" s="2638"/>
      <c r="F1" s="2638"/>
      <c r="G1" s="2639"/>
      <c r="H1" s="2640"/>
      <c r="I1" s="2640"/>
      <c r="J1" s="2640"/>
      <c r="K1" s="2640"/>
    </row>
    <row r="2" spans="1:11">
      <c r="A2" s="2637" t="s">
        <v>743</v>
      </c>
      <c r="B2" s="2637">
        <f>SUM(C14:C23)</f>
        <v>0</v>
      </c>
      <c r="C2" s="2638"/>
      <c r="D2" s="2638"/>
      <c r="E2" s="2638"/>
      <c r="F2" s="2638"/>
      <c r="G2" s="2639"/>
      <c r="H2" s="2640"/>
      <c r="I2" s="2640"/>
      <c r="J2" s="2640"/>
      <c r="K2" s="2640"/>
    </row>
    <row r="3" spans="1:11">
      <c r="A3" s="2637" t="s">
        <v>744</v>
      </c>
      <c r="B3" s="2641">
        <f>项目基本情况!D3</f>
        <v>45078</v>
      </c>
      <c r="C3" s="2638"/>
      <c r="D3" s="2638"/>
      <c r="E3" s="2638"/>
      <c r="F3" s="2638"/>
      <c r="G3" s="2639"/>
      <c r="H3" s="2640"/>
      <c r="I3" s="2640"/>
      <c r="J3" s="2640"/>
      <c r="K3" s="2640"/>
    </row>
    <row r="4" spans="1:11" ht="27">
      <c r="A4" s="2637" t="s">
        <v>745</v>
      </c>
      <c r="B4" s="2637" t="s">
        <v>746</v>
      </c>
      <c r="C4" s="2637" t="s">
        <v>747</v>
      </c>
      <c r="D4" s="2637" t="s">
        <v>748</v>
      </c>
      <c r="E4" s="2638"/>
      <c r="F4" s="2639"/>
      <c r="G4" s="2639"/>
      <c r="H4" s="2640"/>
      <c r="I4" s="2640"/>
      <c r="J4" s="2640"/>
      <c r="K4" s="2640"/>
    </row>
    <row r="5" spans="1:11">
      <c r="A5" s="2637" t="s">
        <v>749</v>
      </c>
      <c r="B5" s="2637">
        <f ca="1">SUM(D14:D23)</f>
        <v>50052</v>
      </c>
      <c r="C5" s="2637">
        <f ca="1">IF(B5=D14,结果表!H102,ROUND(B5*10000/$B$1,0))</f>
        <v>15331</v>
      </c>
      <c r="D5" s="2637" t="e">
        <f ca="1">ROUND(B5*10000/$B$2,0)</f>
        <v>#DIV/0!</v>
      </c>
      <c r="E5" s="2638"/>
      <c r="F5" s="2639"/>
      <c r="G5" s="2639"/>
      <c r="H5" s="2640"/>
      <c r="I5" s="2640"/>
      <c r="J5" s="2640"/>
      <c r="K5" s="2640"/>
    </row>
    <row r="6" spans="1:11">
      <c r="A6" s="2637" t="s">
        <v>750</v>
      </c>
      <c r="B6" s="2637">
        <f ca="1">SUM(G14:G23)</f>
        <v>50052</v>
      </c>
      <c r="C6" s="2637">
        <f ca="1">IF(B6=G14,结果表!H108,ROUND(B6*10000/$B$1,0))</f>
        <v>15331</v>
      </c>
      <c r="D6" s="2637" t="e">
        <f ca="1">ROUND(B6*10000/$B$2,0)</f>
        <v>#DIV/0!</v>
      </c>
      <c r="E6" s="2638"/>
      <c r="F6" s="2639"/>
      <c r="G6" s="2639"/>
      <c r="H6" s="2640"/>
      <c r="I6" s="2640"/>
      <c r="J6" s="2640"/>
      <c r="K6" s="2640"/>
    </row>
    <row r="7" spans="1:11">
      <c r="A7" s="2637" t="s">
        <v>751</v>
      </c>
      <c r="B7" s="2637">
        <f>SUM(H14:H23)</f>
        <v>0</v>
      </c>
      <c r="C7" s="2637" t="str">
        <f>IF(B7=H14,结果表!H110,ROUND(B7*10000/$B$1,0))</f>
        <v>——</v>
      </c>
      <c r="D7" s="2637" t="e">
        <f>ROUND(B7*10000/$B$2,0)</f>
        <v>#DIV/0!</v>
      </c>
      <c r="E7" s="2638"/>
      <c r="F7" s="2639"/>
      <c r="G7" s="2639"/>
      <c r="H7" s="2640"/>
      <c r="I7" s="2640"/>
      <c r="J7" s="2640"/>
      <c r="K7" s="2640"/>
    </row>
    <row r="8" spans="1:11">
      <c r="A8" s="2637" t="s">
        <v>336</v>
      </c>
      <c r="B8" s="2637">
        <f>SUM(I14:I23)</f>
        <v>0</v>
      </c>
      <c r="C8" s="2637" t="str">
        <f>IF(B8=I14,结果表!H112,ROUND(B8*10000/$B$1,0))</f>
        <v>——</v>
      </c>
      <c r="D8" s="2637" t="e">
        <f>ROUND(B8*10000/$B$2,0)</f>
        <v>#DIV/0!</v>
      </c>
      <c r="E8" s="2638"/>
      <c r="F8" s="2639"/>
      <c r="G8" s="2639"/>
      <c r="H8" s="2640"/>
      <c r="I8" s="2640"/>
      <c r="J8" s="2640"/>
      <c r="K8" s="2640"/>
    </row>
    <row r="9" spans="1:11">
      <c r="A9" s="2637" t="s">
        <v>752</v>
      </c>
      <c r="B9" s="2642"/>
      <c r="C9" s="2638"/>
      <c r="D9" s="2638"/>
      <c r="E9" s="2638"/>
      <c r="F9" s="2639"/>
      <c r="G9" s="2639"/>
      <c r="H9" s="2640"/>
      <c r="I9" s="2640"/>
      <c r="J9" s="2640"/>
      <c r="K9" s="2640"/>
    </row>
    <row r="10" spans="1:11">
      <c r="A10" s="2637" t="s">
        <v>753</v>
      </c>
      <c r="B10" s="2637">
        <f>IF(E10="",0,ROUND(B1*(E10*365/G10)/10000,0))</f>
        <v>0</v>
      </c>
      <c r="C10" s="2637" t="s">
        <v>754</v>
      </c>
      <c r="D10" s="2637" t="s">
        <v>753</v>
      </c>
      <c r="E10" s="2643"/>
      <c r="F10" s="2644" t="s">
        <v>755</v>
      </c>
      <c r="G10" s="2645"/>
      <c r="H10" s="2640"/>
      <c r="I10" s="2640"/>
      <c r="J10" s="2640"/>
      <c r="K10" s="2640"/>
    </row>
    <row r="11" spans="1:11">
      <c r="A11" s="2637" t="s">
        <v>756</v>
      </c>
      <c r="B11" s="2642"/>
      <c r="C11" s="2638"/>
      <c r="D11" s="2638"/>
      <c r="E11" s="2638"/>
      <c r="F11" s="2639"/>
      <c r="G11" s="2639"/>
      <c r="H11" s="2640"/>
      <c r="I11" s="2640"/>
      <c r="J11" s="2640"/>
      <c r="K11" s="2640"/>
    </row>
    <row r="12" spans="1:11">
      <c r="A12" s="2638"/>
      <c r="B12" s="2638"/>
      <c r="C12" s="2638"/>
      <c r="D12" s="2638"/>
      <c r="E12" s="2638"/>
      <c r="F12" s="2639"/>
      <c r="G12" s="2639"/>
      <c r="H12" s="2640"/>
      <c r="I12" s="2640"/>
      <c r="J12" s="2640"/>
      <c r="K12" s="2640"/>
    </row>
    <row r="13" spans="1:11" ht="27">
      <c r="A13" s="2646" t="s">
        <v>757</v>
      </c>
      <c r="B13" s="2647" t="s">
        <v>742</v>
      </c>
      <c r="C13" s="2647" t="s">
        <v>743</v>
      </c>
      <c r="D13" s="2647" t="s">
        <v>758</v>
      </c>
      <c r="E13" s="2637" t="s">
        <v>747</v>
      </c>
      <c r="F13" s="2637" t="s">
        <v>748</v>
      </c>
      <c r="G13" s="2647" t="s">
        <v>759</v>
      </c>
      <c r="H13" s="2647" t="s">
        <v>760</v>
      </c>
      <c r="I13" s="2647" t="s">
        <v>761</v>
      </c>
      <c r="J13" s="2639"/>
      <c r="K13" s="2640"/>
    </row>
    <row r="14" spans="1:11">
      <c r="A14" s="2648" t="s">
        <v>762</v>
      </c>
      <c r="B14" s="2649">
        <f>'数据-汇总表'!E31</f>
        <v>20276.490000000002</v>
      </c>
      <c r="C14" s="2649"/>
      <c r="D14" s="2649">
        <f ca="1">结果表!G19</f>
        <v>42619</v>
      </c>
      <c r="E14" s="2649">
        <f ca="1">ROUND(D14*10000/B14,0)</f>
        <v>21019</v>
      </c>
      <c r="F14" s="2649" t="e">
        <f ca="1">ROUND(D14*10000/C14,0)</f>
        <v>#DIV/0!</v>
      </c>
      <c r="G14" s="2649">
        <f ca="1">D14</f>
        <v>42619</v>
      </c>
      <c r="H14" s="2649"/>
      <c r="I14" s="2649"/>
      <c r="J14" s="2639"/>
      <c r="K14" s="2640"/>
    </row>
    <row r="15" spans="1:11">
      <c r="A15" s="2648" t="s">
        <v>763</v>
      </c>
      <c r="B15" s="2650">
        <f>[2]系统读取表!$B$1</f>
        <v>12370.36</v>
      </c>
      <c r="C15" s="2650"/>
      <c r="D15" s="2650">
        <f>[3]系统读取表!$B$5</f>
        <v>7433</v>
      </c>
      <c r="E15" s="2649">
        <f t="shared" ref="E15:E23" si="0">ROUND(D15*10000/B15,0)</f>
        <v>6009</v>
      </c>
      <c r="F15" s="2649" t="e">
        <f t="shared" ref="F15:F23" si="1">ROUND(D15*10000/C15,0)</f>
        <v>#DIV/0!</v>
      </c>
      <c r="G15" s="2651">
        <f>D15</f>
        <v>7433</v>
      </c>
      <c r="H15" s="2651"/>
      <c r="I15" s="2650"/>
      <c r="J15" s="2639"/>
      <c r="K15" s="2640"/>
    </row>
    <row r="16" spans="1:11">
      <c r="A16" s="2648" t="s">
        <v>764</v>
      </c>
      <c r="B16" s="2650"/>
      <c r="C16" s="2650"/>
      <c r="D16" s="2650"/>
      <c r="E16" s="2649" t="e">
        <f t="shared" si="0"/>
        <v>#DIV/0!</v>
      </c>
      <c r="F16" s="2649" t="e">
        <f t="shared" si="1"/>
        <v>#DIV/0!</v>
      </c>
      <c r="G16" s="2651"/>
      <c r="H16" s="2651"/>
      <c r="I16" s="2650"/>
      <c r="J16" s="2640"/>
      <c r="K16" s="2640"/>
    </row>
    <row r="17" spans="1:11">
      <c r="A17" s="2648" t="s">
        <v>765</v>
      </c>
      <c r="B17" s="2650"/>
      <c r="C17" s="2650"/>
      <c r="D17" s="2650"/>
      <c r="E17" s="2649" t="e">
        <f t="shared" si="0"/>
        <v>#DIV/0!</v>
      </c>
      <c r="F17" s="2649" t="e">
        <f t="shared" si="1"/>
        <v>#DIV/0!</v>
      </c>
      <c r="G17" s="2651"/>
      <c r="H17" s="2651"/>
      <c r="I17" s="2650"/>
      <c r="J17" s="2640"/>
      <c r="K17" s="2640"/>
    </row>
    <row r="18" spans="1:11">
      <c r="A18" s="2648" t="s">
        <v>766</v>
      </c>
      <c r="B18" s="2650"/>
      <c r="C18" s="2650"/>
      <c r="D18" s="2650"/>
      <c r="E18" s="2649" t="e">
        <f t="shared" si="0"/>
        <v>#DIV/0!</v>
      </c>
      <c r="F18" s="2649" t="e">
        <f t="shared" si="1"/>
        <v>#DIV/0!</v>
      </c>
      <c r="G18" s="2650"/>
      <c r="H18" s="2650"/>
      <c r="I18" s="2650"/>
      <c r="J18" s="2640"/>
      <c r="K18" s="2640"/>
    </row>
    <row r="19" spans="1:11">
      <c r="A19" s="2648" t="s">
        <v>767</v>
      </c>
      <c r="B19" s="2650"/>
      <c r="C19" s="2650"/>
      <c r="D19" s="2650"/>
      <c r="E19" s="2649" t="e">
        <f t="shared" si="0"/>
        <v>#DIV/0!</v>
      </c>
      <c r="F19" s="2649" t="e">
        <f t="shared" si="1"/>
        <v>#DIV/0!</v>
      </c>
      <c r="G19" s="2650"/>
      <c r="H19" s="2650"/>
      <c r="I19" s="2650"/>
      <c r="J19" s="2640"/>
      <c r="K19" s="2640"/>
    </row>
    <row r="20" spans="1:11">
      <c r="A20" s="2648" t="s">
        <v>768</v>
      </c>
      <c r="B20" s="2650"/>
      <c r="C20" s="2650"/>
      <c r="D20" s="2650"/>
      <c r="E20" s="2649" t="e">
        <f t="shared" si="0"/>
        <v>#DIV/0!</v>
      </c>
      <c r="F20" s="2649" t="e">
        <f t="shared" si="1"/>
        <v>#DIV/0!</v>
      </c>
      <c r="G20" s="2650"/>
      <c r="H20" s="2650"/>
      <c r="I20" s="2650"/>
      <c r="J20" s="2640"/>
      <c r="K20" s="2640"/>
    </row>
    <row r="21" spans="1:11">
      <c r="A21" s="2648" t="s">
        <v>769</v>
      </c>
      <c r="B21" s="2650"/>
      <c r="C21" s="2650"/>
      <c r="D21" s="2650"/>
      <c r="E21" s="2649" t="e">
        <f t="shared" si="0"/>
        <v>#DIV/0!</v>
      </c>
      <c r="F21" s="2649" t="e">
        <f t="shared" si="1"/>
        <v>#DIV/0!</v>
      </c>
      <c r="G21" s="2650"/>
      <c r="H21" s="2650"/>
      <c r="I21" s="2650"/>
      <c r="J21" s="2640"/>
      <c r="K21" s="2640"/>
    </row>
    <row r="22" spans="1:11">
      <c r="A22" s="2648" t="s">
        <v>770</v>
      </c>
      <c r="B22" s="2650"/>
      <c r="C22" s="2650"/>
      <c r="D22" s="2650"/>
      <c r="E22" s="2649" t="e">
        <f t="shared" si="0"/>
        <v>#DIV/0!</v>
      </c>
      <c r="F22" s="2649" t="e">
        <f t="shared" si="1"/>
        <v>#DIV/0!</v>
      </c>
      <c r="G22" s="2650"/>
      <c r="H22" s="2650"/>
      <c r="I22" s="2650"/>
      <c r="J22" s="2640"/>
      <c r="K22" s="2640"/>
    </row>
    <row r="23" spans="1:11">
      <c r="A23" s="2648" t="s">
        <v>771</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4" sqref="C14:C16"/>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772</v>
      </c>
      <c r="B1" s="2356"/>
      <c r="C1" s="2357"/>
      <c r="D1" s="2356"/>
      <c r="E1" s="2356"/>
      <c r="F1" s="2358" t="s">
        <v>773</v>
      </c>
      <c r="G1" s="2359"/>
      <c r="H1" s="2360" t="str">
        <f>IF(G1="现房","——","估价对象范围")</f>
        <v>估价对象范围</v>
      </c>
      <c r="I1" s="2493"/>
    </row>
    <row r="2" spans="1:12" ht="21.75" customHeight="1">
      <c r="A2" s="3529" t="str">
        <f>项目基本情况!S2</f>
        <v>北京市房地产</v>
      </c>
      <c r="B2" s="3530"/>
      <c r="C2" s="3530"/>
      <c r="D2" s="3530"/>
      <c r="E2" s="3530"/>
      <c r="F2" s="3530"/>
      <c r="G2" s="3530"/>
      <c r="H2" s="3530"/>
      <c r="I2" s="3531"/>
    </row>
    <row r="3" spans="1:12" ht="12.75">
      <c r="A3" s="3532" t="s">
        <v>774</v>
      </c>
      <c r="B3" s="3533"/>
      <c r="C3" s="3533"/>
      <c r="D3" s="3533"/>
      <c r="E3" s="3533"/>
      <c r="F3" s="3533"/>
      <c r="G3" s="3533"/>
      <c r="H3" s="3533"/>
      <c r="I3" s="3533"/>
    </row>
    <row r="4" spans="1:12" ht="14.25">
      <c r="A4" s="2361" t="s">
        <v>775</v>
      </c>
      <c r="B4" s="2362" t="s">
        <v>776</v>
      </c>
      <c r="C4" s="2363" t="s">
        <v>777</v>
      </c>
      <c r="D4" s="2363" t="s">
        <v>650</v>
      </c>
      <c r="E4" s="3534" t="s">
        <v>778</v>
      </c>
      <c r="F4" s="3535"/>
      <c r="G4" s="3535"/>
      <c r="H4" s="3535"/>
      <c r="I4" s="3536"/>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9" t="s">
        <v>779</v>
      </c>
      <c r="B5" s="3617">
        <v>25</v>
      </c>
      <c r="C5" s="3549"/>
      <c r="D5" s="3548"/>
      <c r="E5" s="2012" t="s">
        <v>780</v>
      </c>
      <c r="F5" s="2368"/>
      <c r="G5" s="2368"/>
      <c r="H5" s="2368"/>
      <c r="I5" s="2336"/>
    </row>
    <row r="6" spans="1:12" ht="12.75">
      <c r="A6" s="3579"/>
      <c r="B6" s="3617"/>
      <c r="C6" s="3550"/>
      <c r="D6" s="3548"/>
      <c r="E6" s="2012" t="s">
        <v>781</v>
      </c>
      <c r="F6" s="2368"/>
      <c r="G6" s="2368"/>
      <c r="H6" s="2368"/>
      <c r="I6" s="2336"/>
    </row>
    <row r="7" spans="1:12" ht="12.75">
      <c r="A7" s="3579"/>
      <c r="B7" s="3617"/>
      <c r="C7" s="3551"/>
      <c r="D7" s="3548"/>
      <c r="E7" s="2012" t="s">
        <v>782</v>
      </c>
      <c r="F7" s="2368"/>
      <c r="G7" s="2368"/>
      <c r="H7" s="2368"/>
      <c r="I7" s="2336"/>
    </row>
    <row r="8" spans="1:12" ht="12.75">
      <c r="A8" s="3579" t="s">
        <v>783</v>
      </c>
      <c r="B8" s="3617">
        <v>15</v>
      </c>
      <c r="C8" s="3549"/>
      <c r="D8" s="3548"/>
      <c r="E8" s="2012" t="s">
        <v>784</v>
      </c>
      <c r="F8" s="2368"/>
      <c r="G8" s="2368"/>
      <c r="H8" s="2368"/>
      <c r="I8" s="2336"/>
    </row>
    <row r="9" spans="1:12" ht="12.75">
      <c r="A9" s="3579"/>
      <c r="B9" s="3617"/>
      <c r="C9" s="3551"/>
      <c r="D9" s="3548"/>
      <c r="E9" s="2012" t="s">
        <v>785</v>
      </c>
      <c r="F9" s="2368"/>
      <c r="G9" s="2368"/>
      <c r="H9" s="2368"/>
      <c r="I9" s="2336"/>
    </row>
    <row r="10" spans="1:12" ht="12.75">
      <c r="A10" s="3579" t="s">
        <v>786</v>
      </c>
      <c r="B10" s="3617">
        <v>15</v>
      </c>
      <c r="C10" s="3549"/>
      <c r="D10" s="3548"/>
      <c r="E10" s="2012" t="s">
        <v>787</v>
      </c>
      <c r="F10" s="2368"/>
      <c r="G10" s="2368"/>
      <c r="H10" s="2368"/>
      <c r="I10" s="2336"/>
    </row>
    <row r="11" spans="1:12" ht="12.75">
      <c r="A11" s="3579"/>
      <c r="B11" s="3617"/>
      <c r="C11" s="3551"/>
      <c r="D11" s="3548"/>
      <c r="E11" s="2012" t="s">
        <v>788</v>
      </c>
      <c r="F11" s="2368"/>
      <c r="G11" s="2368"/>
      <c r="H11" s="2368"/>
      <c r="I11" s="2336"/>
    </row>
    <row r="12" spans="1:12" ht="12.75">
      <c r="A12" s="3579" t="s">
        <v>789</v>
      </c>
      <c r="B12" s="3617">
        <v>15</v>
      </c>
      <c r="C12" s="3549"/>
      <c r="D12" s="3548"/>
      <c r="E12" s="2012" t="s">
        <v>790</v>
      </c>
      <c r="F12" s="2368"/>
      <c r="G12" s="2368"/>
      <c r="H12" s="2368"/>
      <c r="I12" s="2336"/>
    </row>
    <row r="13" spans="1:12" ht="12.75">
      <c r="A13" s="3579"/>
      <c r="B13" s="3617"/>
      <c r="C13" s="3551"/>
      <c r="D13" s="3548"/>
      <c r="E13" s="2012" t="s">
        <v>791</v>
      </c>
      <c r="F13" s="2368"/>
      <c r="G13" s="2368"/>
      <c r="H13" s="2368"/>
      <c r="I13" s="2336"/>
    </row>
    <row r="14" spans="1:12" ht="12.75">
      <c r="A14" s="3579" t="s">
        <v>792</v>
      </c>
      <c r="B14" s="3617">
        <v>30</v>
      </c>
      <c r="C14" s="3549">
        <v>7</v>
      </c>
      <c r="D14" s="3548">
        <v>3</v>
      </c>
      <c r="E14" s="2012" t="s">
        <v>793</v>
      </c>
      <c r="F14" s="2368"/>
      <c r="G14" s="2368"/>
      <c r="H14" s="2368"/>
      <c r="I14" s="2336"/>
    </row>
    <row r="15" spans="1:12" ht="12.75">
      <c r="A15" s="3579"/>
      <c r="B15" s="3617"/>
      <c r="C15" s="3550"/>
      <c r="D15" s="3548"/>
      <c r="E15" s="2012" t="s">
        <v>794</v>
      </c>
      <c r="F15" s="2368"/>
      <c r="G15" s="2368"/>
      <c r="H15" s="2368"/>
      <c r="I15" s="2336"/>
    </row>
    <row r="16" spans="1:12" ht="12.75">
      <c r="A16" s="3579"/>
      <c r="B16" s="3617"/>
      <c r="C16" s="3551"/>
      <c r="D16" s="3548"/>
      <c r="E16" s="2012" t="s">
        <v>795</v>
      </c>
      <c r="F16" s="2368"/>
      <c r="G16" s="2368"/>
      <c r="H16" s="2368"/>
      <c r="I16" s="2336"/>
    </row>
    <row r="17" spans="1:36" ht="15">
      <c r="A17" s="2369" t="s">
        <v>796</v>
      </c>
      <c r="B17" s="2370"/>
      <c r="C17" s="2371">
        <f>SUM(C5:C16)</f>
        <v>7</v>
      </c>
      <c r="D17" s="2371">
        <f>SUM(D5:D16)</f>
        <v>3</v>
      </c>
      <c r="E17" s="992"/>
      <c r="F17" s="992"/>
      <c r="G17" s="992"/>
      <c r="H17" s="992"/>
      <c r="I17" s="992"/>
      <c r="K17" s="1972"/>
      <c r="L17" s="1972" t="s">
        <v>797</v>
      </c>
      <c r="M17" s="1972" t="s">
        <v>798</v>
      </c>
    </row>
    <row r="18" spans="1:36" ht="31.9" customHeight="1">
      <c r="A18" s="2372" t="s">
        <v>799</v>
      </c>
      <c r="B18" s="2373"/>
      <c r="C18" s="2374">
        <f>ROUND(C17/SUM(C17:D17),2)</f>
        <v>0.7</v>
      </c>
      <c r="D18" s="2374">
        <f>1-C18</f>
        <v>0.30000000000000004</v>
      </c>
      <c r="E18" s="3537" t="s">
        <v>800</v>
      </c>
      <c r="F18" s="3538"/>
      <c r="G18" s="3538"/>
      <c r="H18" s="3538"/>
      <c r="I18" s="3538"/>
      <c r="K18" s="1972" t="s">
        <v>456</v>
      </c>
      <c r="L18" s="1972">
        <f>IF(C1="",'数据-汇总表'!E3,SUMIF(项目类型,C1,'数据-汇总表'!E17:E26)+SUMIF(项目类型,C1,'数据-汇总表'!I17:I26))</f>
        <v>20276.490000000002</v>
      </c>
      <c r="M18" s="1972">
        <f>IF(C1="",'数据-汇总表'!E3,SUMIF(项目类型,C1,'数据-汇总表'!E17:E26))</f>
        <v>20276.490000000002</v>
      </c>
    </row>
    <row r="19" spans="1:36" ht="15">
      <c r="A19" s="2375" t="s">
        <v>801</v>
      </c>
      <c r="B19" s="2376" t="s">
        <v>802</v>
      </c>
      <c r="C19" s="2377">
        <f ca="1">SUMIF(INDIRECT("'"&amp;C4&amp;"'"&amp;"!A:A"),结果表!B19,INDIRECT("'"&amp;C4&amp;"'"&amp;"!B:B"))</f>
        <v>46140</v>
      </c>
      <c r="D19" s="1432">
        <f ca="1">SUMIF(INDIRECT("'"&amp;D4&amp;"'"&amp;"!A:A"),结果表!B19,INDIRECT("'"&amp;D4&amp;"'"&amp;"!B:B"))</f>
        <v>34403</v>
      </c>
      <c r="E19" s="2375" t="s">
        <v>803</v>
      </c>
      <c r="F19" s="2376" t="s">
        <v>802</v>
      </c>
      <c r="G19" s="2378">
        <f ca="1">ROUND(C19*$C$18+D19*$D$18,0)</f>
        <v>42619</v>
      </c>
      <c r="H19" s="2379" t="s">
        <v>804</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0"/>
      <c r="B20" s="2381" t="s">
        <v>805</v>
      </c>
      <c r="C20" s="1704">
        <f ca="1">SUMIF(INDIRECT("'"&amp;C4&amp;"'"&amp;"!A:A"),结果表!B20,INDIRECT("'"&amp;C4&amp;"'"&amp;"!B:B"))</f>
        <v>22755</v>
      </c>
      <c r="D20" s="1707">
        <f ca="1">SUMIF(INDIRECT("'"&amp;D4&amp;"'"&amp;"!A:A"),结果表!B20,INDIRECT("'"&amp;D4&amp;"'"&amp;"!B:B"))</f>
        <v>16967</v>
      </c>
      <c r="E20" s="2380"/>
      <c r="F20" s="2381" t="s">
        <v>805</v>
      </c>
      <c r="G20" s="2382">
        <f ca="1">ROUND(C20*$C$18+D20*$D$18,0)</f>
        <v>21019</v>
      </c>
      <c r="H20" s="2128" t="s">
        <v>806</v>
      </c>
      <c r="I20" s="992"/>
    </row>
    <row r="21" spans="1:36" ht="15" customHeight="1">
      <c r="A21" s="2299"/>
      <c r="B21" s="2383" t="s">
        <v>807</v>
      </c>
      <c r="C21" s="2384" t="e">
        <f ca="1">ROUND(C19*10000/L19,0)</f>
        <v>#DIV/0!</v>
      </c>
      <c r="D21" s="2385" t="e">
        <f ca="1">ROUND(D19*10000/L19,0)</f>
        <v>#DIV/0!</v>
      </c>
      <c r="E21" s="2299"/>
      <c r="F21" s="2383" t="s">
        <v>807</v>
      </c>
      <c r="G21" s="2386" t="e">
        <f ca="1">ROUND(G19*10000/L19,0)</f>
        <v>#DIV/0!</v>
      </c>
      <c r="H21" s="2387" t="s">
        <v>806</v>
      </c>
      <c r="I21" s="992"/>
    </row>
    <row r="22" spans="1:36" ht="14.25">
      <c r="A22" s="2388" t="s">
        <v>808</v>
      </c>
      <c r="B22" s="2389"/>
      <c r="C22" s="2390"/>
      <c r="D22" s="2391">
        <f ca="1">IF(C19&lt;D19,D19/C19-1,C19/D19-1)</f>
        <v>0.34116210795570145</v>
      </c>
      <c r="E22" s="992"/>
      <c r="F22" s="992"/>
      <c r="G22" s="992"/>
      <c r="H22" s="992"/>
      <c r="I22" s="992"/>
    </row>
    <row r="23" spans="1:36" ht="12.75">
      <c r="A23" s="2356"/>
      <c r="B23" s="2356"/>
      <c r="C23" s="2356"/>
      <c r="D23" s="2356"/>
      <c r="E23" s="992"/>
      <c r="F23" s="992"/>
      <c r="G23" s="992"/>
      <c r="H23" s="992"/>
      <c r="I23" s="992"/>
    </row>
    <row r="24" spans="1:36" ht="14.25">
      <c r="A24" s="3610" t="s">
        <v>809</v>
      </c>
      <c r="B24" s="2376" t="s">
        <v>802</v>
      </c>
      <c r="C24" s="2378">
        <f>IF(B30=0,0,D30)</f>
        <v>0</v>
      </c>
      <c r="D24" s="2392"/>
      <c r="E24" s="992"/>
      <c r="F24" s="992"/>
      <c r="G24" s="992"/>
      <c r="H24" s="992"/>
      <c r="I24" s="992"/>
    </row>
    <row r="25" spans="1:36" ht="14.25">
      <c r="A25" s="3611"/>
      <c r="B25" s="2381" t="s">
        <v>805</v>
      </c>
      <c r="C25" s="2393">
        <f>IF(B30=0,0,C30)</f>
        <v>0</v>
      </c>
      <c r="D25" s="2394"/>
      <c r="E25" s="992"/>
      <c r="F25" s="992"/>
      <c r="G25" s="992"/>
      <c r="H25" s="992"/>
      <c r="I25" s="992"/>
    </row>
    <row r="26" spans="1:36" ht="13.5" customHeight="1">
      <c r="A26" s="2395" t="s">
        <v>810</v>
      </c>
      <c r="B26" s="2396" t="s">
        <v>811</v>
      </c>
      <c r="C26" s="2396" t="s">
        <v>812</v>
      </c>
      <c r="D26" s="2397" t="s">
        <v>813</v>
      </c>
      <c r="E26" s="992"/>
      <c r="F26" s="992"/>
      <c r="G26" s="992"/>
      <c r="H26" s="992"/>
      <c r="I26" s="992"/>
    </row>
    <row r="27" spans="1:36" ht="14.25">
      <c r="A27" s="2398" t="s">
        <v>814</v>
      </c>
      <c r="B27" s="2396">
        <v>0</v>
      </c>
      <c r="C27" s="2396">
        <f ca="1">G19/'数据-基础表'!I13*10000</f>
        <v>24415.562393193726</v>
      </c>
      <c r="D27" s="2397">
        <f ca="1">ROUND(C27*B27/10000,0)</f>
        <v>0</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815</v>
      </c>
      <c r="B30" s="2396"/>
      <c r="C30" s="2396"/>
      <c r="D30" s="2396"/>
      <c r="E30" s="2399" t="s">
        <v>816</v>
      </c>
      <c r="F30" s="992"/>
      <c r="G30" s="992"/>
      <c r="H30" s="992"/>
      <c r="I30" s="992"/>
    </row>
    <row r="31" spans="1:36" s="2350" customFormat="1" ht="26.45" customHeight="1">
      <c r="A31" s="2400"/>
      <c r="B31" s="2401"/>
      <c r="C31" s="2401"/>
      <c r="D31" s="2401"/>
      <c r="E31" s="2401"/>
      <c r="F31" s="2401"/>
      <c r="G31" s="2401"/>
      <c r="H31" s="2401"/>
      <c r="I31" s="2495" t="s">
        <v>817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818</v>
      </c>
      <c r="B32" s="2403"/>
      <c r="C32" s="2404">
        <f ca="1">IF(D32="总价",G19-C24,G20-C25)</f>
        <v>42619</v>
      </c>
      <c r="D32" s="2405" t="s">
        <v>819</v>
      </c>
      <c r="E32" s="992"/>
      <c r="F32" s="992"/>
      <c r="G32" s="992"/>
      <c r="H32" s="992"/>
      <c r="I32" s="992"/>
    </row>
    <row r="33" spans="1:15" ht="15">
      <c r="A33" s="2240" t="s">
        <v>820</v>
      </c>
      <c r="B33" s="2406"/>
      <c r="C33" s="2407" t="s">
        <v>821</v>
      </c>
      <c r="D33" s="2408" t="s">
        <v>777</v>
      </c>
      <c r="E33" s="2409" t="s">
        <v>822</v>
      </c>
      <c r="F33" s="2410" t="str">
        <f>IF(D32="楼面单价","取值（单价）","取值（总价）")</f>
        <v>取值（总价）</v>
      </c>
      <c r="G33" s="992"/>
      <c r="H33" s="992"/>
      <c r="I33" s="992"/>
    </row>
    <row r="34" spans="1:15" ht="15">
      <c r="A34" s="2411"/>
      <c r="B34" s="2412" t="s">
        <v>823</v>
      </c>
      <c r="C34" s="2413">
        <f ca="1">IF(C33="自定义",F34,C32-C35)</f>
        <v>34990</v>
      </c>
      <c r="D34" s="2414">
        <f ca="1">IF(C33="自定义",ROUND(C34/C32,3),IF(C33="收益比率",SUMIF(INDIRECT("'"&amp;D33&amp;"'"&amp;"!b:b"),"土地收益比率",INDIRECT("'"&amp;D33&amp;"'"&amp;"!c:c")),SUMIF(INDIRECT("'"&amp;D33&amp;"'"&amp;"!b:b"),"土地成本比率",INDIRECT("'"&amp;D33&amp;"'"&amp;"!c:c"))))</f>
        <v>0.82099999999999995</v>
      </c>
      <c r="E34" s="2415" t="s">
        <v>824</v>
      </c>
      <c r="F34" s="2416"/>
      <c r="G34" s="992"/>
      <c r="H34" s="992"/>
      <c r="I34" s="992"/>
    </row>
    <row r="35" spans="1:15" ht="15">
      <c r="A35" s="2417"/>
      <c r="B35" s="2418" t="s">
        <v>825</v>
      </c>
      <c r="C35" s="2419">
        <f ca="1">IF(C33="自定义",F35,ROUND(C32*D35,0))</f>
        <v>7629</v>
      </c>
      <c r="D35" s="2420">
        <f ca="1">IF(C33="自定义",ROUND(C35/C32,3),IF(C33="收益比率",SUMIF(INDIRECT("'"&amp;D33&amp;"'"&amp;"!b:b"),"建筑物收益比率",INDIRECT("'"&amp;D33&amp;"'"&amp;"!c:c")),SUMIF(INDIRECT("'"&amp;D33&amp;"'"&amp;"!b:b"),"建筑物成本比率",INDIRECT("'"&amp;D33&amp;"'"&amp;"!c:c"))))</f>
        <v>0.17899999999999999</v>
      </c>
      <c r="E35" s="2421" t="s">
        <v>826</v>
      </c>
      <c r="F35" s="2422"/>
      <c r="G35" s="992"/>
      <c r="H35" s="992"/>
      <c r="I35" s="992"/>
    </row>
    <row r="36" spans="1:15" ht="15">
      <c r="A36" s="3612" t="s">
        <v>827</v>
      </c>
      <c r="B36" s="2423" t="s">
        <v>828</v>
      </c>
      <c r="C36" s="2424"/>
      <c r="D36" s="2425"/>
      <c r="E36" s="2426"/>
      <c r="F36" s="2427"/>
      <c r="G36" s="992"/>
      <c r="H36" s="992"/>
      <c r="I36" s="992"/>
    </row>
    <row r="37" spans="1:15" ht="15">
      <c r="A37" s="3613"/>
      <c r="B37" s="2428" t="s">
        <v>829</v>
      </c>
      <c r="C37" s="2429"/>
      <c r="D37" s="2430"/>
      <c r="E37" s="2430"/>
      <c r="F37" s="2427"/>
      <c r="G37" s="992"/>
      <c r="H37" s="992"/>
      <c r="I37" s="992"/>
    </row>
    <row r="38" spans="1:15" ht="15">
      <c r="A38" s="3614"/>
      <c r="B38" s="2431" t="s">
        <v>830</v>
      </c>
      <c r="C38" s="2432"/>
      <c r="D38" s="2433" t="s">
        <v>831</v>
      </c>
      <c r="E38" s="2430"/>
      <c r="F38" s="2427"/>
      <c r="G38" s="992"/>
      <c r="H38" s="992"/>
      <c r="I38" s="992"/>
    </row>
    <row r="39" spans="1:15" ht="15">
      <c r="A39" s="2380" t="s">
        <v>832</v>
      </c>
      <c r="B39" s="2434" t="s">
        <v>811</v>
      </c>
      <c r="C39" s="2435" t="s">
        <v>812</v>
      </c>
      <c r="D39" s="2435" t="s">
        <v>833</v>
      </c>
      <c r="E39" s="2436" t="s">
        <v>813</v>
      </c>
      <c r="F39" s="2427"/>
      <c r="G39" s="992"/>
      <c r="H39" s="992"/>
      <c r="I39" s="992"/>
    </row>
    <row r="40" spans="1:15" ht="14.25">
      <c r="A40" s="2437" t="s">
        <v>834</v>
      </c>
      <c r="B40" s="2438"/>
      <c r="C40" s="1010"/>
      <c r="D40" s="1010"/>
      <c r="E40" s="2439"/>
      <c r="F40" s="2427"/>
      <c r="G40" s="992"/>
      <c r="H40" s="992"/>
      <c r="I40" s="992"/>
    </row>
    <row r="41" spans="1:15" ht="14.25">
      <c r="A41" s="2437" t="s">
        <v>835</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836</v>
      </c>
      <c r="B44" s="2446"/>
      <c r="C44" s="2446"/>
      <c r="D44" s="2447"/>
      <c r="E44" s="2447"/>
      <c r="F44" s="2448"/>
      <c r="G44" s="2448"/>
      <c r="H44" s="2448"/>
      <c r="I44" s="2448"/>
      <c r="J44" s="2499" t="s">
        <v>837</v>
      </c>
      <c r="K44" s="2500"/>
      <c r="L44" s="2500"/>
      <c r="M44" s="2500"/>
      <c r="N44" s="2500"/>
      <c r="O44" s="2500"/>
    </row>
    <row r="45" spans="1:15" ht="14.25" customHeight="1">
      <c r="A45" s="3539" t="s">
        <v>838</v>
      </c>
      <c r="B45" s="3540"/>
      <c r="C45" s="3541"/>
      <c r="D45" s="1971">
        <f ca="1">ROUND(H101*F45,0)</f>
        <v>42619</v>
      </c>
      <c r="E45" s="2449" t="s">
        <v>839</v>
      </c>
      <c r="F45" s="2450">
        <v>1</v>
      </c>
      <c r="G45" s="2451" t="s">
        <v>840</v>
      </c>
      <c r="H45" s="992"/>
      <c r="I45" s="992"/>
      <c r="J45" s="3542" t="s">
        <v>841</v>
      </c>
      <c r="K45" s="3542"/>
      <c r="L45" s="3542"/>
      <c r="M45" s="3542"/>
      <c r="N45" s="3542"/>
      <c r="O45" s="3542"/>
    </row>
    <row r="46" spans="1:15" ht="14.25" customHeight="1">
      <c r="A46" s="3543" t="s">
        <v>842</v>
      </c>
      <c r="B46" s="3544"/>
      <c r="C46" s="3544"/>
      <c r="D46" s="3544"/>
      <c r="E46" s="3544"/>
      <c r="F46" s="3544"/>
      <c r="G46" s="3545"/>
      <c r="H46" s="2452"/>
      <c r="I46" s="993"/>
      <c r="J46" s="618">
        <v>1</v>
      </c>
      <c r="K46" s="3546" t="s">
        <v>843</v>
      </c>
      <c r="L46" s="3546"/>
      <c r="M46" s="3547"/>
      <c r="N46" s="3547"/>
      <c r="O46" s="3547"/>
    </row>
    <row r="47" spans="1:15" ht="12" customHeight="1">
      <c r="A47" s="2453" t="s">
        <v>844</v>
      </c>
      <c r="B47" s="2454"/>
      <c r="C47" s="2455"/>
      <c r="D47" s="2022" t="s">
        <v>845</v>
      </c>
      <c r="E47" s="1972" t="s">
        <v>846</v>
      </c>
      <c r="F47" s="2456" t="s">
        <v>847</v>
      </c>
      <c r="G47" s="2457" t="s">
        <v>848</v>
      </c>
      <c r="H47" s="2458"/>
      <c r="I47" s="993"/>
      <c r="J47" s="618">
        <v>2</v>
      </c>
      <c r="K47" s="3546" t="s">
        <v>849</v>
      </c>
      <c r="L47" s="3546"/>
      <c r="M47" s="3552">
        <f>'数据-取费表'!B2</f>
        <v>45078</v>
      </c>
      <c r="N47" s="3552"/>
      <c r="O47" s="3552"/>
    </row>
    <row r="48" spans="1:15" ht="25.5">
      <c r="A48" s="3553" t="s">
        <v>850</v>
      </c>
      <c r="B48" s="3554"/>
      <c r="C48" s="3554"/>
      <c r="D48" s="2126" t="b">
        <f>IF(H48="情况1",0,IF(H48="情况2",D52,IF(H48="情况3",D53,IF(H48="情况4",D54))))</f>
        <v>0</v>
      </c>
      <c r="E48" s="2026" t="str">
        <f>IF(H48="情况4","(销售额-原购置价)×税（费）率","销售额×税（费）率")</f>
        <v>销售额×税（费）率</v>
      </c>
      <c r="F48" s="2460">
        <f>IF(H48="情况1","免征",'数据-取费表'!B41)</f>
        <v>5.6000000000000001E-2</v>
      </c>
      <c r="G48" s="2461" t="s">
        <v>851</v>
      </c>
      <c r="H48" s="2462"/>
      <c r="I48" s="2452"/>
      <c r="J48" s="618">
        <v>3</v>
      </c>
      <c r="K48" s="3546" t="s">
        <v>852</v>
      </c>
      <c r="L48" s="3546"/>
      <c r="M48" s="3555">
        <f ca="1">H101</f>
        <v>42619</v>
      </c>
      <c r="N48" s="3555"/>
      <c r="O48" s="3555"/>
    </row>
    <row r="49" spans="1:35" ht="25.5" customHeight="1">
      <c r="A49" s="2459" t="s">
        <v>853</v>
      </c>
      <c r="B49" s="3556" t="s">
        <v>854</v>
      </c>
      <c r="C49" s="3556"/>
      <c r="D49" s="2463">
        <v>0</v>
      </c>
      <c r="E49" s="2032" t="s">
        <v>855</v>
      </c>
      <c r="F49" s="2464" t="s">
        <v>124</v>
      </c>
      <c r="G49" s="3562"/>
      <c r="H49" s="2465" t="s">
        <v>856</v>
      </c>
      <c r="I49" s="2502"/>
      <c r="J49" s="618">
        <v>4</v>
      </c>
      <c r="K49" s="3546" t="str">
        <f>IF(项目基本情况!E8="房地产抵押价值","房地产抵押价值","抵押担保权已注销时的房地产抵押价值")</f>
        <v>房地产抵押价值</v>
      </c>
      <c r="L49" s="3546"/>
      <c r="M49" s="3555">
        <f ca="1">IF(项目基本情况!E8="房地产抵押价值",H107,H109)</f>
        <v>42619</v>
      </c>
      <c r="N49" s="3555"/>
      <c r="O49" s="3555"/>
    </row>
    <row r="50" spans="1:35" ht="25.5" customHeight="1">
      <c r="A50" s="2466"/>
      <c r="B50" s="3556" t="s">
        <v>857</v>
      </c>
      <c r="C50" s="3556"/>
      <c r="D50" s="2467"/>
      <c r="E50" s="2047"/>
      <c r="F50" s="2464"/>
      <c r="G50" s="3563"/>
      <c r="H50" s="2468" t="s">
        <v>858</v>
      </c>
      <c r="I50" s="2502"/>
      <c r="J50" s="3542" t="s">
        <v>859</v>
      </c>
      <c r="K50" s="3542"/>
      <c r="L50" s="3542"/>
      <c r="M50" s="3542"/>
      <c r="N50" s="3542"/>
      <c r="O50" s="3542"/>
    </row>
    <row r="51" spans="1:35" ht="20.45" customHeight="1">
      <c r="A51" s="2469"/>
      <c r="B51" s="3556" t="s">
        <v>860</v>
      </c>
      <c r="C51" s="3556"/>
      <c r="D51" s="2022"/>
      <c r="E51" s="2036"/>
      <c r="F51" s="2464"/>
      <c r="G51" s="3564"/>
      <c r="H51" s="2468" t="s">
        <v>861</v>
      </c>
      <c r="I51" s="2502"/>
      <c r="J51" s="2501" t="s">
        <v>862</v>
      </c>
      <c r="K51" s="3546" t="s">
        <v>863</v>
      </c>
      <c r="L51" s="3546"/>
      <c r="M51" s="2501" t="s">
        <v>864</v>
      </c>
      <c r="N51" s="2501" t="s">
        <v>865</v>
      </c>
      <c r="O51" s="2501" t="s">
        <v>866</v>
      </c>
    </row>
    <row r="52" spans="1:35" ht="24" customHeight="1">
      <c r="A52" s="2470" t="s">
        <v>867</v>
      </c>
      <c r="B52" s="3556" t="s">
        <v>868</v>
      </c>
      <c r="C52" s="3556"/>
      <c r="D52" s="2022">
        <f ca="1">ROUND(D45*'数据-取费表'!B41/(1+'数据-取费表'!C42),0)</f>
        <v>2273</v>
      </c>
      <c r="E52" s="2026" t="s">
        <v>869</v>
      </c>
      <c r="F52" s="2471">
        <f>'数据-取费表'!B41</f>
        <v>5.6000000000000001E-2</v>
      </c>
      <c r="G52" s="2472"/>
      <c r="H52" s="2141"/>
      <c r="I52" s="2503"/>
      <c r="J52" s="618">
        <v>1</v>
      </c>
      <c r="K52" s="3558" t="s">
        <v>870</v>
      </c>
      <c r="L52" s="3558"/>
      <c r="M52" s="2504" t="b">
        <f>D48</f>
        <v>0</v>
      </c>
      <c r="N52" s="618" t="str">
        <f>E48</f>
        <v>销售额×税（费）率</v>
      </c>
      <c r="O52" s="2505">
        <f>F48</f>
        <v>5.6000000000000001E-2</v>
      </c>
    </row>
    <row r="53" spans="1:35" ht="12" customHeight="1">
      <c r="A53" s="2470" t="s">
        <v>871</v>
      </c>
      <c r="B53" s="3559" t="s">
        <v>872</v>
      </c>
      <c r="C53" s="3560"/>
      <c r="D53" s="2022">
        <f ca="1">ROUND(D45*'数据-取费表'!B41/(1+'数据-取费表'!C42),0)</f>
        <v>2273</v>
      </c>
      <c r="E53" s="2026" t="s">
        <v>869</v>
      </c>
      <c r="F53" s="2471">
        <f>'数据-取费表'!B41</f>
        <v>5.6000000000000001E-2</v>
      </c>
      <c r="G53" s="2472"/>
      <c r="H53" s="2141"/>
      <c r="I53" s="2503"/>
      <c r="J53" s="618">
        <v>2</v>
      </c>
      <c r="K53" s="3558" t="s">
        <v>873</v>
      </c>
      <c r="L53" s="3558"/>
      <c r="M53" s="2504">
        <f t="shared" ref="M53:O54" ca="1" si="0">D55</f>
        <v>21</v>
      </c>
      <c r="N53" s="618" t="str">
        <f t="shared" si="0"/>
        <v>销售额×税（费）率</v>
      </c>
      <c r="O53" s="2505" t="str">
        <f t="shared" si="0"/>
        <v>免征</v>
      </c>
    </row>
    <row r="54" spans="1:35" ht="12" customHeight="1">
      <c r="A54" s="2470" t="s">
        <v>874</v>
      </c>
      <c r="B54" s="3559" t="s">
        <v>875</v>
      </c>
      <c r="C54" s="3560"/>
      <c r="D54" s="2022">
        <f ca="1">C68</f>
        <v>2273</v>
      </c>
      <c r="E54" s="2036" t="s">
        <v>876</v>
      </c>
      <c r="F54" s="2471">
        <f>'数据-取费表'!B41</f>
        <v>5.6000000000000001E-2</v>
      </c>
      <c r="G54" s="2472"/>
      <c r="H54" s="2473"/>
      <c r="I54" s="2503"/>
      <c r="J54" s="618">
        <v>3</v>
      </c>
      <c r="K54" s="3558" t="s">
        <v>877</v>
      </c>
      <c r="L54" s="3558"/>
      <c r="M54" s="2504">
        <f t="shared" ca="1" si="0"/>
        <v>24122</v>
      </c>
      <c r="N54" s="618" t="str">
        <f t="shared" si="0"/>
        <v>增值额×税（费）率</v>
      </c>
      <c r="O54" s="2506" t="str">
        <f t="shared" si="0"/>
        <v>免征</v>
      </c>
    </row>
    <row r="55" spans="1:35" ht="24" customHeight="1">
      <c r="A55" s="3561" t="s">
        <v>878</v>
      </c>
      <c r="B55" s="3554"/>
      <c r="C55" s="3554"/>
      <c r="D55" s="2126">
        <f ca="1">IF(H55="个人住宅",0,ROUND(D45*I55,0))</f>
        <v>21</v>
      </c>
      <c r="E55" s="2026" t="s">
        <v>879</v>
      </c>
      <c r="F55" s="2471" t="str">
        <f>IF(H55="正常",I55,"免征")</f>
        <v>免征</v>
      </c>
      <c r="G55" s="2472"/>
      <c r="H55" s="2462"/>
      <c r="I55" s="2507">
        <f>'数据-取费表'!B49</f>
        <v>5.0000000000000001E-4</v>
      </c>
      <c r="J55" s="618">
        <f>IF(H59="非个人房产","",4)</f>
        <v>4</v>
      </c>
      <c r="K55" s="3558" t="str">
        <f>IF(H59="非个人房产","——","个人所得税")</f>
        <v>个人所得税</v>
      </c>
      <c r="L55" s="3558"/>
      <c r="M55" s="2508">
        <f ca="1">D59</f>
        <v>406</v>
      </c>
      <c r="N55" s="599" t="str">
        <f>E59</f>
        <v>差额计税</v>
      </c>
      <c r="O55" s="2509">
        <f>F59</f>
        <v>0.01</v>
      </c>
    </row>
    <row r="56" spans="1:35" ht="24.75">
      <c r="A56" s="3561" t="s">
        <v>880</v>
      </c>
      <c r="B56" s="3554"/>
      <c r="C56" s="3554"/>
      <c r="D56" s="2126">
        <f ca="1">IF(H56="个人住宅",D57,D58)</f>
        <v>24122</v>
      </c>
      <c r="E56" s="2026" t="s">
        <v>881</v>
      </c>
      <c r="F56" s="2471" t="str">
        <f>IF(H56="正常",F58,"免征")</f>
        <v>免征</v>
      </c>
      <c r="G56" s="2474" t="s">
        <v>882</v>
      </c>
      <c r="H56" s="2475"/>
      <c r="I56" s="2484"/>
      <c r="J56" s="618" t="str">
        <f>IF(项目基本情况!K6="上海银行",IF(J55="",4,J55+1),"")</f>
        <v/>
      </c>
      <c r="K56" s="3565" t="str">
        <f>IF(项目基本情况!K6="上海银行","其他处置费用","")</f>
        <v/>
      </c>
      <c r="L56" s="3566"/>
      <c r="M56" s="2504" t="str">
        <f>IF(项目基本情况!K6="上海银行",M69,"")</f>
        <v/>
      </c>
      <c r="N56" s="3565" t="str">
        <f>IF(项目基本情况!K6="上海银行","包含处置中涉及的律师、诉讼、拍卖、评估等费用","")</f>
        <v/>
      </c>
      <c r="O56" s="3567"/>
    </row>
    <row r="57" spans="1:35" ht="12.75">
      <c r="A57" s="2470" t="s">
        <v>853</v>
      </c>
      <c r="B57" s="3559" t="s">
        <v>883</v>
      </c>
      <c r="C57" s="3560"/>
      <c r="D57" s="2463">
        <v>0</v>
      </c>
      <c r="E57" s="2032" t="s">
        <v>855</v>
      </c>
      <c r="F57" s="1972"/>
      <c r="G57" s="2472"/>
      <c r="H57" s="2476"/>
      <c r="I57" s="2484"/>
      <c r="J57" s="3558">
        <f>IF(AND(J55="",J56=""),4,IF(项目基本情况!K6="上海银行",结果表!J56+1,结果表!J55+1))</f>
        <v>5</v>
      </c>
      <c r="K57" s="3558" t="s">
        <v>884</v>
      </c>
      <c r="L57" s="2510" t="s">
        <v>885</v>
      </c>
      <c r="M57" s="2511"/>
      <c r="N57" s="2512">
        <f ca="1">SUMIF(M52:M56,"&lt;9e307")</f>
        <v>24549</v>
      </c>
      <c r="O57" s="2513"/>
      <c r="P57" s="2514">
        <f ca="1">N57/M49</f>
        <v>0.57601069945329553</v>
      </c>
    </row>
    <row r="58" spans="1:35" ht="24.75">
      <c r="A58" s="2470" t="s">
        <v>867</v>
      </c>
      <c r="B58" s="3559" t="s">
        <v>886</v>
      </c>
      <c r="C58" s="3556"/>
      <c r="D58" s="2126">
        <f ca="1">IF(H58="转让取得",C81,C97)</f>
        <v>24122</v>
      </c>
      <c r="E58" s="2026" t="s">
        <v>881</v>
      </c>
      <c r="F58" s="1972" t="s">
        <v>124</v>
      </c>
      <c r="G58" s="2472"/>
      <c r="H58" s="2475"/>
      <c r="I58" s="2484"/>
      <c r="J58" s="3558"/>
      <c r="K58" s="3558"/>
      <c r="L58" s="2510" t="s">
        <v>887</v>
      </c>
      <c r="M58" s="2515"/>
      <c r="N58" s="2516" t="str">
        <f ca="1">NUMBERSTRING(INT(N57*10000),2)&amp;"元整"</f>
        <v>贰亿肆仟伍佰肆拾玖万元整</v>
      </c>
      <c r="O58" s="2517"/>
    </row>
    <row r="59" spans="1:35" ht="24">
      <c r="A59" s="3568" t="s">
        <v>888</v>
      </c>
      <c r="B59" s="3569"/>
      <c r="C59" s="3569"/>
      <c r="D59" s="2477">
        <f ca="1">IF(H59="非个人房产","——",IF(H59="个人住宅（满五唯一有凭证）",0,IF(H59="个人其他（无凭证）",ROUND(D45*F59,0),ROUND(C67*F59,0))))</f>
        <v>406</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882</v>
      </c>
      <c r="H59" s="2481"/>
      <c r="I59" s="2518" t="s">
        <v>889</v>
      </c>
      <c r="J59" s="3573">
        <f>J57+1</f>
        <v>6</v>
      </c>
      <c r="K59" s="3558" t="s">
        <v>890</v>
      </c>
      <c r="L59" s="618" t="s">
        <v>885</v>
      </c>
      <c r="M59" s="2519"/>
      <c r="N59" s="2520">
        <f ca="1">M49-N57</f>
        <v>18070</v>
      </c>
      <c r="O59" s="2521"/>
    </row>
    <row r="60" spans="1:35" ht="12" customHeight="1">
      <c r="A60" s="2482"/>
      <c r="B60" s="2356"/>
      <c r="C60" s="2356"/>
      <c r="D60" s="2356"/>
      <c r="E60" s="2483"/>
      <c r="F60" s="2484"/>
      <c r="G60" s="2484"/>
      <c r="H60" s="2485"/>
      <c r="I60" s="992"/>
      <c r="J60" s="3574"/>
      <c r="K60" s="3558"/>
      <c r="L60" s="2510" t="s">
        <v>887</v>
      </c>
      <c r="M60" s="2515"/>
      <c r="N60" s="2516" t="str">
        <f ca="1">NUMBERSTRING(INT(N59*10000),2)&amp;"元整"</f>
        <v>壹亿捌仟零柒拾万元整</v>
      </c>
      <c r="O60" s="2517"/>
    </row>
    <row r="61" spans="1:35" ht="12.75">
      <c r="A61" s="3570" t="s">
        <v>891</v>
      </c>
      <c r="B61" s="3570"/>
      <c r="C61" s="3570"/>
      <c r="D61" s="3570"/>
      <c r="E61" s="3570"/>
      <c r="F61" s="2484"/>
      <c r="G61" s="2484"/>
      <c r="H61" s="2485"/>
      <c r="I61" s="992"/>
      <c r="J61" s="618">
        <f>J59+1</f>
        <v>7</v>
      </c>
      <c r="K61" s="3558" t="s">
        <v>892</v>
      </c>
      <c r="L61" s="3558"/>
      <c r="M61" s="2522"/>
      <c r="N61" s="2523">
        <f ca="1">ROUND(N59*10000/'数据-汇总表'!E3,0)</f>
        <v>8912</v>
      </c>
      <c r="O61" s="2524"/>
    </row>
    <row r="62" spans="1:35" ht="12.75">
      <c r="A62" s="3571" t="s">
        <v>893</v>
      </c>
      <c r="B62" s="3572"/>
      <c r="C62" s="569"/>
      <c r="D62" s="569" t="s">
        <v>894</v>
      </c>
      <c r="E62" s="2486" t="s">
        <v>848</v>
      </c>
      <c r="F62" s="2484"/>
      <c r="G62" s="2484"/>
      <c r="H62" s="2485"/>
      <c r="I62" s="992"/>
    </row>
    <row r="63" spans="1:35" ht="12.75">
      <c r="A63" s="2487" t="s">
        <v>895</v>
      </c>
      <c r="B63" s="628" t="s">
        <v>896</v>
      </c>
      <c r="C63" s="2488">
        <f ca="1">ROUND((C64+C65)/(1+'数据-取费表'!C42),0)</f>
        <v>40590</v>
      </c>
      <c r="D63" s="628"/>
      <c r="E63" s="2489"/>
      <c r="F63" s="2484"/>
      <c r="G63" s="2484"/>
      <c r="H63" s="2485"/>
      <c r="I63" s="992"/>
      <c r="J63" s="3557" t="s">
        <v>897</v>
      </c>
      <c r="K63" s="2525" t="s">
        <v>898</v>
      </c>
      <c r="L63" s="2525">
        <f ca="1">IF(M49&gt;10000,M49*0.5%,IF(AND(M49&gt;1000,M49&lt;=10000),M49*1%,IF(AND(M49&gt;100,M49&lt;=1000),M49*3%,IF(AND(M49&gt;10,M49&lt;=100),M49*5%,M49*8%))))</f>
        <v>213.095</v>
      </c>
      <c r="M63" s="1972">
        <f ca="1">ROUND(L63,1)</f>
        <v>213.1</v>
      </c>
      <c r="N63" s="2526"/>
      <c r="Z63" s="2353"/>
      <c r="AI63" s="2354"/>
    </row>
    <row r="64" spans="1:35" ht="14.25" customHeight="1">
      <c r="A64" s="2490" t="s">
        <v>899</v>
      </c>
      <c r="B64" s="555" t="s">
        <v>900</v>
      </c>
      <c r="C64" s="2491">
        <f ca="1">D45</f>
        <v>42619</v>
      </c>
      <c r="D64" s="555" t="s">
        <v>124</v>
      </c>
      <c r="E64" s="2492"/>
      <c r="F64" s="2484"/>
      <c r="G64" s="2484"/>
      <c r="H64" s="2485"/>
      <c r="I64" s="992"/>
      <c r="J64" s="3557"/>
      <c r="K64" s="2525" t="s">
        <v>901</v>
      </c>
      <c r="L64" s="2525">
        <f ca="1">IF(M49&gt;2000,M49*0.5%,IF(AND(M49&gt;1000,M49&lt;=2000),M49*0.6%,IF(AND(M49&gt;500,M49&lt;=1000),M49*0.7%,IF(AND(M49&gt;200,M49&lt;=500),M49*0.8%,IF(AND(M49&gt;100,M49&lt;=200),M49*0.9%,IF(AND(M49&gt;50,M49&lt;=100),M49*1%,IF(AND(M49&gt;20,M49&lt;=50),M49*1.5%,IF(AND(M49&gt;10,M49&lt;=20),M49*2%,IF(AND(M49&gt;1,M49&lt;=10),M49*2.5%)))))))))</f>
        <v>213.095</v>
      </c>
      <c r="M64" s="1972">
        <f t="shared" ref="M64:M65" ca="1" si="1">ROUND(L64,1)</f>
        <v>213.1</v>
      </c>
      <c r="N64" s="2141" t="s">
        <v>902</v>
      </c>
      <c r="Z64" s="2353"/>
      <c r="AI64" s="2354"/>
    </row>
    <row r="65" spans="1:35" ht="14.25" customHeight="1">
      <c r="A65" s="2490" t="s">
        <v>903</v>
      </c>
      <c r="B65" s="555" t="s">
        <v>904</v>
      </c>
      <c r="C65" s="2528"/>
      <c r="D65" s="555"/>
      <c r="E65" s="2492"/>
      <c r="F65" s="2484"/>
      <c r="G65" s="2484"/>
      <c r="H65" s="2485"/>
      <c r="I65" s="992"/>
      <c r="J65" s="3557"/>
      <c r="K65" s="2525" t="s">
        <v>905</v>
      </c>
      <c r="L65" s="2525">
        <f ca="1">IF(M49&gt;1000,M49*0.1%,IF(AND(M49&gt;500,M49&lt;=1000),M49*0.5%,IF(AND(M49&gt;50,M49&lt;=500),M49*1%,IF(AND(M49&gt;1,M49&lt;=50),M49*1.5%))))</f>
        <v>42.619</v>
      </c>
      <c r="M65" s="1972">
        <f t="shared" ca="1" si="1"/>
        <v>42.6</v>
      </c>
      <c r="N65" s="2141" t="s">
        <v>902</v>
      </c>
      <c r="Z65" s="2353"/>
      <c r="AI65" s="2354"/>
    </row>
    <row r="66" spans="1:35" ht="14.25" customHeight="1">
      <c r="A66" s="2487" t="s">
        <v>906</v>
      </c>
      <c r="B66" s="2529" t="s">
        <v>907</v>
      </c>
      <c r="C66" s="2530"/>
      <c r="D66" s="2529" t="s">
        <v>124</v>
      </c>
      <c r="E66" s="2531" t="s">
        <v>908</v>
      </c>
      <c r="F66" s="2484"/>
      <c r="G66" s="2484"/>
      <c r="H66" s="2485"/>
      <c r="I66" s="992"/>
      <c r="J66" s="3557"/>
      <c r="K66" s="2525" t="s">
        <v>909</v>
      </c>
      <c r="L66" s="2525">
        <f ca="1">M49*0.5%</f>
        <v>213.095</v>
      </c>
      <c r="M66" s="1972">
        <f ca="1">IF(L66&gt;0.5,0.5,ROUND(L66,0))</f>
        <v>0.5</v>
      </c>
      <c r="N66" s="2141" t="s">
        <v>910</v>
      </c>
      <c r="Z66" s="2353"/>
      <c r="AI66" s="2354"/>
    </row>
    <row r="67" spans="1:35" ht="14.25" customHeight="1">
      <c r="A67" s="2487" t="s">
        <v>911</v>
      </c>
      <c r="B67" s="2529" t="s">
        <v>912</v>
      </c>
      <c r="C67" s="2532">
        <f ca="1">C63-C66</f>
        <v>40590</v>
      </c>
      <c r="D67" s="555" t="s">
        <v>124</v>
      </c>
      <c r="E67" s="2492"/>
      <c r="F67" s="2484"/>
      <c r="G67" s="2484"/>
      <c r="H67" s="2485"/>
      <c r="I67" s="992"/>
      <c r="J67" s="3557"/>
      <c r="K67" s="2525" t="s">
        <v>913</v>
      </c>
      <c r="L67" s="2525">
        <f ca="1">IF(M49&gt;=10000,(8.25+(M49-10000)*0.01%),IF(AND(M49&gt;=8000,M49&lt;10000),(7.85+(M49-8000)*0.02%),IF(AND(M49&gt;=5000,M49&lt;8000),(6.65+(M49-5000)*0.04%),IF(AND(M49&gt;=2000,M49&lt;5000),(4.25+(PM49-2000)*0.08%),IF(AND(M49&gt;=1000,M49&lt;2000),(2.75+(M49-1000)*0.15%),IF(AND(M49&gt;=100,M49&lt;1000),(0.5+(M49-100)*0.25%),IF(AND(M49&gt;0,M49&lt;100),M49*0.5%)))))))</f>
        <v>11.511900000000001</v>
      </c>
      <c r="M67" s="1972">
        <f ca="1">ROUND(L67*0.9,1)</f>
        <v>10.4</v>
      </c>
      <c r="N67" s="2526"/>
      <c r="Z67" s="2353"/>
      <c r="AI67" s="2354"/>
    </row>
    <row r="68" spans="1:35" ht="14.25" customHeight="1">
      <c r="A68" s="2533" t="s">
        <v>914</v>
      </c>
      <c r="B68" s="2534" t="s">
        <v>915</v>
      </c>
      <c r="C68" s="2535">
        <f ca="1">IF(C67&lt;=0,0,ROUND(C67*D68,0))</f>
        <v>2273</v>
      </c>
      <c r="D68" s="821">
        <f>'数据-取费表'!B41</f>
        <v>5.6000000000000001E-2</v>
      </c>
      <c r="E68" s="2536"/>
      <c r="F68" s="2484"/>
      <c r="G68" s="2484"/>
      <c r="H68" s="2485"/>
      <c r="I68" s="992"/>
      <c r="J68" s="3557"/>
      <c r="K68" s="2525" t="s">
        <v>916</v>
      </c>
      <c r="L68" s="2525">
        <f ca="1">IF(M49&gt;10000,M49*0.5%,IF(AND(M49&gt;5000,M49&lt;=10000),M49*1%,IF(AND(M49&gt;1000,M49&lt;=5000),M49*2%,IF(AND(M49&gt;200,M49&lt;=1000),M49*3%,M49*5%))))</f>
        <v>213.095</v>
      </c>
      <c r="M68" s="1972">
        <f ca="1">ROUND(L68,1)</f>
        <v>213.1</v>
      </c>
      <c r="N68" s="2526"/>
      <c r="Z68" s="2353"/>
      <c r="AI68" s="2354"/>
    </row>
    <row r="69" spans="1:35" s="2351" customFormat="1" ht="16.5" customHeight="1">
      <c r="A69" s="2537"/>
      <c r="B69" s="2538"/>
      <c r="C69" s="2539"/>
      <c r="D69" s="738"/>
      <c r="E69" s="2540"/>
      <c r="F69" s="2483"/>
      <c r="G69" s="2483"/>
      <c r="H69" s="2443"/>
      <c r="I69" s="2356"/>
      <c r="J69" s="3557"/>
      <c r="K69" s="2525" t="s">
        <v>917</v>
      </c>
      <c r="L69" s="2525"/>
      <c r="M69" s="1972">
        <f ca="1">ROUND(SUM(M63:M68),0)</f>
        <v>693</v>
      </c>
      <c r="N69" s="2603">
        <f ca="1">M69/M49</f>
        <v>1.626035336352331E-2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595" t="s">
        <v>918</v>
      </c>
      <c r="B70" s="3596"/>
      <c r="C70" s="3596"/>
      <c r="D70" s="3596"/>
      <c r="E70" s="3596"/>
      <c r="F70" s="3596"/>
      <c r="G70" s="3596"/>
      <c r="H70" s="3596"/>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4.25">
      <c r="A71" s="3571" t="s">
        <v>893</v>
      </c>
      <c r="B71" s="3572"/>
      <c r="C71" s="569"/>
      <c r="D71" s="569" t="s">
        <v>894</v>
      </c>
      <c r="E71" s="2541" t="s">
        <v>848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4.25">
      <c r="A72" s="2487" t="s">
        <v>895</v>
      </c>
      <c r="B72" s="2529" t="s">
        <v>919</v>
      </c>
      <c r="C72" s="2532">
        <f ca="1">ROUND(D45/(1+'数据-取费表'!C42),0)</f>
        <v>40590</v>
      </c>
      <c r="D72" s="555" t="s">
        <v>124</v>
      </c>
      <c r="E72" s="2003"/>
      <c r="F72" s="2004"/>
      <c r="G72" s="2004"/>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4.25">
      <c r="A73" s="2487" t="s">
        <v>906</v>
      </c>
      <c r="B73" s="2456" t="s">
        <v>920</v>
      </c>
      <c r="C73" s="2532">
        <f ca="1">C74+C78</f>
        <v>244</v>
      </c>
      <c r="D73" s="555" t="s">
        <v>124</v>
      </c>
      <c r="E73" s="2003"/>
      <c r="F73" s="2004"/>
      <c r="G73" s="2004"/>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4">
      <c r="A74" s="2490" t="s">
        <v>899</v>
      </c>
      <c r="B74" s="555" t="s">
        <v>921</v>
      </c>
      <c r="C74" s="555">
        <f>ROUND(IF(G77="2016年5月1日后购买",C75/(1+'数据-取费表'!C42)+C76+C77,C75+C76+C77),0)</f>
        <v>0</v>
      </c>
      <c r="D74" s="555" t="s">
        <v>124</v>
      </c>
      <c r="E74" s="2003"/>
      <c r="F74" s="2004"/>
      <c r="G74" s="2004"/>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14.25">
      <c r="A75" s="2490" t="s">
        <v>922</v>
      </c>
      <c r="B75" s="555" t="s">
        <v>923</v>
      </c>
      <c r="C75" s="2545"/>
      <c r="D75" s="555" t="s">
        <v>124</v>
      </c>
      <c r="E75" s="2546" t="s">
        <v>924</v>
      </c>
      <c r="F75" s="2547"/>
      <c r="G75" s="2546" t="s">
        <v>925</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926</v>
      </c>
      <c r="B76" s="2549" t="s">
        <v>927</v>
      </c>
      <c r="C76" s="555">
        <f>IF(F75="购房发票",ROUND(C75*H75*D76,0),0)</f>
        <v>0</v>
      </c>
      <c r="D76" s="2550">
        <v>0.05</v>
      </c>
      <c r="E76" s="3559" t="s">
        <v>928</v>
      </c>
      <c r="F76" s="3556"/>
      <c r="G76" s="3556"/>
      <c r="H76" s="3597"/>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929</v>
      </c>
      <c r="B77" s="555" t="s">
        <v>930</v>
      </c>
      <c r="C77" s="555">
        <f>ROUND(IF(G77="个人住宅",0,IF(G77="2016年5月1日前购买",C75*D77,C75*D77/(1+'数据-取费表'!C42))),0)</f>
        <v>0</v>
      </c>
      <c r="D77" s="2552">
        <f>'数据-取费表'!B48+'数据-取费表'!B49</f>
        <v>3.0499999999999999E-2</v>
      </c>
      <c r="E77" s="2126" t="s">
        <v>931</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903</v>
      </c>
      <c r="B78" s="555" t="s">
        <v>932</v>
      </c>
      <c r="C78" s="2555">
        <f ca="1">ROUND(D45*D78/(1+'数据-取费表'!C42),0)</f>
        <v>244</v>
      </c>
      <c r="D78" s="2556">
        <f>'数据-取费表'!B43</f>
        <v>6.000000000000001E-3</v>
      </c>
      <c r="E78" s="3598" t="s">
        <v>933</v>
      </c>
      <c r="F78" s="3599"/>
      <c r="G78" s="3599"/>
      <c r="H78" s="3600"/>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4.25">
      <c r="A79" s="2487" t="s">
        <v>911</v>
      </c>
      <c r="B79" s="2529" t="s">
        <v>934</v>
      </c>
      <c r="C79" s="2532">
        <f ca="1">C72-C73</f>
        <v>40346</v>
      </c>
      <c r="D79" s="555" t="s">
        <v>124</v>
      </c>
      <c r="E79" s="2003"/>
      <c r="F79" s="2004"/>
      <c r="G79" s="2004"/>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4">
      <c r="A80" s="2487" t="s">
        <v>914</v>
      </c>
      <c r="B80" s="2529" t="s">
        <v>935</v>
      </c>
      <c r="C80" s="2560">
        <f ca="1">IF(C79&lt;=0,0,C79/C73)</f>
        <v>165.35245901639345</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4">
      <c r="A81" s="2533" t="s">
        <v>936</v>
      </c>
      <c r="B81" s="2534" t="s">
        <v>937</v>
      </c>
      <c r="C81" s="2561">
        <f ca="1">ROUND(IF(C79&lt;=0,0,IF(C80&gt;=200%,C79*60%-C73*35%,IF(C80&gt;=100%,C79*50%-C73*15%,IF(C80&gt;=50%,C79*40%-C73*5%,IF(C80&lt;50%,C79*30%,0))))),0)</f>
        <v>24122</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4.25">
      <c r="A83" s="3595" t="s">
        <v>938</v>
      </c>
      <c r="B83" s="3596"/>
      <c r="C83" s="3596"/>
      <c r="D83" s="3596"/>
      <c r="E83" s="3596"/>
      <c r="F83" s="3596"/>
      <c r="G83" s="3596"/>
      <c r="H83" s="3596"/>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4.25">
      <c r="A84" s="3571" t="s">
        <v>893</v>
      </c>
      <c r="B84" s="3572"/>
      <c r="C84" s="569"/>
      <c r="D84" s="569" t="s">
        <v>894</v>
      </c>
      <c r="E84" s="2541" t="s">
        <v>848</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4.25">
      <c r="A85" s="2487" t="s">
        <v>895</v>
      </c>
      <c r="B85" s="2529" t="s">
        <v>919</v>
      </c>
      <c r="C85" s="2532">
        <f ca="1">ROUND(D45/(1+'数据-取费表'!C42),0)</f>
        <v>40590</v>
      </c>
      <c r="D85" s="555" t="s">
        <v>124</v>
      </c>
      <c r="E85" s="2003"/>
      <c r="F85" s="2004"/>
      <c r="G85" s="2004"/>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4.25">
      <c r="A86" s="2487" t="s">
        <v>906</v>
      </c>
      <c r="B86" s="2456" t="s">
        <v>920</v>
      </c>
      <c r="C86" s="2532">
        <f ca="1">IF(H88="仅含出让金",C87+C90+C91+C92+C93+C94,C87+C91+C92+C93+C94)</f>
        <v>244</v>
      </c>
      <c r="D86" s="2571"/>
      <c r="E86" s="2003"/>
      <c r="F86" s="2004"/>
      <c r="G86" s="2004"/>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4.25">
      <c r="A87" s="2490" t="s">
        <v>899</v>
      </c>
      <c r="B87" s="555" t="s">
        <v>939</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25">
      <c r="A88" s="2490" t="s">
        <v>922</v>
      </c>
      <c r="B88" s="555" t="s">
        <v>940</v>
      </c>
      <c r="C88" s="2572"/>
      <c r="D88" s="2556"/>
      <c r="E88" s="2573" t="s">
        <v>941</v>
      </c>
      <c r="F88" s="2558"/>
      <c r="G88" s="2574" t="s">
        <v>942</v>
      </c>
      <c r="H88" s="2575"/>
      <c r="I88" s="840"/>
      <c r="J88" s="2609" t="s">
        <v>943</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4.25">
      <c r="A89" s="2490" t="s">
        <v>926</v>
      </c>
      <c r="B89" s="555" t="s">
        <v>930</v>
      </c>
      <c r="C89" s="2555">
        <f>ROUND(C88*D89,0)</f>
        <v>0</v>
      </c>
      <c r="D89" s="2556">
        <f>'数据-取费表'!B48+'数据-取费表'!B49</f>
        <v>3.0499999999999999E-2</v>
      </c>
      <c r="E89" s="2573" t="s">
        <v>944</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25">
      <c r="A90" s="2490" t="s">
        <v>903</v>
      </c>
      <c r="B90" s="555" t="s">
        <v>945</v>
      </c>
      <c r="C90" s="2572"/>
      <c r="D90" s="2556"/>
      <c r="E90" s="2573" t="str">
        <f>IF(H88="-","土地取得成本中已包含该笔费用"," ")</f>
        <v xml:space="preserve"> </v>
      </c>
      <c r="F90" s="2558"/>
      <c r="G90" s="3607" t="s">
        <v>946</v>
      </c>
      <c r="H90" s="3608"/>
      <c r="I90" s="840"/>
      <c r="J90" s="2609" t="s">
        <v>947</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948</v>
      </c>
      <c r="B91" s="555" t="s">
        <v>949</v>
      </c>
      <c r="C91" s="2555">
        <f>IF(H91="——",成本法!C33,I91)</f>
        <v>0</v>
      </c>
      <c r="D91" s="2556"/>
      <c r="E91" s="3598" t="s">
        <v>950</v>
      </c>
      <c r="F91" s="3599"/>
      <c r="G91" s="3599"/>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951</v>
      </c>
      <c r="B92" s="555" t="s">
        <v>952</v>
      </c>
      <c r="C92" s="2555">
        <f>ROUND((C87+C90+C91)*D92,0)</f>
        <v>0</v>
      </c>
      <c r="D92" s="2577"/>
      <c r="E92" s="3598" t="s">
        <v>953</v>
      </c>
      <c r="F92" s="3599"/>
      <c r="G92" s="3599"/>
      <c r="H92" s="3600"/>
      <c r="I92" s="840"/>
      <c r="J92" s="2611" t="s">
        <v>954</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955</v>
      </c>
      <c r="B93" s="555" t="s">
        <v>932</v>
      </c>
      <c r="C93" s="2555">
        <f ca="1">ROUND(D45*D93/(1+'数据-取费表'!C42),0)</f>
        <v>244</v>
      </c>
      <c r="D93" s="2556">
        <f>'数据-取费表'!B43</f>
        <v>6.000000000000001E-3</v>
      </c>
      <c r="E93" s="3598" t="s">
        <v>933</v>
      </c>
      <c r="F93" s="3599"/>
      <c r="G93" s="3599"/>
      <c r="H93" s="3600"/>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956</v>
      </c>
      <c r="B94" s="555" t="s">
        <v>957</v>
      </c>
      <c r="C94" s="2572">
        <f>ROUND((C87+C90+C91)*D94,0)</f>
        <v>0</v>
      </c>
      <c r="D94" s="2556">
        <v>0.2</v>
      </c>
      <c r="E94" s="3620" t="s">
        <v>958</v>
      </c>
      <c r="F94" s="3621"/>
      <c r="G94" s="3621"/>
      <c r="H94" s="3622"/>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4.25">
      <c r="A95" s="2487" t="s">
        <v>911</v>
      </c>
      <c r="B95" s="2529" t="s">
        <v>934</v>
      </c>
      <c r="C95" s="2532">
        <f ca="1">ROUND(C85-C86,0)</f>
        <v>40346</v>
      </c>
      <c r="D95" s="555" t="s">
        <v>124</v>
      </c>
      <c r="E95" s="2003"/>
      <c r="F95" s="2004"/>
      <c r="G95" s="2004"/>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4">
      <c r="A96" s="2487" t="s">
        <v>914</v>
      </c>
      <c r="B96" s="2529" t="s">
        <v>935</v>
      </c>
      <c r="C96" s="2560">
        <f ca="1">IF(C95&lt;=0,0,C95/C86)</f>
        <v>165.35245901639345</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4">
      <c r="A97" s="2533" t="s">
        <v>936</v>
      </c>
      <c r="B97" s="2534" t="s">
        <v>937</v>
      </c>
      <c r="C97" s="2561">
        <f ca="1">ROUND(IF(C95&lt;=0,0,IF(C96&gt;=200%,C95*60%-C86*35%,IF(C96&gt;=100%,C95*50%-C86*15%,IF(C96&gt;=50%,C95*40%-C86*5%,IF(C96&lt;50%,C95*30%,0))))),0)</f>
        <v>24122</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992"/>
    </row>
    <row r="99" spans="1:35" ht="21.75" customHeight="1">
      <c r="A99" s="2445" t="s">
        <v>959</v>
      </c>
      <c r="B99" s="2356"/>
      <c r="C99" s="2356"/>
      <c r="D99" s="2356"/>
      <c r="E99" s="2483"/>
      <c r="F99" s="2483"/>
      <c r="G99" s="2483"/>
      <c r="H99" s="2443"/>
      <c r="I99" s="992"/>
    </row>
    <row r="100" spans="1:35" ht="18.75" customHeight="1">
      <c r="A100" s="3523" t="s">
        <v>960</v>
      </c>
      <c r="B100" s="3524"/>
      <c r="C100" s="3524"/>
      <c r="D100" s="3583"/>
      <c r="E100" s="3524" t="s">
        <v>961</v>
      </c>
      <c r="F100" s="3524"/>
      <c r="G100" s="3524"/>
      <c r="H100" s="3583"/>
      <c r="I100" s="992"/>
    </row>
    <row r="101" spans="1:35" ht="18.75" customHeight="1">
      <c r="A101" s="3584" t="s">
        <v>962</v>
      </c>
      <c r="B101" s="3585"/>
      <c r="C101" s="2580" t="str">
        <f>C4</f>
        <v>成本法</v>
      </c>
      <c r="D101" s="2581" t="str">
        <f>D4</f>
        <v>收益法</v>
      </c>
      <c r="E101" s="3606" t="s">
        <v>963</v>
      </c>
      <c r="F101" s="3602"/>
      <c r="G101" s="2583" t="s">
        <v>964</v>
      </c>
      <c r="H101" s="2584">
        <f ca="1">H118</f>
        <v>42619</v>
      </c>
      <c r="I101" s="992"/>
    </row>
    <row r="102" spans="1:35" ht="18.75" customHeight="1">
      <c r="A102" s="3615" t="s">
        <v>965</v>
      </c>
      <c r="B102" s="2585" t="s">
        <v>964</v>
      </c>
      <c r="C102" s="2580">
        <f ca="1">IF(D32="楼面单价",ROUND(C19,0),C19)</f>
        <v>46140</v>
      </c>
      <c r="D102" s="2581">
        <f ca="1">IF(D32="楼面单价",ROUND(D19,0),D19)</f>
        <v>34403</v>
      </c>
      <c r="E102" s="3606"/>
      <c r="F102" s="3602"/>
      <c r="G102" s="2583" t="s">
        <v>99</v>
      </c>
      <c r="H102" s="2472">
        <f ca="1">I118</f>
        <v>21019</v>
      </c>
      <c r="I102" s="992"/>
    </row>
    <row r="103" spans="1:35" ht="42.75" customHeight="1">
      <c r="A103" s="3615"/>
      <c r="B103" s="2585" t="s">
        <v>99</v>
      </c>
      <c r="C103" s="2586">
        <f ca="1">C20</f>
        <v>22755</v>
      </c>
      <c r="D103" s="2587">
        <f ca="1">D20</f>
        <v>16967</v>
      </c>
      <c r="E103" s="3586" t="s">
        <v>966</v>
      </c>
      <c r="F103" s="3587"/>
      <c r="G103" s="2588" t="s">
        <v>102</v>
      </c>
      <c r="H103" s="2584">
        <f>IF(D36="正常操作",H104+H105+H106,H105+H106)</f>
        <v>0</v>
      </c>
      <c r="I103" s="992"/>
    </row>
    <row r="104" spans="1:35" ht="18.75" customHeight="1">
      <c r="A104" s="3615" t="s">
        <v>967</v>
      </c>
      <c r="B104" s="2589" t="s">
        <v>964</v>
      </c>
      <c r="C104" s="2590">
        <f ca="1">H118</f>
        <v>42619</v>
      </c>
      <c r="D104" s="2591"/>
      <c r="E104" s="2428" t="s">
        <v>968</v>
      </c>
      <c r="F104" s="2592"/>
      <c r="G104" s="2588" t="s">
        <v>102</v>
      </c>
      <c r="H104" s="2593">
        <f>IF(D36="同一抵押权人同一抵押物续贷",C36&amp;"（续贷，未扣减，详见特别提示）",C36)</f>
        <v>0</v>
      </c>
      <c r="I104" s="992"/>
    </row>
    <row r="105" spans="1:35" ht="18.75" customHeight="1">
      <c r="A105" s="3616"/>
      <c r="B105" s="2594" t="s">
        <v>99</v>
      </c>
      <c r="C105" s="2595">
        <f ca="1">I118</f>
        <v>21019</v>
      </c>
      <c r="D105" s="2596"/>
      <c r="E105" s="2428" t="s">
        <v>969</v>
      </c>
      <c r="F105" s="2592"/>
      <c r="G105" s="2588" t="s">
        <v>102</v>
      </c>
      <c r="H105" s="2597">
        <f>C37</f>
        <v>0</v>
      </c>
      <c r="I105" s="992"/>
    </row>
    <row r="106" spans="1:35" ht="18.75" customHeight="1">
      <c r="A106" s="2356" t="s">
        <v>970</v>
      </c>
      <c r="B106" s="2356"/>
      <c r="C106" s="2356"/>
      <c r="D106" s="2356"/>
      <c r="E106" s="2598" t="s">
        <v>971</v>
      </c>
      <c r="F106" s="2592"/>
      <c r="G106" s="2588" t="s">
        <v>102</v>
      </c>
      <c r="H106" s="2597">
        <f>C38</f>
        <v>0</v>
      </c>
      <c r="I106" s="992"/>
    </row>
    <row r="107" spans="1:35" ht="18.75" customHeight="1">
      <c r="A107" s="992"/>
      <c r="B107" s="992"/>
      <c r="C107" s="992"/>
      <c r="D107" s="992"/>
      <c r="E107" s="3601" t="str">
        <f>IF(项目基本情况!E8="已注销","——","3.房地产抵押价值")</f>
        <v>3.房地产抵押价值</v>
      </c>
      <c r="F107" s="3602"/>
      <c r="G107" s="2583" t="s">
        <v>964</v>
      </c>
      <c r="H107" s="2584">
        <f ca="1">IF(E107="——","——",H101-H103)</f>
        <v>42619</v>
      </c>
      <c r="I107" s="992"/>
    </row>
    <row r="108" spans="1:35" ht="18.75" customHeight="1">
      <c r="A108" s="992"/>
      <c r="B108" s="992"/>
      <c r="C108" s="992"/>
      <c r="D108" s="992"/>
      <c r="E108" s="3601"/>
      <c r="F108" s="3602"/>
      <c r="G108" s="2583" t="s">
        <v>99</v>
      </c>
      <c r="H108" s="2472">
        <f ca="1">IF(H107=H101,H102,ROUND(H107*10000/'数据-汇总表'!E3,0))</f>
        <v>21019</v>
      </c>
      <c r="I108" s="992"/>
    </row>
    <row r="109" spans="1:35" ht="18.75" customHeight="1">
      <c r="A109" s="992"/>
      <c r="B109" s="992"/>
      <c r="C109" s="992"/>
      <c r="D109" s="992"/>
      <c r="E109" s="3601" t="str">
        <f>IF(项目基本情况!E8="已注销及未注销","4.抵押担保权已注销时的房地产抵押价值",IF(项目基本情况!E8="已注销","3.抵押担保权已注销时的房地产抵押价值","——"))</f>
        <v>——</v>
      </c>
      <c r="F109" s="3602"/>
      <c r="G109" s="2583" t="s">
        <v>964</v>
      </c>
      <c r="H109" s="2599" t="str">
        <f>IF(E109="——","——",H101-H105-H106)</f>
        <v>——</v>
      </c>
      <c r="I109" s="992"/>
    </row>
    <row r="110" spans="1:35" ht="18.75" customHeight="1">
      <c r="A110" s="992"/>
      <c r="B110" s="992"/>
      <c r="C110" s="992"/>
      <c r="D110" s="992"/>
      <c r="E110" s="3601"/>
      <c r="F110" s="3602"/>
      <c r="G110" s="2583" t="s">
        <v>99</v>
      </c>
      <c r="H110" s="2472" t="str">
        <f>IF(H109="——","——",ROUND(H109*10000/'数据-汇总表'!E3,0))</f>
        <v>——</v>
      </c>
      <c r="I110" s="992"/>
    </row>
    <row r="111" spans="1:35" ht="18.75" customHeight="1">
      <c r="A111" s="992"/>
      <c r="B111" s="992"/>
      <c r="C111" s="992"/>
      <c r="D111" s="992"/>
      <c r="E111" s="3603" t="str">
        <f>IF(项目基本情况!E9="抵押净值",IF(OR(项目基本情况!E8="已注销",项目基本情况!E8="房地产抵押价值"),"4.抵押净值","5.抵押净值"),"——")</f>
        <v>——</v>
      </c>
      <c r="F111" s="3575"/>
      <c r="G111" s="2583" t="s">
        <v>964</v>
      </c>
      <c r="H111" s="2584" t="str">
        <f>IF(E111="——","——",N59)</f>
        <v>——</v>
      </c>
      <c r="I111" s="992"/>
    </row>
    <row r="112" spans="1:35" ht="18.75" customHeight="1">
      <c r="A112" s="992"/>
      <c r="B112" s="992"/>
      <c r="C112" s="992"/>
      <c r="D112" s="992"/>
      <c r="E112" s="3604"/>
      <c r="F112" s="3605"/>
      <c r="G112" s="2600" t="s">
        <v>99</v>
      </c>
      <c r="H112" s="2601" t="str">
        <f>IF(E111="——","——",N61)</f>
        <v>——</v>
      </c>
      <c r="I112" s="992"/>
    </row>
    <row r="113" spans="1:27" ht="18.75" customHeight="1">
      <c r="A113" s="992"/>
      <c r="B113" s="992"/>
      <c r="C113" s="992"/>
      <c r="D113" s="992"/>
      <c r="E113" s="3588" t="s">
        <v>970</v>
      </c>
      <c r="F113" s="3588"/>
      <c r="G113" s="3588"/>
      <c r="H113" s="3588"/>
      <c r="I113" s="992"/>
    </row>
    <row r="114" spans="1:27" ht="3.75" customHeight="1">
      <c r="A114" s="2356"/>
      <c r="B114" s="2356"/>
      <c r="C114" s="2356"/>
      <c r="D114" s="2356"/>
      <c r="E114" s="2482"/>
      <c r="F114" s="2482"/>
      <c r="G114" s="2482"/>
      <c r="H114" s="2482"/>
      <c r="I114" s="2356"/>
    </row>
    <row r="115" spans="1:27" ht="18.75" customHeight="1">
      <c r="A115" s="3589" t="s">
        <v>972</v>
      </c>
      <c r="B115" s="3590"/>
      <c r="C115" s="3590"/>
      <c r="D115" s="3590"/>
      <c r="E115" s="3590"/>
      <c r="F115" s="3590"/>
      <c r="G115" s="3590"/>
      <c r="H115" s="3590"/>
      <c r="I115" s="3591"/>
    </row>
    <row r="116" spans="1:27" ht="27" customHeight="1">
      <c r="A116" s="3579" t="s">
        <v>973</v>
      </c>
      <c r="B116" s="3618" t="s">
        <v>974</v>
      </c>
      <c r="C116" s="3618" t="s">
        <v>975</v>
      </c>
      <c r="D116" s="3592" t="s">
        <v>976</v>
      </c>
      <c r="E116" s="3593"/>
      <c r="F116" s="3594" t="s">
        <v>977</v>
      </c>
      <c r="G116" s="3594"/>
      <c r="H116" s="3579" t="s">
        <v>978</v>
      </c>
      <c r="I116" s="3579"/>
    </row>
    <row r="117" spans="1:27" ht="18.75" customHeight="1">
      <c r="A117" s="3579"/>
      <c r="B117" s="3619"/>
      <c r="C117" s="3619"/>
      <c r="D117" s="2366" t="s">
        <v>979</v>
      </c>
      <c r="E117" s="2366" t="s">
        <v>805</v>
      </c>
      <c r="F117" s="2366" t="s">
        <v>979</v>
      </c>
      <c r="G117" s="2366" t="s">
        <v>805</v>
      </c>
      <c r="H117" s="2366" t="s">
        <v>979</v>
      </c>
      <c r="I117" s="2366" t="s">
        <v>805</v>
      </c>
    </row>
    <row r="118" spans="1:27" ht="24.75" customHeight="1">
      <c r="A118" s="2602" t="str">
        <f>项目基本情况!S2</f>
        <v>北京市房地产</v>
      </c>
      <c r="B118" s="2366">
        <f>M18</f>
        <v>20276.490000000002</v>
      </c>
      <c r="C118" s="2366">
        <f>M19</f>
        <v>0</v>
      </c>
      <c r="D118" s="2366">
        <f ca="1">ROUND(IF(D32="总价",C34,E118*B118/10000),0)</f>
        <v>34990</v>
      </c>
      <c r="E118" s="2366">
        <f ca="1">ROUND(IF(C33="自定义",IF(D32="楼面单价",C34,D118*10000/B118),I118-G118),0)</f>
        <v>17257</v>
      </c>
      <c r="F118" s="2366">
        <f ca="1">ROUND(IF(D32="总价",C35,G118*B118/10000),0)</f>
        <v>7629</v>
      </c>
      <c r="G118" s="2366">
        <f ca="1">ROUND(IF(D32="楼面单价",C35,F118*10000/B118),0)</f>
        <v>3762</v>
      </c>
      <c r="H118" s="2366">
        <f ca="1">ROUND(IF(D32="总价",C32,I118*B118/10000),0)</f>
        <v>42619</v>
      </c>
      <c r="I118" s="2366">
        <f ca="1">ROUND(IF(D32="楼面单价",C32,H118*10000/B118),0)</f>
        <v>21019</v>
      </c>
    </row>
    <row r="119" spans="1:27" ht="18.75" customHeight="1">
      <c r="A119" s="3579" t="s">
        <v>980</v>
      </c>
      <c r="B119" s="3579"/>
      <c r="C119" s="3579"/>
      <c r="D119" s="3580" t="str">
        <f ca="1">NUMBERSTRING(INT(D118*10000),2)&amp;"元整"</f>
        <v>叁亿肆仟玖佰玖拾万元整</v>
      </c>
      <c r="E119" s="3582"/>
      <c r="F119" s="3580" t="str">
        <f ca="1">NUMBERSTRING(INT(F118*10000),2)&amp;"元整"</f>
        <v>柒仟陆佰贰拾玖万元整</v>
      </c>
      <c r="G119" s="3582"/>
      <c r="H119" s="3580" t="str">
        <f ca="1">NUMBERSTRING(INT(H118*10000),2)&amp;"元整"</f>
        <v>肆亿贰仟陆佰壹拾玖万元整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0" t="s">
        <v>980</v>
      </c>
      <c r="B121" s="3581"/>
      <c r="C121" s="3582"/>
      <c r="D121" s="3580" t="str">
        <f>IF(D120=0,"零元整",NUMBERSTRING(INT(D120*10000),2)&amp;"元整")</f>
        <v>零元整</v>
      </c>
      <c r="E121" s="3581"/>
      <c r="F121" s="3581"/>
      <c r="G121" s="3581"/>
      <c r="H121" s="3581"/>
      <c r="I121" s="3582"/>
      <c r="AA121" s="950"/>
    </row>
    <row r="122" spans="1:27" ht="18.75" customHeight="1">
      <c r="A122" s="3575" t="str">
        <f>IF(项目基本情况!B9="房地产市场价值","",MID(E107,3,LEN(E107)-2))</f>
        <v>房地产抵押价值</v>
      </c>
      <c r="B122" s="3575"/>
      <c r="C122" s="3575"/>
      <c r="D122" s="3576">
        <f ca="1">H107</f>
        <v>42619</v>
      </c>
      <c r="E122" s="3577"/>
      <c r="F122" s="3577"/>
      <c r="G122" s="3577"/>
      <c r="H122" s="3577"/>
      <c r="I122" s="3578"/>
      <c r="AA122" s="950"/>
    </row>
    <row r="123" spans="1:27" ht="18.75" customHeight="1">
      <c r="A123" s="3579" t="s">
        <v>980</v>
      </c>
      <c r="B123" s="3579"/>
      <c r="C123" s="3579"/>
      <c r="D123" s="3580" t="str">
        <f ca="1">NUMBERSTRING(INT(D122*10000),2)&amp;"元整"</f>
        <v>肆亿贰仟陆佰壹拾玖万元整</v>
      </c>
      <c r="E123" s="3581"/>
      <c r="F123" s="3581"/>
      <c r="G123" s="3581"/>
      <c r="H123" s="3581"/>
      <c r="I123" s="3582"/>
      <c r="AA123" s="950"/>
    </row>
    <row r="124" spans="1:27" ht="18.75" customHeight="1">
      <c r="A124" s="3575" t="str">
        <f>IF(项目基本情况!B9="房地产市场价值","",MID(E109,3,LEN(E109)-2))</f>
        <v/>
      </c>
      <c r="B124" s="3575"/>
      <c r="C124" s="3575"/>
      <c r="D124" s="3576" t="str">
        <f>H109</f>
        <v>——</v>
      </c>
      <c r="E124" s="3577"/>
      <c r="F124" s="3577"/>
      <c r="G124" s="3577"/>
      <c r="H124" s="3577"/>
      <c r="I124" s="3578"/>
      <c r="AA124" s="950"/>
    </row>
    <row r="125" spans="1:27" ht="18.75" customHeight="1">
      <c r="A125" s="3579" t="s">
        <v>980</v>
      </c>
      <c r="B125" s="3579"/>
      <c r="C125" s="3579"/>
      <c r="D125" s="3580" t="e">
        <f>NUMBERSTRING(INT(D124*10000),2)&amp;"元整"</f>
        <v>#VALUE!</v>
      </c>
      <c r="E125" s="3581"/>
      <c r="F125" s="3581"/>
      <c r="G125" s="3581"/>
      <c r="H125" s="3581"/>
      <c r="I125" s="3582"/>
      <c r="AA125" s="950"/>
    </row>
    <row r="126" spans="1:27" ht="18.75" customHeight="1">
      <c r="A126" s="3575" t="str">
        <f>IF(项目基本情况!B9="房地产市场价值","",MID(E111,3,LEN(E111)-2))</f>
        <v/>
      </c>
      <c r="B126" s="3575"/>
      <c r="C126" s="3575"/>
      <c r="D126" s="3576" t="str">
        <f>H111</f>
        <v>——</v>
      </c>
      <c r="E126" s="3577"/>
      <c r="F126" s="3577"/>
      <c r="G126" s="3577"/>
      <c r="H126" s="3577"/>
      <c r="I126" s="3578"/>
      <c r="AA126" s="950"/>
    </row>
    <row r="127" spans="1:27" ht="18.75" customHeight="1">
      <c r="A127" s="3579" t="s">
        <v>980</v>
      </c>
      <c r="B127" s="3579"/>
      <c r="C127" s="3579"/>
      <c r="D127" s="3580" t="e">
        <f>NUMBERSTRING(INT(D126*10000),2)&amp;"元整"</f>
        <v>#VALUE!</v>
      </c>
      <c r="E127" s="3581"/>
      <c r="F127" s="3581"/>
      <c r="G127" s="3581"/>
      <c r="H127" s="3581"/>
      <c r="I127" s="3582"/>
      <c r="AA127" s="950"/>
    </row>
    <row r="128" spans="1:27" ht="21.75" customHeight="1">
      <c r="A128" s="3609" t="s">
        <v>113</v>
      </c>
      <c r="B128" s="3609"/>
      <c r="C128" s="3609"/>
      <c r="D128" s="3609"/>
      <c r="E128" s="3609"/>
      <c r="F128" s="3609"/>
      <c r="G128" s="3609"/>
      <c r="H128" s="3609"/>
      <c r="I128" s="3609"/>
      <c r="AA128" s="950"/>
    </row>
    <row r="129" spans="1:35" ht="21.75" customHeight="1">
      <c r="A129" s="2613" t="s">
        <v>981</v>
      </c>
      <c r="B129" s="2614"/>
      <c r="C129" s="2615" t="s">
        <v>982</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983</v>
      </c>
      <c r="G135" s="2627"/>
      <c r="H135" s="2627"/>
      <c r="I135" s="2635" t="s">
        <v>984</v>
      </c>
    </row>
    <row r="136" spans="1:35" ht="21.75" customHeight="1">
      <c r="A136" s="950"/>
      <c r="B136" s="2628"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986</v>
      </c>
    </row>
    <row r="139" spans="1:35" ht="21.75" customHeight="1">
      <c r="A139" s="950"/>
      <c r="B139" s="2628" t="s">
        <v>987</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986</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989</v>
      </c>
      <c r="C1" s="1449" t="s">
        <v>990</v>
      </c>
      <c r="D1" s="1450" t="s">
        <v>548</v>
      </c>
      <c r="E1" s="1451" t="s">
        <v>991</v>
      </c>
      <c r="F1" s="1452" t="s">
        <v>992</v>
      </c>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e">
        <f>IF(E1="项目模式",IF(C2="——",ROUND(C50*D3/10000,0),ROUND(C50*D3/10000,0)-D2),IF(E1="单套模式",IF(C2="——",ROUND(C50*D3/10000,4),ROUND(C50*D3/10000,4)-D2)))</f>
        <v>#DIV/0!</v>
      </c>
      <c r="C2" s="1457" t="s">
        <v>124</v>
      </c>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IF(C2="——",C50,ROUND(B2*10000/D3,0))</f>
        <v>#DIV/0!</v>
      </c>
      <c r="C3" s="1460" t="s">
        <v>997</v>
      </c>
      <c r="D3" s="1461">
        <f>IF(D1="",'数据-汇总表'!E3,SUMIF('数据-汇总表'!$C19:$C33,D1,'数据-汇总表'!$E19:$E33))</f>
        <v>20276.490000000002</v>
      </c>
      <c r="E3" s="1629"/>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998</v>
      </c>
      <c r="B4" s="1089"/>
      <c r="C4" s="3623" t="s">
        <v>999</v>
      </c>
      <c r="D4" s="3624"/>
      <c r="E4" s="3625" t="s">
        <v>1000</v>
      </c>
      <c r="F4" s="3626"/>
      <c r="G4" s="3623" t="s">
        <v>1001</v>
      </c>
      <c r="H4" s="3624"/>
      <c r="I4" s="3623" t="s">
        <v>1002</v>
      </c>
      <c r="J4" s="3624"/>
      <c r="K4" s="1235" t="s">
        <v>1003</v>
      </c>
      <c r="L4" s="1236"/>
      <c r="M4" s="1237"/>
      <c r="N4" s="1237"/>
      <c r="O4" s="1237"/>
      <c r="P4" s="3660" t="s">
        <v>1004</v>
      </c>
      <c r="Q4" s="3661"/>
      <c r="R4" s="3666" t="s">
        <v>1000</v>
      </c>
      <c r="S4" s="3667"/>
      <c r="T4" s="3666" t="s">
        <v>1001</v>
      </c>
      <c r="U4" s="3667"/>
      <c r="V4" s="3672" t="s">
        <v>1002</v>
      </c>
      <c r="W4" s="3672"/>
      <c r="X4" s="2344"/>
      <c r="Y4" s="3666" t="s">
        <v>1004</v>
      </c>
      <c r="Z4" s="3667"/>
      <c r="AA4" s="3654" t="s">
        <v>1000</v>
      </c>
      <c r="AB4" s="3654" t="s">
        <v>1001</v>
      </c>
      <c r="AC4" s="3657" t="s">
        <v>1002</v>
      </c>
    </row>
    <row r="5" spans="1:29" ht="15">
      <c r="A5" s="1090"/>
      <c r="B5" s="1091"/>
      <c r="C5" s="3627" t="s">
        <v>1005</v>
      </c>
      <c r="D5" s="3628"/>
      <c r="E5" s="3629" t="s">
        <v>1006</v>
      </c>
      <c r="F5" s="3630"/>
      <c r="G5" s="3627" t="s">
        <v>1007</v>
      </c>
      <c r="H5" s="3628"/>
      <c r="I5" s="3627" t="s">
        <v>1008</v>
      </c>
      <c r="J5" s="3628"/>
      <c r="K5" s="1235"/>
      <c r="L5" s="1236"/>
      <c r="M5" s="1237"/>
      <c r="N5" s="1237"/>
      <c r="O5" s="1237"/>
      <c r="P5" s="3662"/>
      <c r="Q5" s="3663"/>
      <c r="R5" s="3668"/>
      <c r="S5" s="3669"/>
      <c r="T5" s="3668"/>
      <c r="U5" s="3669"/>
      <c r="V5" s="3673"/>
      <c r="W5" s="3673"/>
      <c r="X5" s="1279"/>
      <c r="Y5" s="3668"/>
      <c r="Z5" s="3669"/>
      <c r="AA5" s="3655"/>
      <c r="AB5" s="3655"/>
      <c r="AC5" s="3658"/>
    </row>
    <row r="6" spans="1:29" ht="15">
      <c r="A6" s="1092"/>
      <c r="B6" s="1093"/>
      <c r="C6" s="3631" t="s">
        <v>1009</v>
      </c>
      <c r="D6" s="3632"/>
      <c r="E6" s="3633" t="s">
        <v>1009</v>
      </c>
      <c r="F6" s="3634"/>
      <c r="G6" s="3631" t="s">
        <v>1009</v>
      </c>
      <c r="H6" s="3632"/>
      <c r="I6" s="3631" t="s">
        <v>1009</v>
      </c>
      <c r="J6" s="3632"/>
      <c r="K6" s="1235" t="s">
        <v>1010</v>
      </c>
      <c r="L6" s="1236"/>
      <c r="M6" s="1237"/>
      <c r="N6" s="1237"/>
      <c r="O6" s="1237"/>
      <c r="P6" s="3664"/>
      <c r="Q6" s="3665"/>
      <c r="R6" s="3668"/>
      <c r="S6" s="3669"/>
      <c r="T6" s="3670"/>
      <c r="U6" s="3671"/>
      <c r="V6" s="3673"/>
      <c r="W6" s="3673"/>
      <c r="X6" s="1279"/>
      <c r="Y6" s="3670"/>
      <c r="Z6" s="3671"/>
      <c r="AA6" s="3656"/>
      <c r="AB6" s="3656"/>
      <c r="AC6" s="3659"/>
    </row>
    <row r="7" spans="1:29" s="1069" customFormat="1" ht="15">
      <c r="A7" s="1094" t="s">
        <v>1011</v>
      </c>
      <c r="B7" s="1095"/>
      <c r="C7" s="1096">
        <f>'数据-取费表'!B2</f>
        <v>45078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35"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2345" t="e">
        <f>D7/J7</f>
        <v>#DIV/0!</v>
      </c>
    </row>
    <row r="8" spans="1:29" s="1069" customFormat="1" ht="15">
      <c r="A8" s="1094" t="s">
        <v>1014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35" t="s">
        <v>1015</v>
      </c>
      <c r="Q8" s="3638"/>
      <c r="R8" s="1280" t="s">
        <v>1013</v>
      </c>
      <c r="S8" s="1281">
        <f t="shared" si="0"/>
        <v>100</v>
      </c>
      <c r="T8" s="1280" t="s">
        <v>1013</v>
      </c>
      <c r="U8" s="1281">
        <f t="shared" si="1"/>
        <v>100</v>
      </c>
      <c r="V8" s="1280" t="s">
        <v>1013</v>
      </c>
      <c r="W8" s="1281">
        <f t="shared" si="2"/>
        <v>100</v>
      </c>
      <c r="X8" s="1282"/>
      <c r="Y8" s="3637" t="s">
        <v>1015</v>
      </c>
      <c r="Z8" s="3638"/>
      <c r="AA8" s="1294">
        <f t="shared" ref="AA8:AA47" si="3">D8/F8</f>
        <v>1</v>
      </c>
      <c r="AB8" s="1294">
        <f t="shared" ref="AB8:AB47" si="4">D8/H8</f>
        <v>1</v>
      </c>
      <c r="AC8" s="2345">
        <f t="shared" ref="AC8:AC47" si="5">D8/J8</f>
        <v>1</v>
      </c>
    </row>
    <row r="9" spans="1:29" s="1069" customFormat="1">
      <c r="A9" s="1102" t="s">
        <v>1016</v>
      </c>
      <c r="B9" s="1103" t="s">
        <v>1017</v>
      </c>
      <c r="C9" s="1462"/>
      <c r="D9" s="1105">
        <v>100</v>
      </c>
      <c r="E9" s="1463"/>
      <c r="F9" s="1105">
        <f>SUMIF(64:64,E9,65:65)-SUMIF(64:64,C9,65:65)+100</f>
        <v>100</v>
      </c>
      <c r="G9" s="1531"/>
      <c r="H9" s="1105">
        <f>SUMIF(64:64,G9,65:65)-SUMIF(64:64,C9,65:65)+100</f>
        <v>100</v>
      </c>
      <c r="I9" s="1531"/>
      <c r="J9" s="1105">
        <f>SUMIF(64:64,I9,65:65)-SUMIF(64:64,C9,65:65)+100</f>
        <v>100</v>
      </c>
      <c r="K9" s="1238"/>
      <c r="L9" s="1239"/>
      <c r="M9" s="1240"/>
      <c r="N9" s="1240"/>
      <c r="O9" s="1240"/>
      <c r="P9" s="3639"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2345">
        <f t="shared" si="5"/>
        <v>1</v>
      </c>
    </row>
    <row r="10" spans="1:29" s="1070" customFormat="1" ht="27">
      <c r="A10" s="1106"/>
      <c r="B10" s="1107" t="s">
        <v>1020</v>
      </c>
      <c r="C10" s="1465"/>
      <c r="D10" s="1109">
        <v>100</v>
      </c>
      <c r="E10" s="1465"/>
      <c r="F10" s="1109">
        <f>SUMIF(66:66,E10,67:67)-SUMIF(66:66,C10,67:67)+100</f>
        <v>100</v>
      </c>
      <c r="G10" s="1534"/>
      <c r="H10" s="1109">
        <f>SUMIF(66:66,G10,67:67)-SUMIF(66:66,C10,67:67)+100</f>
        <v>100</v>
      </c>
      <c r="I10" s="1465"/>
      <c r="J10" s="1109">
        <f>SUMIF(66:66,I10,67:67)-SUMIF(66:66,C10,67:67)+100</f>
        <v>100</v>
      </c>
      <c r="K10" s="1238"/>
      <c r="L10" s="1243"/>
      <c r="M10" s="1244"/>
      <c r="N10" s="1244"/>
      <c r="O10" s="1244"/>
      <c r="P10" s="3639"/>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2345">
        <f t="shared" si="5"/>
        <v>1</v>
      </c>
    </row>
    <row r="11" spans="1:29" ht="15">
      <c r="A11" s="1110"/>
      <c r="B11" s="1107" t="s">
        <v>1021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9"/>
      <c r="Q11" s="1284" t="str">
        <f t="shared" si="6"/>
        <v>容积率</v>
      </c>
      <c r="R11" s="1280" t="s">
        <v>1013</v>
      </c>
      <c r="S11" s="1281">
        <f t="shared" si="0"/>
        <v>100</v>
      </c>
      <c r="T11" s="1280" t="s">
        <v>1013</v>
      </c>
      <c r="U11" s="1281">
        <f t="shared" si="1"/>
        <v>100</v>
      </c>
      <c r="V11" s="1280" t="s">
        <v>1013</v>
      </c>
      <c r="W11" s="1281">
        <f t="shared" si="2"/>
        <v>100</v>
      </c>
      <c r="X11" s="1282"/>
      <c r="Y11" s="3617"/>
      <c r="Z11" s="1295" t="str">
        <f t="shared" si="7"/>
        <v>容积率</v>
      </c>
      <c r="AA11" s="1294">
        <f t="shared" si="3"/>
        <v>1</v>
      </c>
      <c r="AB11" s="1294">
        <f t="shared" si="4"/>
        <v>1</v>
      </c>
      <c r="AC11" s="2345">
        <f t="shared" si="5"/>
        <v>1</v>
      </c>
    </row>
    <row r="12" spans="1:29" s="1069" customFormat="1" ht="15">
      <c r="A12" s="1113"/>
      <c r="B12" s="1114">
        <v>111</v>
      </c>
      <c r="C12" s="1108"/>
      <c r="D12" s="1115">
        <v>100</v>
      </c>
      <c r="E12" s="1108"/>
      <c r="F12" s="1109">
        <f>SUMIF(71:71,E12,72:72)-SUMIF(71:71,C12,72:72)+100</f>
        <v>100</v>
      </c>
      <c r="G12" s="2339"/>
      <c r="H12" s="1109">
        <f>SUMIF(71:71,G12,72:72)-SUMIF(71:71,C12,72:72)+100</f>
        <v>100</v>
      </c>
      <c r="I12" s="1108"/>
      <c r="J12" s="1109">
        <f>SUMIF(71:71,I12,72:72)-SUMIF(71:71,C12,72:72)+100</f>
        <v>100</v>
      </c>
      <c r="K12" s="1254"/>
      <c r="L12" s="1239"/>
      <c r="M12" s="1240"/>
      <c r="N12" s="1240"/>
      <c r="O12" s="1240"/>
      <c r="P12" s="3639"/>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2345">
        <f t="shared" si="5"/>
        <v>1</v>
      </c>
    </row>
    <row r="13" spans="1:29" ht="15">
      <c r="A13" s="1110"/>
      <c r="B13" s="1114">
        <v>111</v>
      </c>
      <c r="C13" s="1118"/>
      <c r="D13" s="1119">
        <v>100</v>
      </c>
      <c r="E13" s="1108"/>
      <c r="F13" s="1109">
        <f>SUMIF(73:73,E13,74:74)-SUMIF(73:73,C13,74:74)+100</f>
        <v>100</v>
      </c>
      <c r="G13" s="2339"/>
      <c r="H13" s="1119">
        <f>SUMIF(73:73,G13,74:74)-SUMIF(73:73,C13,74:74)+100</f>
        <v>100</v>
      </c>
      <c r="I13" s="1108"/>
      <c r="J13" s="1119">
        <f>SUMIF(73:73,I13,74:74)-SUMIF(73:73,C13,74:74)+100</f>
        <v>100</v>
      </c>
      <c r="K13" s="1254"/>
      <c r="L13" s="1249"/>
      <c r="M13" s="1237"/>
      <c r="N13" s="1237"/>
      <c r="O13" s="1237"/>
      <c r="P13" s="3639"/>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2345">
        <f t="shared" si="5"/>
        <v>1</v>
      </c>
    </row>
    <row r="14" spans="1:29" ht="15">
      <c r="A14" s="1120"/>
      <c r="B14" s="1121">
        <v>111</v>
      </c>
      <c r="C14" s="1122"/>
      <c r="D14" s="1123">
        <v>100</v>
      </c>
      <c r="E14" s="1543"/>
      <c r="F14" s="1123">
        <f>SUMIF(75:75,E14,76:76)-SUMIF(75:75,C14,76:76)+100</f>
        <v>100</v>
      </c>
      <c r="G14" s="2339"/>
      <c r="H14" s="1123">
        <f>SUMIF(75:75,G14,76:76)-SUMIF(75:75,C14,76:76)+100</f>
        <v>100</v>
      </c>
      <c r="I14" s="1108"/>
      <c r="J14" s="1123">
        <f>SUMIF(75:75,I14,76:76)-SUMIF(75:75,C14,76:76)+100</f>
        <v>100</v>
      </c>
      <c r="K14" s="1254"/>
      <c r="L14" s="1249"/>
      <c r="M14" s="1237"/>
      <c r="N14" s="1237"/>
      <c r="O14" s="1237"/>
      <c r="P14" s="3639"/>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2345">
        <f t="shared" si="5"/>
        <v>1</v>
      </c>
    </row>
    <row r="15" spans="1:29" ht="71.25">
      <c r="A15" s="1124" t="s">
        <v>1022</v>
      </c>
      <c r="B15" s="1125" t="s">
        <v>1023</v>
      </c>
      <c r="C15" s="234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8"/>
      <c r="L15" s="1249"/>
      <c r="M15" s="1237"/>
      <c r="N15" s="1237"/>
      <c r="O15" s="1237"/>
      <c r="P15" s="3642" t="s">
        <v>1024</v>
      </c>
      <c r="Q15" s="664" t="str">
        <f t="shared" si="6"/>
        <v>办公集聚程度</v>
      </c>
      <c r="R15" s="1285" t="s">
        <v>1013</v>
      </c>
      <c r="S15" s="1286">
        <f t="shared" si="0"/>
        <v>100</v>
      </c>
      <c r="T15" s="1285" t="s">
        <v>1013</v>
      </c>
      <c r="U15" s="1286">
        <f t="shared" si="1"/>
        <v>100</v>
      </c>
      <c r="V15" s="1285" t="s">
        <v>1013</v>
      </c>
      <c r="W15" s="1286">
        <f t="shared" si="2"/>
        <v>100</v>
      </c>
      <c r="X15" s="1279"/>
      <c r="Y15" s="3647" t="s">
        <v>1024</v>
      </c>
      <c r="Z15" s="1269" t="str">
        <f t="shared" si="7"/>
        <v>办公集聚程度</v>
      </c>
      <c r="AA15" s="1296">
        <f t="shared" si="3"/>
        <v>1</v>
      </c>
      <c r="AB15" s="1296">
        <f t="shared" si="4"/>
        <v>1</v>
      </c>
      <c r="AC15" s="2346">
        <f t="shared" si="5"/>
        <v>1</v>
      </c>
    </row>
    <row r="16" spans="1:29" ht="15">
      <c r="A16" s="1110"/>
      <c r="B16" s="1129"/>
      <c r="C16" s="1132"/>
      <c r="D16" s="1131"/>
      <c r="E16" s="1130"/>
      <c r="F16" s="1131"/>
      <c r="G16" s="1132"/>
      <c r="H16" s="1133"/>
      <c r="I16" s="1130"/>
      <c r="J16" s="1131"/>
      <c r="K16" s="1509"/>
      <c r="L16" s="1249"/>
      <c r="M16" s="1237"/>
      <c r="N16" s="1237"/>
      <c r="O16" s="1237"/>
      <c r="P16" s="3643"/>
      <c r="Q16" s="664"/>
      <c r="R16" s="1285"/>
      <c r="S16" s="1286"/>
      <c r="T16" s="1285"/>
      <c r="U16" s="1286"/>
      <c r="V16" s="1285"/>
      <c r="W16" s="1286"/>
      <c r="X16" s="1279"/>
      <c r="Y16" s="3648"/>
      <c r="Z16" s="1269"/>
      <c r="AA16" s="1296">
        <v>1</v>
      </c>
      <c r="AB16" s="1296">
        <v>1</v>
      </c>
      <c r="AC16" s="2346">
        <v>1</v>
      </c>
    </row>
    <row r="17" spans="1:29" ht="71.25">
      <c r="A17" s="1110"/>
      <c r="B17" s="1134" t="s">
        <v>1025</v>
      </c>
      <c r="C17" s="234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8"/>
      <c r="L17" s="1249"/>
      <c r="M17" s="1237"/>
      <c r="N17" s="1237"/>
      <c r="O17" s="1237"/>
      <c r="P17" s="3643"/>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2346">
        <f t="shared" si="5"/>
        <v>1</v>
      </c>
    </row>
    <row r="18" spans="1:29" ht="15">
      <c r="A18" s="1110"/>
      <c r="B18" s="1138"/>
      <c r="C18" s="2342"/>
      <c r="D18" s="1133"/>
      <c r="E18" s="1430"/>
      <c r="F18" s="1133"/>
      <c r="G18" s="1422"/>
      <c r="H18" s="1131"/>
      <c r="I18" s="1422"/>
      <c r="J18" s="1131"/>
      <c r="K18" s="1509"/>
      <c r="L18" s="1249"/>
      <c r="M18" s="1237"/>
      <c r="N18" s="1237"/>
      <c r="O18" s="1237"/>
      <c r="P18" s="3643"/>
      <c r="Q18" s="664"/>
      <c r="R18" s="1285"/>
      <c r="S18" s="1286"/>
      <c r="T18" s="1285"/>
      <c r="U18" s="1286"/>
      <c r="V18" s="1285"/>
      <c r="W18" s="1286"/>
      <c r="X18" s="1279"/>
      <c r="Y18" s="3648"/>
      <c r="Z18" s="1269"/>
      <c r="AA18" s="1296">
        <v>1</v>
      </c>
      <c r="AB18" s="1296">
        <v>1</v>
      </c>
      <c r="AC18" s="2346">
        <v>1</v>
      </c>
    </row>
    <row r="19" spans="1:29" ht="42.75">
      <c r="A19" s="1110"/>
      <c r="B19" s="1134" t="s">
        <v>1026</v>
      </c>
      <c r="C19" s="234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8"/>
      <c r="L19" s="1249"/>
      <c r="M19" s="1237"/>
      <c r="N19" s="1237"/>
      <c r="O19" s="1237"/>
      <c r="P19" s="3643"/>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2346">
        <f t="shared" si="5"/>
        <v>1</v>
      </c>
    </row>
    <row r="20" spans="1:29" ht="15">
      <c r="A20" s="1110"/>
      <c r="B20" s="1138"/>
      <c r="C20" s="1132"/>
      <c r="D20" s="1131"/>
      <c r="E20" s="1252"/>
      <c r="F20" s="1131"/>
      <c r="G20" s="1139"/>
      <c r="H20" s="1131"/>
      <c r="I20" s="1139"/>
      <c r="J20" s="1131"/>
      <c r="K20" s="1509"/>
      <c r="L20" s="1249"/>
      <c r="M20" s="1237"/>
      <c r="N20" s="1237"/>
      <c r="O20" s="1237"/>
      <c r="P20" s="3643"/>
      <c r="Q20" s="664"/>
      <c r="R20" s="1285"/>
      <c r="S20" s="1286"/>
      <c r="T20" s="1285"/>
      <c r="U20" s="1286"/>
      <c r="V20" s="1285"/>
      <c r="W20" s="1286"/>
      <c r="X20" s="1279"/>
      <c r="Y20" s="3648"/>
      <c r="Z20" s="1269"/>
      <c r="AA20" s="1296">
        <v>1</v>
      </c>
      <c r="AB20" s="1296">
        <v>1</v>
      </c>
      <c r="AC20" s="2346">
        <v>1</v>
      </c>
    </row>
    <row r="21" spans="1:29" ht="28.5">
      <c r="A21" s="1110"/>
      <c r="B21" s="1141" t="s">
        <v>1027</v>
      </c>
      <c r="C21" s="234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8"/>
      <c r="L21" s="1249"/>
      <c r="M21" s="1237"/>
      <c r="N21" s="1237"/>
      <c r="O21" s="1237"/>
      <c r="P21" s="3643"/>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2346">
        <f t="shared" ref="AC21" si="10">D21/J21</f>
        <v>1</v>
      </c>
    </row>
    <row r="22" spans="1:29" ht="15">
      <c r="A22" s="1110"/>
      <c r="B22" s="1141"/>
      <c r="C22" s="2342"/>
      <c r="D22" s="1131"/>
      <c r="E22" s="1130"/>
      <c r="F22" s="1131"/>
      <c r="G22" s="1132"/>
      <c r="H22" s="1131"/>
      <c r="I22" s="1132"/>
      <c r="J22" s="1131"/>
      <c r="K22" s="1510"/>
      <c r="L22" s="1249"/>
      <c r="M22" s="1237"/>
      <c r="N22" s="1237"/>
      <c r="O22" s="1237"/>
      <c r="P22" s="3643"/>
      <c r="Q22" s="664"/>
      <c r="R22" s="1285"/>
      <c r="S22" s="1286"/>
      <c r="T22" s="1285"/>
      <c r="U22" s="1286"/>
      <c r="V22" s="1285"/>
      <c r="W22" s="1286"/>
      <c r="X22" s="1279"/>
      <c r="Y22" s="3648"/>
      <c r="Z22" s="1269"/>
      <c r="AA22" s="1296">
        <v>1</v>
      </c>
      <c r="AB22" s="1296">
        <v>1</v>
      </c>
      <c r="AC22" s="2346">
        <v>1</v>
      </c>
    </row>
    <row r="23" spans="1:29" ht="42.75">
      <c r="A23" s="1110"/>
      <c r="B23" s="1134" t="s">
        <v>1028</v>
      </c>
      <c r="C23" s="234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8"/>
      <c r="L23" s="1249"/>
      <c r="M23" s="1237"/>
      <c r="N23" s="1237"/>
      <c r="O23" s="1237"/>
      <c r="P23" s="3643"/>
      <c r="Q23" s="664" t="str">
        <f>B23</f>
        <v>环境质量</v>
      </c>
      <c r="R23" s="1285" t="s">
        <v>1013</v>
      </c>
      <c r="S23" s="1286">
        <f>F23</f>
        <v>100</v>
      </c>
      <c r="T23" s="1285" t="s">
        <v>1013</v>
      </c>
      <c r="U23" s="1286">
        <f>H23</f>
        <v>100</v>
      </c>
      <c r="V23" s="1285" t="s">
        <v>1013</v>
      </c>
      <c r="W23" s="1286">
        <f>J23</f>
        <v>100</v>
      </c>
      <c r="X23" s="1279"/>
      <c r="Y23" s="3648"/>
      <c r="Z23" s="1269" t="str">
        <f>Q23</f>
        <v>环境质量</v>
      </c>
      <c r="AA23" s="1296">
        <f t="shared" si="3"/>
        <v>1</v>
      </c>
      <c r="AB23" s="1296">
        <f t="shared" si="4"/>
        <v>1</v>
      </c>
      <c r="AC23" s="2346">
        <f t="shared" si="5"/>
        <v>1</v>
      </c>
    </row>
    <row r="24" spans="1:29" ht="15">
      <c r="A24" s="1110"/>
      <c r="B24" s="1141"/>
      <c r="C24" s="1132"/>
      <c r="D24" s="1131"/>
      <c r="E24" s="1252"/>
      <c r="F24" s="1131"/>
      <c r="G24" s="1139"/>
      <c r="H24" s="1131"/>
      <c r="I24" s="1139"/>
      <c r="J24" s="1131"/>
      <c r="K24" s="1509"/>
      <c r="L24" s="1249"/>
      <c r="M24" s="1237"/>
      <c r="N24" s="1237"/>
      <c r="O24" s="1237"/>
      <c r="P24" s="3643"/>
      <c r="Q24" s="664"/>
      <c r="R24" s="1285"/>
      <c r="S24" s="1286"/>
      <c r="T24" s="1285"/>
      <c r="U24" s="1286"/>
      <c r="V24" s="1285"/>
      <c r="W24" s="1286"/>
      <c r="X24" s="1279"/>
      <c r="Y24" s="3648"/>
      <c r="Z24" s="1269"/>
      <c r="AA24" s="1296">
        <v>1</v>
      </c>
      <c r="AB24" s="1296">
        <v>1</v>
      </c>
      <c r="AC24" s="2346">
        <v>1</v>
      </c>
    </row>
    <row r="25" spans="1:29" ht="27">
      <c r="A25" s="1090"/>
      <c r="B25" s="1134" t="s">
        <v>1029</v>
      </c>
      <c r="C25" s="1659"/>
      <c r="D25" s="1119">
        <v>100</v>
      </c>
      <c r="E25" s="1118"/>
      <c r="F25" s="1119">
        <f>SUMIF(87:87,E26,88:88)-SUMIF(87:87,C26,88:88)+100</f>
        <v>100</v>
      </c>
      <c r="G25" s="1659"/>
      <c r="H25" s="1119">
        <f>SUMIF(87:87,G26,88:88)-SUMIF(87:87,C26,88:88)+100</f>
        <v>100</v>
      </c>
      <c r="I25" s="1118"/>
      <c r="J25" s="1119">
        <f>SUMIF(87:87,I26,88:88)-SUMIF(87:87,C26,88:88)+100</f>
        <v>100</v>
      </c>
      <c r="K25" s="1508"/>
      <c r="L25" s="1249"/>
      <c r="M25" s="1237"/>
      <c r="N25" s="1237"/>
      <c r="O25" s="1237"/>
      <c r="P25" s="3643"/>
      <c r="Q25" s="664" t="str">
        <f>B25</f>
        <v>毗邻道路的类型与等级</v>
      </c>
      <c r="R25" s="1285" t="s">
        <v>1013</v>
      </c>
      <c r="S25" s="1286">
        <f>F25</f>
        <v>100</v>
      </c>
      <c r="T25" s="1285" t="s">
        <v>1013</v>
      </c>
      <c r="U25" s="1286">
        <f>H25</f>
        <v>100</v>
      </c>
      <c r="V25" s="1285" t="s">
        <v>1013</v>
      </c>
      <c r="W25" s="1286">
        <f>J25</f>
        <v>100</v>
      </c>
      <c r="X25" s="1279"/>
      <c r="Y25" s="3648"/>
      <c r="Z25" s="1269" t="str">
        <f>Q25</f>
        <v>毗邻道路的类型与等级</v>
      </c>
      <c r="AA25" s="1296">
        <f t="shared" si="3"/>
        <v>1</v>
      </c>
      <c r="AB25" s="1296">
        <f t="shared" si="4"/>
        <v>1</v>
      </c>
      <c r="AC25" s="2346">
        <f t="shared" si="5"/>
        <v>1</v>
      </c>
    </row>
    <row r="26" spans="1:29" ht="15">
      <c r="A26" s="1090"/>
      <c r="B26" s="1138"/>
      <c r="C26" s="1145"/>
      <c r="D26" s="1119"/>
      <c r="E26" s="1144"/>
      <c r="F26" s="1119"/>
      <c r="G26" s="1145"/>
      <c r="H26" s="1119"/>
      <c r="I26" s="1144"/>
      <c r="J26" s="1119"/>
      <c r="K26" s="1509"/>
      <c r="L26" s="1249"/>
      <c r="M26" s="1237"/>
      <c r="N26" s="1237"/>
      <c r="O26" s="1237"/>
      <c r="P26" s="3643"/>
      <c r="Q26" s="664"/>
      <c r="R26" s="1285"/>
      <c r="S26" s="1286"/>
      <c r="T26" s="1285"/>
      <c r="U26" s="1286"/>
      <c r="V26" s="1285"/>
      <c r="W26" s="1286"/>
      <c r="X26" s="1279"/>
      <c r="Y26" s="3648"/>
      <c r="Z26" s="1269"/>
      <c r="AA26" s="1296">
        <v>1</v>
      </c>
      <c r="AB26" s="1296">
        <v>1</v>
      </c>
      <c r="AC26" s="2346">
        <v>1</v>
      </c>
    </row>
    <row r="27" spans="1:29" ht="15">
      <c r="A27" s="1110"/>
      <c r="B27" s="1138" t="s">
        <v>1030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3"/>
      <c r="Q27" s="664" t="str">
        <f t="shared" ref="Q27:Q47" si="11">B27</f>
        <v>楼层</v>
      </c>
      <c r="R27" s="1285" t="s">
        <v>1013</v>
      </c>
      <c r="S27" s="1286">
        <f>F27</f>
        <v>100</v>
      </c>
      <c r="T27" s="1285" t="s">
        <v>1013</v>
      </c>
      <c r="U27" s="1286">
        <f>H27</f>
        <v>100</v>
      </c>
      <c r="V27" s="1285" t="s">
        <v>1013</v>
      </c>
      <c r="W27" s="1286">
        <f>J27</f>
        <v>100</v>
      </c>
      <c r="X27" s="1279"/>
      <c r="Y27" s="3648"/>
      <c r="Z27" s="1269" t="str">
        <f>Q27</f>
        <v>楼层</v>
      </c>
      <c r="AA27" s="1296">
        <f t="shared" si="3"/>
        <v>1</v>
      </c>
      <c r="AB27" s="1296">
        <f t="shared" si="4"/>
        <v>1</v>
      </c>
      <c r="AC27" s="2346">
        <f t="shared" si="5"/>
        <v>1</v>
      </c>
    </row>
    <row r="28" spans="1:29" s="1069" customFormat="1" ht="15">
      <c r="A28" s="1113"/>
      <c r="B28" s="1134" t="s">
        <v>1031</v>
      </c>
      <c r="C28" s="2343"/>
      <c r="D28" s="1585">
        <v>100</v>
      </c>
      <c r="E28" s="1630"/>
      <c r="F28" s="1585">
        <f>SUMIF(91:91,E28,92:92)-SUMIF(91:91,C28,92:92)+100</f>
        <v>100</v>
      </c>
      <c r="G28" s="2343"/>
      <c r="H28" s="1585">
        <f>SUMIF(91:91,G28,92:92)-SUMIF(91:91,C28,92:92)+100</f>
        <v>100</v>
      </c>
      <c r="I28" s="1630"/>
      <c r="J28" s="1585">
        <f>SUMIF(91:91,I28,92:92)-SUMIF(91:91,C28,92:92)+100</f>
        <v>100</v>
      </c>
      <c r="K28" s="1255"/>
      <c r="L28" s="1239"/>
      <c r="M28" s="1240"/>
      <c r="N28" s="1240"/>
      <c r="O28" s="1240"/>
      <c r="P28" s="3643"/>
      <c r="Q28" s="1284" t="str">
        <f t="shared" si="11"/>
        <v>朝向</v>
      </c>
      <c r="R28" s="1280" t="s">
        <v>1013</v>
      </c>
      <c r="S28" s="1281">
        <f>F28</f>
        <v>100</v>
      </c>
      <c r="T28" s="1280" t="s">
        <v>1013</v>
      </c>
      <c r="U28" s="1281">
        <f>H28</f>
        <v>100</v>
      </c>
      <c r="V28" s="1280" t="s">
        <v>1013</v>
      </c>
      <c r="W28" s="1281">
        <f>J28</f>
        <v>100</v>
      </c>
      <c r="X28" s="1282"/>
      <c r="Y28" s="3648"/>
      <c r="Z28" s="1295" t="str">
        <f>Q28</f>
        <v>朝向</v>
      </c>
      <c r="AA28" s="1296">
        <f t="shared" si="3"/>
        <v>1</v>
      </c>
      <c r="AB28" s="1296">
        <f t="shared" si="4"/>
        <v>1</v>
      </c>
      <c r="AC28" s="2346">
        <f t="shared" si="5"/>
        <v>1</v>
      </c>
    </row>
    <row r="29" spans="1:29" ht="15">
      <c r="A29" s="1110"/>
      <c r="B29" s="1149">
        <v>111</v>
      </c>
      <c r="C29" s="1659"/>
      <c r="D29" s="1119">
        <v>100</v>
      </c>
      <c r="E29" s="1108"/>
      <c r="F29" s="1119">
        <f>SUMIF(93:93,E29,94:94)-SUMIF(93:93,C29,94:94)+100</f>
        <v>100</v>
      </c>
      <c r="G29" s="2339"/>
      <c r="H29" s="1119">
        <f>SUMIF(93:93,G29,94:94)-SUMIF(93:93,C29,94:94)+100</f>
        <v>100</v>
      </c>
      <c r="I29" s="1108"/>
      <c r="J29" s="1119">
        <f>SUMIF(93:93,I29,94:94)-SUMIF(93:93,C29,94:94)+100</f>
        <v>100</v>
      </c>
      <c r="K29" s="1254"/>
      <c r="L29" s="1249"/>
      <c r="M29" s="1237"/>
      <c r="N29" s="1237"/>
      <c r="O29" s="1237"/>
      <c r="P29" s="3643"/>
      <c r="Q29" s="664">
        <f t="shared" si="11"/>
        <v>111</v>
      </c>
      <c r="R29" s="1285" t="s">
        <v>1013</v>
      </c>
      <c r="S29" s="1286">
        <f t="shared" ref="S29:S47" si="12">F29</f>
        <v>100</v>
      </c>
      <c r="T29" s="1285" t="s">
        <v>1013</v>
      </c>
      <c r="U29" s="1286">
        <f t="shared" ref="U29:U47" si="13">H29</f>
        <v>100</v>
      </c>
      <c r="V29" s="1285" t="s">
        <v>1013</v>
      </c>
      <c r="W29" s="1286">
        <f t="shared" ref="W29:W47" si="14">J29</f>
        <v>100</v>
      </c>
      <c r="X29" s="1279"/>
      <c r="Y29" s="3648"/>
      <c r="Z29" s="1269">
        <f t="shared" ref="Z29:Z47" si="15">Q29</f>
        <v>111</v>
      </c>
      <c r="AA29" s="1296">
        <f t="shared" si="3"/>
        <v>1</v>
      </c>
      <c r="AB29" s="1296">
        <f t="shared" si="4"/>
        <v>1</v>
      </c>
      <c r="AC29" s="2346">
        <f t="shared" si="5"/>
        <v>1</v>
      </c>
    </row>
    <row r="30" spans="1:29" ht="15">
      <c r="A30" s="1110"/>
      <c r="B30" s="1149">
        <v>111</v>
      </c>
      <c r="C30" s="1659"/>
      <c r="D30" s="1119">
        <v>100</v>
      </c>
      <c r="E30" s="1108"/>
      <c r="F30" s="1119">
        <f>SUMIF(95:95,E30,96:96)-SUMIF(95:95,C30,96:96)+100</f>
        <v>100</v>
      </c>
      <c r="G30" s="2339"/>
      <c r="H30" s="1119">
        <f>SUMIF(95:95,G30,96:96)-SUMIF(95:95,C30,96:96)+100</f>
        <v>100</v>
      </c>
      <c r="I30" s="1108"/>
      <c r="J30" s="1119">
        <f>SUMIF(95:95,I30,96:96)-SUMIF(95:95,C30,96:96)+100</f>
        <v>100</v>
      </c>
      <c r="K30" s="1254"/>
      <c r="L30" s="1249"/>
      <c r="M30" s="1237"/>
      <c r="N30" s="1237"/>
      <c r="O30" s="1237"/>
      <c r="P30" s="3643"/>
      <c r="Q30" s="664">
        <f t="shared" si="11"/>
        <v>111</v>
      </c>
      <c r="R30" s="1285" t="s">
        <v>1013</v>
      </c>
      <c r="S30" s="1286">
        <f t="shared" si="12"/>
        <v>100</v>
      </c>
      <c r="T30" s="1285" t="s">
        <v>1013</v>
      </c>
      <c r="U30" s="1286">
        <f t="shared" si="13"/>
        <v>100</v>
      </c>
      <c r="V30" s="1285" t="s">
        <v>1013</v>
      </c>
      <c r="W30" s="1286">
        <f t="shared" si="14"/>
        <v>100</v>
      </c>
      <c r="X30" s="1279"/>
      <c r="Y30" s="3648"/>
      <c r="Z30" s="1269">
        <f t="shared" si="15"/>
        <v>111</v>
      </c>
      <c r="AA30" s="1296">
        <f t="shared" si="3"/>
        <v>1</v>
      </c>
      <c r="AB30" s="1296">
        <f t="shared" si="4"/>
        <v>1</v>
      </c>
      <c r="AC30" s="2346">
        <f t="shared" si="5"/>
        <v>1</v>
      </c>
    </row>
    <row r="31" spans="1:29" ht="15">
      <c r="A31" s="1110"/>
      <c r="B31" s="1149">
        <v>111</v>
      </c>
      <c r="C31" s="1659"/>
      <c r="D31" s="1119">
        <v>100</v>
      </c>
      <c r="E31" s="1108"/>
      <c r="F31" s="1119">
        <f>SUMIF(97:97,E31,98:98)-SUMIF(97:97,C31,98:98)+100</f>
        <v>100</v>
      </c>
      <c r="G31" s="2339"/>
      <c r="H31" s="1119">
        <f>SUMIF(97:97,G31,98:98)-SUMIF(97:97,C31,98:98)+100</f>
        <v>100</v>
      </c>
      <c r="I31" s="1108"/>
      <c r="J31" s="1119">
        <f>SUMIF(97:97,I31,98:98)-SUMIF(97:97,C31,98:98)+100</f>
        <v>100</v>
      </c>
      <c r="K31" s="1254"/>
      <c r="L31" s="1249"/>
      <c r="M31" s="1237"/>
      <c r="N31" s="1237"/>
      <c r="O31" s="1237"/>
      <c r="P31" s="3643"/>
      <c r="Q31" s="664">
        <f t="shared" si="11"/>
        <v>111</v>
      </c>
      <c r="R31" s="1285" t="s">
        <v>1013</v>
      </c>
      <c r="S31" s="1286">
        <f t="shared" si="12"/>
        <v>100</v>
      </c>
      <c r="T31" s="1285" t="s">
        <v>1013</v>
      </c>
      <c r="U31" s="1286">
        <f t="shared" si="13"/>
        <v>100</v>
      </c>
      <c r="V31" s="1285" t="s">
        <v>1013</v>
      </c>
      <c r="W31" s="1286">
        <f t="shared" si="14"/>
        <v>100</v>
      </c>
      <c r="X31" s="1279"/>
      <c r="Y31" s="3648"/>
      <c r="Z31" s="1269">
        <f t="shared" si="15"/>
        <v>111</v>
      </c>
      <c r="AA31" s="1296">
        <f t="shared" si="3"/>
        <v>1</v>
      </c>
      <c r="AB31" s="1296">
        <f t="shared" si="4"/>
        <v>1</v>
      </c>
      <c r="AC31" s="2346">
        <f t="shared" si="5"/>
        <v>1</v>
      </c>
    </row>
    <row r="32" spans="1:29" ht="15">
      <c r="A32" s="1120"/>
      <c r="B32" s="1541">
        <v>111</v>
      </c>
      <c r="C32" s="1660"/>
      <c r="D32" s="1123">
        <v>100</v>
      </c>
      <c r="E32" s="1543"/>
      <c r="F32" s="1123">
        <f>SUMIF(99:99,E32,100:100)-SUMIF(99:99,C32,100:100)+100</f>
        <v>100</v>
      </c>
      <c r="G32" s="2339"/>
      <c r="H32" s="1123">
        <f>SUMIF(99:99,G32,100:100)-SUMIF(99:99,C32,100:100)+100</f>
        <v>100</v>
      </c>
      <c r="I32" s="1108"/>
      <c r="J32" s="1123">
        <f>SUMIF(99:99,I32,100:100)-SUMIF(99:99,C32,100:100)+100</f>
        <v>100</v>
      </c>
      <c r="K32" s="1254"/>
      <c r="L32" s="1249"/>
      <c r="M32" s="1237"/>
      <c r="N32" s="1237"/>
      <c r="O32" s="1237"/>
      <c r="P32" s="3643"/>
      <c r="Q32" s="664">
        <f t="shared" si="11"/>
        <v>111</v>
      </c>
      <c r="R32" s="1285" t="s">
        <v>1013</v>
      </c>
      <c r="S32" s="1286">
        <f t="shared" si="12"/>
        <v>100</v>
      </c>
      <c r="T32" s="1285" t="s">
        <v>1013</v>
      </c>
      <c r="U32" s="1286">
        <f t="shared" si="13"/>
        <v>100</v>
      </c>
      <c r="V32" s="1285" t="s">
        <v>1013</v>
      </c>
      <c r="W32" s="1286">
        <f t="shared" si="14"/>
        <v>100</v>
      </c>
      <c r="X32" s="1279"/>
      <c r="Y32" s="3648"/>
      <c r="Z32" s="1269">
        <f t="shared" si="15"/>
        <v>111</v>
      </c>
      <c r="AA32" s="1296">
        <f t="shared" si="3"/>
        <v>1</v>
      </c>
      <c r="AB32" s="1296">
        <f t="shared" si="4"/>
        <v>1</v>
      </c>
      <c r="AC32" s="2346">
        <f t="shared" si="5"/>
        <v>1</v>
      </c>
    </row>
    <row r="33" spans="1:29" ht="15">
      <c r="A33" s="1124" t="s">
        <v>1032</v>
      </c>
      <c r="B33" s="1103" t="s">
        <v>1033</v>
      </c>
      <c r="C33" s="1478"/>
      <c r="D33" s="1160">
        <v>100</v>
      </c>
      <c r="E33" s="1478"/>
      <c r="F33" s="1473">
        <f>SUMIF(101:101,E33,102:102)-SUMIF(101:101,C33,102:102)+100</f>
        <v>100</v>
      </c>
      <c r="G33" s="1478"/>
      <c r="H33" s="1119">
        <f>SUMIF(101:101,G33,102:102)-SUMIF(101:101,C33,102:102)+100</f>
        <v>100</v>
      </c>
      <c r="I33" s="1478"/>
      <c r="J33" s="1160">
        <f>SUMIF(101:101,I33,102:102)-SUMIF(101:101,C33,102:102)+100</f>
        <v>100</v>
      </c>
      <c r="K33" s="1255"/>
      <c r="L33" s="1249"/>
      <c r="M33" s="1237"/>
      <c r="N33" s="1237"/>
      <c r="O33" s="1237"/>
      <c r="P33" s="3644" t="s">
        <v>1034</v>
      </c>
      <c r="Q33" s="664" t="str">
        <f t="shared" si="11"/>
        <v>建筑类型</v>
      </c>
      <c r="R33" s="1285" t="s">
        <v>1013</v>
      </c>
      <c r="S33" s="1286">
        <f t="shared" si="12"/>
        <v>100</v>
      </c>
      <c r="T33" s="1285" t="s">
        <v>1013</v>
      </c>
      <c r="U33" s="1286">
        <f t="shared" si="13"/>
        <v>100</v>
      </c>
      <c r="V33" s="1285" t="s">
        <v>1013</v>
      </c>
      <c r="W33" s="1286">
        <f t="shared" si="14"/>
        <v>100</v>
      </c>
      <c r="X33" s="1279"/>
      <c r="Y33" s="3649" t="s">
        <v>1034</v>
      </c>
      <c r="Z33" s="1269" t="str">
        <f t="shared" si="15"/>
        <v>建筑类型</v>
      </c>
      <c r="AA33" s="1296">
        <f t="shared" si="3"/>
        <v>1</v>
      </c>
      <c r="AB33" s="1296">
        <f t="shared" si="4"/>
        <v>1</v>
      </c>
      <c r="AC33" s="2346">
        <f t="shared" si="5"/>
        <v>1</v>
      </c>
    </row>
    <row r="34" spans="1:29" s="1071" customFormat="1" ht="15">
      <c r="A34" s="1166"/>
      <c r="B34" s="1107" t="s">
        <v>1035</v>
      </c>
      <c r="C34" s="1467"/>
      <c r="D34" s="1109">
        <v>100</v>
      </c>
      <c r="E34" s="1112"/>
      <c r="F34" s="1466"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5"/>
      <c r="Q34" s="1512" t="str">
        <f t="shared" si="11"/>
        <v>项目建筑规模</v>
      </c>
      <c r="R34" s="1287" t="s">
        <v>1013</v>
      </c>
      <c r="S34" s="1288" t="e">
        <f t="shared" si="12"/>
        <v>#N/A</v>
      </c>
      <c r="T34" s="1287" t="s">
        <v>1013</v>
      </c>
      <c r="U34" s="1288" t="e">
        <f t="shared" si="13"/>
        <v>#N/A</v>
      </c>
      <c r="V34" s="1287" t="s">
        <v>1013</v>
      </c>
      <c r="W34" s="1288" t="e">
        <f t="shared" si="14"/>
        <v>#N/A</v>
      </c>
      <c r="X34" s="1289"/>
      <c r="Y34" s="3649"/>
      <c r="Z34" s="1297" t="str">
        <f t="shared" si="15"/>
        <v>项目建筑规模</v>
      </c>
      <c r="AA34" s="1296" t="e">
        <f t="shared" si="3"/>
        <v>#N/A</v>
      </c>
      <c r="AB34" s="1296" t="e">
        <f t="shared" si="4"/>
        <v>#N/A</v>
      </c>
      <c r="AC34" s="2346" t="e">
        <f t="shared" si="5"/>
        <v>#N/A</v>
      </c>
    </row>
    <row r="35" spans="1:29" ht="15">
      <c r="A35" s="1161"/>
      <c r="B35" s="1107" t="s">
        <v>1036</v>
      </c>
      <c r="C35" s="1483"/>
      <c r="D35" s="1119">
        <v>100</v>
      </c>
      <c r="E35" s="1483"/>
      <c r="F35" s="1473">
        <f>SUMIF(106:106,E35,107:107)-SUMIF(106:106,C35,107:107)+100</f>
        <v>100</v>
      </c>
      <c r="G35" s="1483"/>
      <c r="H35" s="1119">
        <f>SUMIF(106:106,G35,107:107)-SUMIF(106:106,C35,107:107)+100</f>
        <v>100</v>
      </c>
      <c r="I35" s="1483"/>
      <c r="J35" s="1119">
        <f>SUMIF(106:106,I35,107:107)-SUMIF(106:106,C35,107:107)+100</f>
        <v>100</v>
      </c>
      <c r="K35" s="1255"/>
      <c r="L35" s="1249"/>
      <c r="M35" s="1237"/>
      <c r="N35" s="1237"/>
      <c r="O35" s="1237"/>
      <c r="P35" s="3645"/>
      <c r="Q35" s="664" t="str">
        <f t="shared" si="11"/>
        <v>建筑结构</v>
      </c>
      <c r="R35" s="1285" t="s">
        <v>1013</v>
      </c>
      <c r="S35" s="1286">
        <f t="shared" si="12"/>
        <v>100</v>
      </c>
      <c r="T35" s="1285" t="s">
        <v>1013</v>
      </c>
      <c r="U35" s="1286">
        <f t="shared" si="13"/>
        <v>100</v>
      </c>
      <c r="V35" s="1285" t="s">
        <v>1013</v>
      </c>
      <c r="W35" s="1286">
        <f t="shared" si="14"/>
        <v>100</v>
      </c>
      <c r="X35" s="1279"/>
      <c r="Y35" s="3649"/>
      <c r="Z35" s="1269" t="str">
        <f t="shared" si="15"/>
        <v>建筑结构</v>
      </c>
      <c r="AA35" s="1296">
        <f t="shared" si="3"/>
        <v>1</v>
      </c>
      <c r="AB35" s="1296">
        <f t="shared" si="4"/>
        <v>1</v>
      </c>
      <c r="AC35" s="2346">
        <f t="shared" si="5"/>
        <v>1</v>
      </c>
    </row>
    <row r="36" spans="1:29" ht="15">
      <c r="A36" s="1161"/>
      <c r="B36" s="1107" t="s">
        <v>1037</v>
      </c>
      <c r="C36" s="1483"/>
      <c r="D36" s="1119">
        <v>100</v>
      </c>
      <c r="E36" s="1483"/>
      <c r="F36" s="1473">
        <f>SUMIF(108:108,E36,109:109)-SUMIF(108:108,C36,109:109)+100</f>
        <v>100</v>
      </c>
      <c r="G36" s="1483"/>
      <c r="H36" s="1119">
        <f>SUMIF(108:108,G36,109:109)-SUMIF(108:108,C36,109:109)+100</f>
        <v>100</v>
      </c>
      <c r="I36" s="1483"/>
      <c r="J36" s="1119">
        <f>SUMIF(108:108,I36,109:109)-SUMIF(108:108,C36,109:109)+100</f>
        <v>100</v>
      </c>
      <c r="K36" s="1255"/>
      <c r="L36" s="1249"/>
      <c r="M36" s="1237"/>
      <c r="N36" s="1237"/>
      <c r="O36" s="1237"/>
      <c r="P36" s="3645"/>
      <c r="Q36" s="664" t="str">
        <f t="shared" si="11"/>
        <v>公共部分装修</v>
      </c>
      <c r="R36" s="1285" t="s">
        <v>1013</v>
      </c>
      <c r="S36" s="1286">
        <f t="shared" si="12"/>
        <v>100</v>
      </c>
      <c r="T36" s="1285" t="s">
        <v>1013</v>
      </c>
      <c r="U36" s="1286">
        <f t="shared" si="13"/>
        <v>100</v>
      </c>
      <c r="V36" s="1285" t="s">
        <v>1013</v>
      </c>
      <c r="W36" s="1286">
        <f t="shared" si="14"/>
        <v>100</v>
      </c>
      <c r="X36" s="1279"/>
      <c r="Y36" s="3649"/>
      <c r="Z36" s="1269" t="str">
        <f t="shared" si="15"/>
        <v>公共部分装修</v>
      </c>
      <c r="AA36" s="1296">
        <f t="shared" si="3"/>
        <v>1</v>
      </c>
      <c r="AB36" s="1296">
        <f t="shared" si="4"/>
        <v>1</v>
      </c>
      <c r="AC36" s="2346">
        <f t="shared" si="5"/>
        <v>1</v>
      </c>
    </row>
    <row r="37" spans="1:29" ht="15">
      <c r="A37" s="1161"/>
      <c r="B37" s="1107" t="s">
        <v>635</v>
      </c>
      <c r="C37" s="1480"/>
      <c r="D37" s="1119">
        <v>100</v>
      </c>
      <c r="E37" s="1480"/>
      <c r="F37" s="1473" t="e">
        <f>LOOKUP(E37,111:111,112:112)-LOOKUP(C37,111:111,112:112)+100</f>
        <v>#N/A</v>
      </c>
      <c r="G37" s="1480"/>
      <c r="H37" s="1473" t="e">
        <f>LOOKUP(G37,111:111,112:112)-LOOKUP(C37,111:111,112:112)+100</f>
        <v>#N/A</v>
      </c>
      <c r="I37" s="1480"/>
      <c r="J37" s="1119" t="e">
        <f>LOOKUP(I37,111:111,112:112)-LOOKUP(C37,111:111,112:112)+100</f>
        <v>#N/A</v>
      </c>
      <c r="K37" s="1255"/>
      <c r="L37" s="1249"/>
      <c r="M37" s="1237"/>
      <c r="N37" s="1237"/>
      <c r="O37" s="1237"/>
      <c r="P37" s="3645"/>
      <c r="Q37" s="664" t="str">
        <f t="shared" si="11"/>
        <v>成新度</v>
      </c>
      <c r="R37" s="1285" t="s">
        <v>1013</v>
      </c>
      <c r="S37" s="1286" t="e">
        <f t="shared" si="12"/>
        <v>#N/A</v>
      </c>
      <c r="T37" s="1285" t="s">
        <v>1013</v>
      </c>
      <c r="U37" s="1286" t="e">
        <f t="shared" si="13"/>
        <v>#N/A</v>
      </c>
      <c r="V37" s="1285" t="s">
        <v>1013</v>
      </c>
      <c r="W37" s="1286" t="e">
        <f t="shared" si="14"/>
        <v>#N/A</v>
      </c>
      <c r="X37" s="1279"/>
      <c r="Y37" s="3649"/>
      <c r="Z37" s="1269" t="str">
        <f t="shared" si="15"/>
        <v>成新度</v>
      </c>
      <c r="AA37" s="1296" t="e">
        <f t="shared" si="3"/>
        <v>#N/A</v>
      </c>
      <c r="AB37" s="1296" t="e">
        <f t="shared" si="4"/>
        <v>#N/A</v>
      </c>
      <c r="AC37" s="2346" t="e">
        <f t="shared" si="5"/>
        <v>#N/A</v>
      </c>
    </row>
    <row r="38" spans="1:29" s="1069" customFormat="1" ht="15">
      <c r="A38" s="1163"/>
      <c r="B38" s="1107" t="s">
        <v>1038</v>
      </c>
      <c r="C38" s="1483"/>
      <c r="D38" s="1109">
        <v>100</v>
      </c>
      <c r="E38" s="1483"/>
      <c r="F38" s="1473">
        <f>SUMIF(113:113,E38,114:114)-SUMIF(113:113,C38,114:114)+100</f>
        <v>100</v>
      </c>
      <c r="G38" s="1483"/>
      <c r="H38" s="1119">
        <f>SUMIF(113:113,G38,114:114)-SUMIF(113:113,C38,114:114)+100</f>
        <v>100</v>
      </c>
      <c r="I38" s="1483"/>
      <c r="J38" s="1119">
        <f>SUMIF(113:113,I38,114:114)-SUMIF(113:113,C38,114:114)+100</f>
        <v>100</v>
      </c>
      <c r="K38" s="1255"/>
      <c r="L38" s="1239"/>
      <c r="M38" s="1240"/>
      <c r="N38" s="1240"/>
      <c r="O38" s="1240"/>
      <c r="P38" s="3645"/>
      <c r="Q38" s="1284" t="str">
        <f t="shared" si="11"/>
        <v>写字楼等级</v>
      </c>
      <c r="R38" s="1280" t="s">
        <v>1013</v>
      </c>
      <c r="S38" s="1281">
        <f t="shared" si="12"/>
        <v>100</v>
      </c>
      <c r="T38" s="1280" t="s">
        <v>1013</v>
      </c>
      <c r="U38" s="1281">
        <f t="shared" si="13"/>
        <v>100</v>
      </c>
      <c r="V38" s="1280" t="s">
        <v>1013</v>
      </c>
      <c r="W38" s="1281">
        <f t="shared" si="14"/>
        <v>100</v>
      </c>
      <c r="X38" s="1282"/>
      <c r="Y38" s="3649"/>
      <c r="Z38" s="1295" t="str">
        <f t="shared" si="15"/>
        <v>写字楼等级</v>
      </c>
      <c r="AA38" s="1294">
        <f t="shared" si="3"/>
        <v>1</v>
      </c>
      <c r="AB38" s="1294">
        <f t="shared" si="4"/>
        <v>1</v>
      </c>
      <c r="AC38" s="2345">
        <f t="shared" si="5"/>
        <v>1</v>
      </c>
    </row>
    <row r="39" spans="1:29" ht="15">
      <c r="A39" s="1161"/>
      <c r="B39" s="1107" t="s">
        <v>1039</v>
      </c>
      <c r="C39" s="1483"/>
      <c r="D39" s="1119">
        <v>100</v>
      </c>
      <c r="E39" s="1483"/>
      <c r="F39" s="1473">
        <f>SUMIF(115:115,E39,116:116)-SUMIF(115:115,C39,116:116)+100</f>
        <v>100</v>
      </c>
      <c r="G39" s="1483"/>
      <c r="H39" s="1119">
        <f>SUMIF(115:115,G39,116:116)-SUMIF(115:115,C39,116:116)+100</f>
        <v>100</v>
      </c>
      <c r="I39" s="1483"/>
      <c r="J39" s="1119">
        <f>SUMIF(115:115,I39,116:116)-SUMIF(115:115,C39,116:116)+100</f>
        <v>100</v>
      </c>
      <c r="K39" s="1255"/>
      <c r="L39" s="1249"/>
      <c r="M39" s="1237"/>
      <c r="N39" s="1237"/>
      <c r="O39" s="1237"/>
      <c r="P39" s="3645" t="s">
        <v>1034</v>
      </c>
      <c r="Q39" s="664" t="str">
        <f t="shared" si="11"/>
        <v>物业管理</v>
      </c>
      <c r="R39" s="1285" t="s">
        <v>1013</v>
      </c>
      <c r="S39" s="1286">
        <f t="shared" si="12"/>
        <v>100</v>
      </c>
      <c r="T39" s="1285" t="s">
        <v>1013</v>
      </c>
      <c r="U39" s="1286">
        <f t="shared" si="13"/>
        <v>100</v>
      </c>
      <c r="V39" s="1285" t="s">
        <v>1013</v>
      </c>
      <c r="W39" s="1286">
        <f t="shared" si="14"/>
        <v>100</v>
      </c>
      <c r="X39" s="1279"/>
      <c r="Y39" s="3649" t="s">
        <v>1034</v>
      </c>
      <c r="Z39" s="1269" t="str">
        <f t="shared" si="15"/>
        <v>物业管理</v>
      </c>
      <c r="AA39" s="1296">
        <f t="shared" si="3"/>
        <v>1</v>
      </c>
      <c r="AB39" s="1296">
        <f t="shared" si="4"/>
        <v>1</v>
      </c>
      <c r="AC39" s="2346">
        <f t="shared" si="5"/>
        <v>1</v>
      </c>
    </row>
    <row r="40" spans="1:29" ht="15">
      <c r="A40" s="1161"/>
      <c r="B40" s="1107" t="s">
        <v>1040</v>
      </c>
      <c r="C40" s="1483"/>
      <c r="D40" s="1119">
        <v>100</v>
      </c>
      <c r="E40" s="1483"/>
      <c r="F40" s="1473">
        <f>SUMIF(117:117,E40,118:118)-SUMIF(117:117,C40,118:118)+100</f>
        <v>100</v>
      </c>
      <c r="G40" s="1483"/>
      <c r="H40" s="1119">
        <f>SUMIF(117:117,G40,118:118)-SUMIF(117:117,C40,118:118)+100</f>
        <v>100</v>
      </c>
      <c r="I40" s="1483"/>
      <c r="J40" s="1119">
        <f>SUMIF(117:117,I40,118:118)-SUMIF(117:117,C40,118:118)+100</f>
        <v>100</v>
      </c>
      <c r="K40" s="1255"/>
      <c r="L40" s="1249"/>
      <c r="M40" s="1237"/>
      <c r="N40" s="1237"/>
      <c r="O40" s="1237"/>
      <c r="P40" s="3645"/>
      <c r="Q40" s="664" t="str">
        <f t="shared" si="11"/>
        <v>市政基础设施</v>
      </c>
      <c r="R40" s="1285" t="s">
        <v>1013</v>
      </c>
      <c r="S40" s="1286">
        <f t="shared" si="12"/>
        <v>100</v>
      </c>
      <c r="T40" s="1285" t="s">
        <v>1013</v>
      </c>
      <c r="U40" s="1286">
        <f t="shared" si="13"/>
        <v>100</v>
      </c>
      <c r="V40" s="1285" t="s">
        <v>1013</v>
      </c>
      <c r="W40" s="1286">
        <f t="shared" si="14"/>
        <v>100</v>
      </c>
      <c r="X40" s="1279"/>
      <c r="Y40" s="3649"/>
      <c r="Z40" s="1269" t="str">
        <f t="shared" si="15"/>
        <v>市政基础设施</v>
      </c>
      <c r="AA40" s="1296">
        <f t="shared" si="3"/>
        <v>1</v>
      </c>
      <c r="AB40" s="1296">
        <f t="shared" si="4"/>
        <v>1</v>
      </c>
      <c r="AC40" s="2346">
        <f t="shared" si="5"/>
        <v>1</v>
      </c>
    </row>
    <row r="41" spans="1:29" ht="15">
      <c r="A41" s="1161"/>
      <c r="B41" s="1107" t="s">
        <v>1041</v>
      </c>
      <c r="C41" s="1144"/>
      <c r="D41" s="1119">
        <v>100</v>
      </c>
      <c r="E41" s="1144"/>
      <c r="F41" s="1473">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5"/>
      <c r="Q41" s="664" t="str">
        <f t="shared" si="11"/>
        <v>层高</v>
      </c>
      <c r="R41" s="1285" t="s">
        <v>1013</v>
      </c>
      <c r="S41" s="1286">
        <f t="shared" si="12"/>
        <v>100</v>
      </c>
      <c r="T41" s="1285" t="s">
        <v>1013</v>
      </c>
      <c r="U41" s="1286">
        <f t="shared" si="13"/>
        <v>100</v>
      </c>
      <c r="V41" s="1285" t="s">
        <v>1013</v>
      </c>
      <c r="W41" s="1286">
        <f t="shared" si="14"/>
        <v>100</v>
      </c>
      <c r="X41" s="1279"/>
      <c r="Y41" s="3649"/>
      <c r="Z41" s="1269" t="str">
        <f t="shared" si="15"/>
        <v>层高</v>
      </c>
      <c r="AA41" s="1296">
        <f t="shared" si="3"/>
        <v>1</v>
      </c>
      <c r="AB41" s="1296">
        <f t="shared" si="4"/>
        <v>1</v>
      </c>
      <c r="AC41" s="2346">
        <f t="shared" si="5"/>
        <v>1</v>
      </c>
    </row>
    <row r="42" spans="1:29" s="1071" customFormat="1" ht="15">
      <c r="A42" s="1166"/>
      <c r="B42" s="1264" t="s">
        <v>1042</v>
      </c>
      <c r="C42" s="1118"/>
      <c r="D42" s="1119">
        <v>100</v>
      </c>
      <c r="E42" s="1118"/>
      <c r="F42" s="1473">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5"/>
      <c r="Q42" s="1512" t="str">
        <f t="shared" si="11"/>
        <v>单套建筑面积</v>
      </c>
      <c r="R42" s="1287" t="s">
        <v>1013</v>
      </c>
      <c r="S42" s="1288">
        <f t="shared" si="12"/>
        <v>100</v>
      </c>
      <c r="T42" s="1287" t="s">
        <v>1013</v>
      </c>
      <c r="U42" s="1288">
        <f t="shared" si="13"/>
        <v>100</v>
      </c>
      <c r="V42" s="1287" t="s">
        <v>1013</v>
      </c>
      <c r="W42" s="1288">
        <f t="shared" si="14"/>
        <v>100</v>
      </c>
      <c r="X42" s="1289"/>
      <c r="Y42" s="3649"/>
      <c r="Z42" s="1297" t="str">
        <f t="shared" si="15"/>
        <v>单套建筑面积</v>
      </c>
      <c r="AA42" s="1296">
        <f t="shared" si="3"/>
        <v>1</v>
      </c>
      <c r="AB42" s="1296">
        <f t="shared" si="4"/>
        <v>1</v>
      </c>
      <c r="AC42" s="2346">
        <f t="shared" si="5"/>
        <v>1</v>
      </c>
    </row>
    <row r="43" spans="1:29" ht="15">
      <c r="A43" s="1161"/>
      <c r="B43" s="1107" t="s">
        <v>1043</v>
      </c>
      <c r="C43" s="1483"/>
      <c r="D43" s="1119">
        <v>100</v>
      </c>
      <c r="E43" s="1483"/>
      <c r="F43" s="1473">
        <f>SUMIF(123:123,E43,124:124)-SUMIF(123:123,C43,124:124)+100</f>
        <v>100</v>
      </c>
      <c r="G43" s="1483"/>
      <c r="H43" s="1119">
        <f>SUMIF(123:123,G43,124:124)-SUMIF(123:123,C43,124:124)+100</f>
        <v>100</v>
      </c>
      <c r="I43" s="1483"/>
      <c r="J43" s="1119">
        <f>SUMIF(123:123,I43,124:124)-SUMIF(123:123,C43,124:124)+100</f>
        <v>100</v>
      </c>
      <c r="K43" s="1255"/>
      <c r="L43" s="1249"/>
      <c r="M43" s="1237"/>
      <c r="N43" s="1237"/>
      <c r="O43" s="1237"/>
      <c r="P43" s="3645"/>
      <c r="Q43" s="664" t="str">
        <f t="shared" si="11"/>
        <v>内部装修</v>
      </c>
      <c r="R43" s="1285" t="s">
        <v>1013</v>
      </c>
      <c r="S43" s="1286">
        <f t="shared" si="12"/>
        <v>100</v>
      </c>
      <c r="T43" s="1285" t="s">
        <v>1013</v>
      </c>
      <c r="U43" s="1286">
        <f t="shared" si="13"/>
        <v>100</v>
      </c>
      <c r="V43" s="1285" t="s">
        <v>1013</v>
      </c>
      <c r="W43" s="1286">
        <f t="shared" si="14"/>
        <v>100</v>
      </c>
      <c r="X43" s="1279"/>
      <c r="Y43" s="3649"/>
      <c r="Z43" s="1269" t="str">
        <f t="shared" si="15"/>
        <v>内部装修</v>
      </c>
      <c r="AA43" s="1296">
        <f t="shared" si="3"/>
        <v>1</v>
      </c>
      <c r="AB43" s="1296">
        <f t="shared" si="4"/>
        <v>1</v>
      </c>
      <c r="AC43" s="2346">
        <f t="shared" si="5"/>
        <v>1</v>
      </c>
    </row>
    <row r="44" spans="1:29" ht="15">
      <c r="A44" s="1161"/>
      <c r="B44" s="1107" t="s">
        <v>1044</v>
      </c>
      <c r="C44" s="1483"/>
      <c r="D44" s="1119">
        <v>100</v>
      </c>
      <c r="E44" s="1162"/>
      <c r="F44" s="1473">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5"/>
      <c r="Q44" s="664" t="str">
        <f t="shared" si="11"/>
        <v>内部装修维护情况</v>
      </c>
      <c r="R44" s="1285" t="s">
        <v>1013</v>
      </c>
      <c r="S44" s="1286">
        <f t="shared" si="12"/>
        <v>100</v>
      </c>
      <c r="T44" s="1285" t="s">
        <v>1013</v>
      </c>
      <c r="U44" s="1286">
        <f t="shared" si="13"/>
        <v>100</v>
      </c>
      <c r="V44" s="1285" t="s">
        <v>1013</v>
      </c>
      <c r="W44" s="1286">
        <f t="shared" si="14"/>
        <v>100</v>
      </c>
      <c r="X44" s="1279"/>
      <c r="Y44" s="3649"/>
      <c r="Z44" s="1269" t="str">
        <f t="shared" si="15"/>
        <v>内部装修维护情况</v>
      </c>
      <c r="AA44" s="1296">
        <f t="shared" si="3"/>
        <v>1</v>
      </c>
      <c r="AB44" s="1296">
        <f t="shared" si="4"/>
        <v>1</v>
      </c>
      <c r="AC44" s="2346">
        <f t="shared" si="5"/>
        <v>1</v>
      </c>
    </row>
    <row r="45" spans="1:29" s="1069" customFormat="1" ht="15">
      <c r="A45" s="1163"/>
      <c r="B45" s="1425">
        <v>111</v>
      </c>
      <c r="C45" s="1467"/>
      <c r="D45" s="1109">
        <v>100</v>
      </c>
      <c r="E45" s="1108"/>
      <c r="F45" s="1466">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5"/>
      <c r="Q45" s="1284">
        <f t="shared" si="11"/>
        <v>111</v>
      </c>
      <c r="R45" s="1280" t="s">
        <v>1013</v>
      </c>
      <c r="S45" s="1281">
        <f t="shared" si="12"/>
        <v>100</v>
      </c>
      <c r="T45" s="1280" t="s">
        <v>1013</v>
      </c>
      <c r="U45" s="1281">
        <f t="shared" si="13"/>
        <v>100</v>
      </c>
      <c r="V45" s="1280" t="s">
        <v>1013</v>
      </c>
      <c r="W45" s="1281">
        <f t="shared" si="14"/>
        <v>100</v>
      </c>
      <c r="X45" s="1282"/>
      <c r="Y45" s="3649"/>
      <c r="Z45" s="1295">
        <f t="shared" si="15"/>
        <v>111</v>
      </c>
      <c r="AA45" s="1294">
        <f t="shared" si="3"/>
        <v>1</v>
      </c>
      <c r="AB45" s="1294">
        <f t="shared" si="4"/>
        <v>1</v>
      </c>
      <c r="AC45" s="2345">
        <f t="shared" si="5"/>
        <v>1</v>
      </c>
    </row>
    <row r="46" spans="1:29" ht="15">
      <c r="A46" s="1161"/>
      <c r="B46" s="1425">
        <v>111</v>
      </c>
      <c r="C46" s="1118"/>
      <c r="D46" s="1119">
        <v>100</v>
      </c>
      <c r="E46" s="1108"/>
      <c r="F46" s="1473">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5"/>
      <c r="Q46" s="664">
        <f t="shared" si="11"/>
        <v>111</v>
      </c>
      <c r="R46" s="1285" t="s">
        <v>1013</v>
      </c>
      <c r="S46" s="1286">
        <f t="shared" si="12"/>
        <v>100</v>
      </c>
      <c r="T46" s="1285" t="s">
        <v>1013</v>
      </c>
      <c r="U46" s="1286">
        <f t="shared" si="13"/>
        <v>100</v>
      </c>
      <c r="V46" s="1285" t="s">
        <v>1013</v>
      </c>
      <c r="W46" s="1286">
        <f t="shared" si="14"/>
        <v>100</v>
      </c>
      <c r="X46" s="1279"/>
      <c r="Y46" s="3649"/>
      <c r="Z46" s="1269">
        <f t="shared" si="15"/>
        <v>111</v>
      </c>
      <c r="AA46" s="1296">
        <f t="shared" si="3"/>
        <v>1</v>
      </c>
      <c r="AB46" s="1296">
        <f t="shared" si="4"/>
        <v>1</v>
      </c>
      <c r="AC46" s="2346">
        <f t="shared" si="5"/>
        <v>1</v>
      </c>
    </row>
    <row r="47" spans="1:29" ht="15">
      <c r="A47" s="1485"/>
      <c r="B47" s="1121">
        <v>111</v>
      </c>
      <c r="C47" s="1122"/>
      <c r="D47" s="1123">
        <v>100</v>
      </c>
      <c r="E47" s="1108"/>
      <c r="F47" s="1486">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6"/>
      <c r="Q47" s="664">
        <f t="shared" si="11"/>
        <v>111</v>
      </c>
      <c r="R47" s="1285" t="s">
        <v>1013</v>
      </c>
      <c r="S47" s="1286">
        <f t="shared" si="12"/>
        <v>100</v>
      </c>
      <c r="T47" s="1285" t="s">
        <v>1013</v>
      </c>
      <c r="U47" s="1286">
        <f t="shared" si="13"/>
        <v>100</v>
      </c>
      <c r="V47" s="1285" t="s">
        <v>1013</v>
      </c>
      <c r="W47" s="1286">
        <f t="shared" si="14"/>
        <v>100</v>
      </c>
      <c r="X47" s="1279"/>
      <c r="Y47" s="3650"/>
      <c r="Z47" s="1269">
        <f t="shared" si="15"/>
        <v>111</v>
      </c>
      <c r="AA47" s="1296">
        <f t="shared" si="3"/>
        <v>1</v>
      </c>
      <c r="AB47" s="1296">
        <f t="shared" si="4"/>
        <v>1</v>
      </c>
      <c r="AC47" s="2346">
        <f t="shared" si="5"/>
        <v>1</v>
      </c>
    </row>
    <row r="48" spans="1:29" ht="15">
      <c r="A48" s="1168" t="s">
        <v>1045</v>
      </c>
      <c r="B48" s="1487"/>
      <c r="C48" s="1488" t="s">
        <v>124</v>
      </c>
      <c r="D48" s="1489"/>
      <c r="E48" s="1490"/>
      <c r="F48" s="1491"/>
      <c r="G48" s="1492"/>
      <c r="H48" s="1493"/>
      <c r="I48" s="1490"/>
      <c r="J48" s="1175"/>
      <c r="K48" s="1260"/>
      <c r="L48" s="1261"/>
      <c r="M48" s="1237"/>
      <c r="N48" s="1237"/>
      <c r="O48" s="1237"/>
      <c r="P48" s="3639" t="str">
        <f>A48</f>
        <v>成交单价（元/平方米）</v>
      </c>
      <c r="Q48" s="3640"/>
      <c r="R48" s="3641">
        <f>E48</f>
        <v>0</v>
      </c>
      <c r="S48" s="3641"/>
      <c r="T48" s="3641">
        <f>G48</f>
        <v>0</v>
      </c>
      <c r="U48" s="3641"/>
      <c r="V48" s="3641">
        <f>I48</f>
        <v>0</v>
      </c>
      <c r="W48" s="3641"/>
      <c r="X48" s="1419"/>
      <c r="Y48" s="1298"/>
      <c r="Z48" s="1419"/>
      <c r="AA48" s="1419"/>
      <c r="AB48" s="1419"/>
      <c r="AC48" s="1129"/>
    </row>
    <row r="49" spans="1:29" ht="15">
      <c r="A49" s="1176" t="s">
        <v>1046</v>
      </c>
      <c r="B49" s="1494"/>
      <c r="C49" s="1495" t="e">
        <f>R50</f>
        <v>#DIV/0!</v>
      </c>
      <c r="D49" s="1179" t="s">
        <v>1047</v>
      </c>
      <c r="E49" s="1496" t="e">
        <f>R49</f>
        <v>#DIV/0!</v>
      </c>
      <c r="F49" s="1180"/>
      <c r="G49" s="1495" t="e">
        <f>T49</f>
        <v>#DIV/0!</v>
      </c>
      <c r="H49" s="1180"/>
      <c r="I49" s="1496" t="e">
        <f>V49</f>
        <v>#DIV/0!</v>
      </c>
      <c r="J49" s="1180"/>
      <c r="K49" s="1262">
        <f>F49+H49+J49</f>
        <v>0</v>
      </c>
      <c r="L49" s="1261"/>
      <c r="M49" s="1237"/>
      <c r="N49" s="1237"/>
      <c r="O49" s="1237"/>
      <c r="P49" s="3639"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419"/>
      <c r="Y49" s="1419"/>
      <c r="Z49" s="1419"/>
      <c r="AA49" s="1419"/>
      <c r="AB49" s="1419"/>
      <c r="AC49" s="1129"/>
    </row>
    <row r="50" spans="1:29" ht="15">
      <c r="A50" s="1182" t="s">
        <v>1048</v>
      </c>
      <c r="B50" s="1183"/>
      <c r="C50" s="1497" t="e">
        <f>R50</f>
        <v>#DIV/0!</v>
      </c>
      <c r="D50" s="1497"/>
      <c r="E50" s="1497"/>
      <c r="F50" s="1497"/>
      <c r="G50" s="1497"/>
      <c r="H50" s="1497"/>
      <c r="I50" s="1497"/>
      <c r="J50" s="1184"/>
      <c r="K50" s="1263"/>
      <c r="L50" s="1261"/>
      <c r="M50" s="1237"/>
      <c r="N50" s="1237"/>
      <c r="O50" s="1237"/>
      <c r="P50" s="3651" t="str">
        <f>A50</f>
        <v>估价对象XX用房的比较价值（楼面单价，元/平方米）</v>
      </c>
      <c r="Q50" s="3652"/>
      <c r="R50" s="3653" t="e">
        <f>IF(F1="售价",ROUND(IF(D49="简单平均",AVERAGE(R49:V49),R49*F49+T49*H49+V49*J49),0),ROUND(IF(D49="简单平均",AVERAGE(R49:V49),R49*F49+T49*H49+V49*J49),1))</f>
        <v>#DIV/0!</v>
      </c>
      <c r="S50" s="3653"/>
      <c r="T50" s="3653"/>
      <c r="U50" s="3653"/>
      <c r="V50" s="3653"/>
      <c r="W50" s="3653"/>
      <c r="X50" s="1725"/>
      <c r="Y50" s="1725"/>
      <c r="Z50" s="1725"/>
      <c r="AA50" s="1725"/>
      <c r="AB50" s="1725"/>
      <c r="AC50" s="1726"/>
    </row>
    <row r="51" spans="1:29">
      <c r="A51" s="1185"/>
      <c r="B51" s="1185"/>
      <c r="C51" s="1185"/>
      <c r="D51" s="1185"/>
      <c r="E51" s="1185"/>
      <c r="F51" s="1185"/>
      <c r="G51" s="1186"/>
      <c r="H51" s="1185"/>
      <c r="I51" s="1185"/>
      <c r="J51" s="1185"/>
      <c r="K51" s="1265"/>
      <c r="L51" s="1266"/>
      <c r="M51" s="1185"/>
      <c r="N51" s="1185"/>
      <c r="O51" s="1185"/>
      <c r="P51" s="1564"/>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4"/>
      <c r="Q52" s="1185"/>
      <c r="R52" s="1185"/>
      <c r="S52" s="1185"/>
      <c r="T52" s="1185"/>
      <c r="U52" s="1185"/>
      <c r="V52" s="1185"/>
      <c r="W52" s="1185"/>
      <c r="X52" s="1185"/>
      <c r="Y52" s="1185"/>
      <c r="Z52" s="1185"/>
      <c r="AA52" s="1185"/>
      <c r="AB52" s="1185"/>
      <c r="AC52" s="1185"/>
    </row>
    <row r="53" spans="1:29" ht="13.5" customHeight="1">
      <c r="A53" s="1185"/>
      <c r="B53" s="1185"/>
      <c r="C53" s="1187" t="s">
        <v>1049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4"/>
      <c r="Q53" s="1185"/>
      <c r="R53" s="1185"/>
      <c r="S53" s="1185"/>
      <c r="T53" s="1185"/>
      <c r="U53" s="1185"/>
      <c r="V53" s="1185"/>
      <c r="W53" s="1185"/>
      <c r="X53" s="1185"/>
      <c r="Y53" s="1185"/>
      <c r="Z53" s="1185"/>
      <c r="AA53" s="1185"/>
      <c r="AB53" s="1185"/>
      <c r="AC53" s="1185"/>
    </row>
    <row r="54" spans="1:29" ht="13.5" customHeight="1">
      <c r="A54" s="1185"/>
      <c r="B54" s="1185"/>
      <c r="C54" s="1187" t="s">
        <v>1050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4"/>
      <c r="Q54" s="1185"/>
      <c r="R54" s="1185"/>
      <c r="S54" s="1185"/>
      <c r="T54" s="1185"/>
      <c r="U54" s="1185"/>
      <c r="V54" s="1185"/>
      <c r="W54" s="1185"/>
      <c r="X54" s="1185"/>
      <c r="Y54" s="1185"/>
      <c r="Z54" s="1185"/>
      <c r="AA54" s="1185"/>
      <c r="AB54" s="1185"/>
      <c r="AC54" s="1185"/>
    </row>
    <row r="55" spans="1:29" s="1072" customFormat="1" ht="13.5" customHeight="1">
      <c r="A55" s="1190"/>
      <c r="B55" s="1190"/>
      <c r="C55" s="1187" t="s">
        <v>1051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5"/>
      <c r="Q55" s="1190"/>
      <c r="R55" s="1190"/>
      <c r="S55" s="1190"/>
      <c r="T55" s="1190"/>
      <c r="U55" s="1190"/>
      <c r="V55" s="1190"/>
      <c r="W55" s="1190"/>
      <c r="X55" s="1190"/>
      <c r="Y55" s="1190"/>
      <c r="Z55" s="1190"/>
      <c r="AA55" s="1190"/>
      <c r="AB55" s="1190"/>
      <c r="AC55" s="1190"/>
    </row>
    <row r="56" spans="1:29" s="1072" customFormat="1">
      <c r="A56" s="1190"/>
      <c r="B56" s="1191"/>
      <c r="C56" s="1498"/>
      <c r="D56" s="1190"/>
      <c r="E56" s="1190"/>
      <c r="F56" s="1190"/>
      <c r="G56" s="1190"/>
      <c r="H56" s="1190"/>
      <c r="I56" s="1190"/>
      <c r="J56" s="1190"/>
      <c r="K56" s="1267"/>
      <c r="L56" s="1268"/>
      <c r="M56" s="1190"/>
      <c r="N56" s="1190"/>
      <c r="O56" s="1190"/>
      <c r="P56" s="1565"/>
      <c r="Q56" s="1190"/>
      <c r="R56" s="1190"/>
      <c r="S56" s="1190"/>
      <c r="T56" s="1190"/>
      <c r="U56" s="1190"/>
      <c r="V56" s="1190"/>
      <c r="W56" s="1190"/>
      <c r="X56" s="1190"/>
      <c r="Y56" s="1190"/>
      <c r="Z56" s="1190"/>
      <c r="AA56" s="1190"/>
      <c r="AB56" s="1190"/>
      <c r="AC56" s="1190"/>
    </row>
    <row r="57" spans="1:29">
      <c r="A57" s="1185"/>
      <c r="B57" s="1191"/>
      <c r="C57" s="1498"/>
      <c r="D57" s="1185"/>
      <c r="E57" s="1185"/>
      <c r="F57" s="1185"/>
      <c r="G57" s="1185"/>
      <c r="H57" s="1185"/>
      <c r="I57" s="1185"/>
      <c r="J57" s="1185"/>
      <c r="K57" s="1265"/>
      <c r="L57" s="1266"/>
      <c r="M57" s="1185"/>
      <c r="N57" s="1185"/>
      <c r="O57" s="1185"/>
      <c r="P57" s="1564"/>
      <c r="Q57" s="1185"/>
      <c r="R57" s="1185"/>
      <c r="S57" s="1185"/>
      <c r="T57" s="1185"/>
      <c r="U57" s="1185"/>
      <c r="V57" s="1185"/>
      <c r="W57" s="1185"/>
      <c r="X57" s="1185"/>
      <c r="Y57" s="1185"/>
      <c r="Z57" s="1185"/>
      <c r="AA57" s="1185"/>
      <c r="AB57" s="1185"/>
      <c r="AC57" s="1185"/>
    </row>
    <row r="58" spans="1:29" ht="21">
      <c r="A58" s="1224" t="s">
        <v>1052</v>
      </c>
      <c r="B58" s="1225"/>
      <c r="C58" s="1226"/>
      <c r="D58" s="1226"/>
      <c r="E58" s="1226"/>
      <c r="F58" s="1227"/>
      <c r="G58" s="1227"/>
      <c r="H58" s="1226"/>
      <c r="I58" s="1226"/>
      <c r="J58" s="1226"/>
      <c r="K58" s="1275"/>
      <c r="L58" s="1444"/>
      <c r="M58" s="1277"/>
      <c r="N58" s="1278"/>
      <c r="O58" s="1278"/>
      <c r="P58" s="1566"/>
      <c r="Q58" s="1290"/>
      <c r="R58" s="1185"/>
      <c r="S58" s="1185"/>
      <c r="T58" s="1185"/>
      <c r="U58" s="1185"/>
      <c r="V58" s="1185"/>
      <c r="W58" s="1185"/>
      <c r="X58" s="1185"/>
      <c r="Y58" s="1185"/>
      <c r="Z58" s="1185"/>
      <c r="AA58" s="1185"/>
      <c r="AB58" s="1185"/>
      <c r="AC58" s="1185"/>
    </row>
    <row r="59" spans="1:29" s="1074" customFormat="1" ht="15">
      <c r="A59" s="1499" t="s">
        <v>1011</v>
      </c>
      <c r="B59" s="1500"/>
      <c r="C59" s="1501" t="str">
        <f>YEAR(C7)&amp;"-"&amp;MONTH(C7)</f>
        <v>2023-6</v>
      </c>
      <c r="D59" s="1502">
        <f>EDATE(C59,-1)</f>
        <v>45047</v>
      </c>
      <c r="E59" s="1502">
        <f>EDATE(D59,-1)</f>
        <v>45017</v>
      </c>
      <c r="F59" s="1502">
        <f t="shared" ref="F59:O59" si="16">EDATE(E59,-1)</f>
        <v>44986</v>
      </c>
      <c r="G59" s="1502">
        <f t="shared" si="16"/>
        <v>44958</v>
      </c>
      <c r="H59" s="1502">
        <f t="shared" si="16"/>
        <v>44927</v>
      </c>
      <c r="I59" s="1502">
        <f t="shared" si="16"/>
        <v>44896</v>
      </c>
      <c r="J59" s="1502">
        <f t="shared" si="16"/>
        <v>44866</v>
      </c>
      <c r="K59" s="1502">
        <f t="shared" si="16"/>
        <v>44835</v>
      </c>
      <c r="L59" s="1502">
        <f t="shared" si="16"/>
        <v>44805</v>
      </c>
      <c r="M59" s="1502">
        <f t="shared" si="16"/>
        <v>44774</v>
      </c>
      <c r="N59" s="1502">
        <f t="shared" si="16"/>
        <v>44743</v>
      </c>
      <c r="O59" s="1502">
        <f t="shared" si="16"/>
        <v>44713</v>
      </c>
      <c r="P59" s="1567"/>
      <c r="Q59" s="1409"/>
      <c r="R59" s="1409"/>
      <c r="S59" s="1409"/>
      <c r="T59" s="1409"/>
      <c r="U59" s="1409"/>
      <c r="V59" s="1409"/>
      <c r="W59" s="1409"/>
      <c r="X59" s="1409"/>
      <c r="Y59" s="1409"/>
      <c r="Z59" s="1409"/>
      <c r="AA59" s="1409"/>
      <c r="AB59" s="1409"/>
      <c r="AC59" s="1409"/>
    </row>
    <row r="60" spans="1:29" s="1069" customFormat="1" ht="15">
      <c r="A60" s="1503"/>
      <c r="B60" s="1310"/>
      <c r="C60" s="1504">
        <v>100</v>
      </c>
      <c r="D60" s="1314"/>
      <c r="E60" s="1314"/>
      <c r="F60" s="1314"/>
      <c r="G60" s="1314"/>
      <c r="H60" s="1314"/>
      <c r="I60" s="1314"/>
      <c r="J60" s="1314"/>
      <c r="K60" s="1314"/>
      <c r="L60" s="1314"/>
      <c r="M60" s="1511"/>
      <c r="N60" s="1314"/>
      <c r="O60" s="1511"/>
      <c r="P60" s="1568"/>
      <c r="Q60" s="1410"/>
      <c r="R60" s="1410"/>
      <c r="S60" s="1410"/>
      <c r="T60" s="1410"/>
      <c r="U60" s="1410"/>
      <c r="V60" s="1410"/>
      <c r="W60" s="1410"/>
      <c r="X60" s="1410"/>
      <c r="Y60" s="1410"/>
      <c r="Z60" s="1410"/>
      <c r="AA60" s="1410"/>
      <c r="AB60" s="1410"/>
      <c r="AC60" s="1410"/>
    </row>
    <row r="61" spans="1:29" s="1069" customFormat="1" ht="15">
      <c r="A61" s="1305" t="s">
        <v>1053</v>
      </c>
      <c r="B61" s="1306"/>
      <c r="C61" s="1307"/>
      <c r="D61" s="1308"/>
      <c r="E61" s="1308"/>
      <c r="F61" s="1308"/>
      <c r="G61" s="1308"/>
      <c r="H61" s="1308"/>
      <c r="I61" s="1308"/>
      <c r="J61" s="1308"/>
      <c r="K61" s="1308"/>
      <c r="L61" s="1308"/>
      <c r="M61" s="1356"/>
      <c r="N61" s="1308"/>
      <c r="O61" s="1356"/>
      <c r="P61" s="1568"/>
      <c r="Q61" s="1290"/>
      <c r="R61" s="1410"/>
      <c r="S61" s="1410"/>
      <c r="T61" s="1410"/>
      <c r="U61" s="1410"/>
      <c r="V61" s="1410"/>
      <c r="W61" s="1410"/>
      <c r="X61" s="1410"/>
      <c r="Y61" s="1410"/>
      <c r="Z61" s="1410"/>
      <c r="AA61" s="1410"/>
      <c r="AB61" s="1410"/>
      <c r="AC61" s="1410"/>
    </row>
    <row r="62" spans="1:29" s="1069" customFormat="1" ht="15">
      <c r="A62" s="1309" t="s">
        <v>1014</v>
      </c>
      <c r="B62" s="1310"/>
      <c r="C62" s="1311" t="s">
        <v>1054</v>
      </c>
      <c r="D62" s="1312"/>
      <c r="E62" s="1312"/>
      <c r="F62" s="1312"/>
      <c r="G62" s="1312"/>
      <c r="H62" s="1312"/>
      <c r="I62" s="1312"/>
      <c r="J62" s="1312"/>
      <c r="K62" s="1312"/>
      <c r="L62" s="1358"/>
      <c r="M62" s="1359"/>
      <c r="N62" s="1360"/>
      <c r="O62" s="1360"/>
      <c r="P62" s="1569"/>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8"/>
      <c r="Q63" s="1290"/>
      <c r="R63" s="1410"/>
      <c r="S63" s="1410"/>
      <c r="T63" s="1410"/>
      <c r="U63" s="1410"/>
      <c r="V63" s="1410"/>
      <c r="W63" s="1410"/>
      <c r="X63" s="1410"/>
      <c r="Y63" s="1410"/>
      <c r="Z63" s="1410"/>
      <c r="AA63" s="1410"/>
      <c r="AB63" s="1410"/>
      <c r="AC63" s="1410"/>
    </row>
    <row r="64" spans="1:29">
      <c r="A64" s="1315" t="s">
        <v>1055</v>
      </c>
      <c r="B64" s="1316" t="s">
        <v>1017</v>
      </c>
      <c r="C64" s="1338">
        <f>C9</f>
        <v>0</v>
      </c>
      <c r="D64" s="1258"/>
      <c r="E64" s="1258"/>
      <c r="F64" s="1258"/>
      <c r="G64" s="1258"/>
      <c r="H64" s="1258"/>
      <c r="I64" s="1258"/>
      <c r="J64" s="1258"/>
      <c r="K64" s="1363"/>
      <c r="L64" s="1364"/>
      <c r="M64" s="1365"/>
      <c r="N64" s="1366"/>
      <c r="O64" s="1366"/>
      <c r="P64" s="1570"/>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0"/>
      <c r="Q65" s="1290"/>
      <c r="R65" s="1185"/>
      <c r="S65" s="1185"/>
      <c r="T65" s="1185"/>
      <c r="U65" s="1185"/>
      <c r="V65" s="1185"/>
      <c r="W65" s="1185"/>
      <c r="X65" s="1185"/>
      <c r="Y65" s="1185"/>
      <c r="Z65" s="1185"/>
      <c r="AA65" s="1185"/>
      <c r="AB65" s="1185"/>
      <c r="AC65" s="1185"/>
    </row>
    <row r="66" spans="1:29" ht="27">
      <c r="A66" s="1317"/>
      <c r="B66" s="1320" t="s">
        <v>1020</v>
      </c>
      <c r="C66" s="1345"/>
      <c r="D66" s="1345"/>
      <c r="E66" s="1345"/>
      <c r="F66" s="1345"/>
      <c r="G66" s="1345"/>
      <c r="H66" s="1345"/>
      <c r="I66" s="1345"/>
      <c r="J66" s="1345"/>
      <c r="K66" s="1396"/>
      <c r="L66" s="1397"/>
      <c r="M66" s="1398"/>
      <c r="N66" s="1366"/>
      <c r="O66" s="1366"/>
      <c r="P66" s="1570"/>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0"/>
      <c r="Q67" s="1290"/>
      <c r="R67" s="1185"/>
      <c r="S67" s="1185"/>
      <c r="T67" s="1185"/>
      <c r="U67" s="1185"/>
      <c r="V67" s="1185"/>
      <c r="W67" s="1185"/>
      <c r="X67" s="1185"/>
      <c r="Y67" s="1185"/>
      <c r="Z67" s="1185"/>
      <c r="AA67" s="1185"/>
      <c r="AB67" s="1185"/>
      <c r="AC67" s="1185"/>
    </row>
    <row r="68" spans="1:29" ht="15">
      <c r="A68" s="1317"/>
      <c r="B68" s="1324" t="s">
        <v>1021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0"/>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0"/>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0"/>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1"/>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1"/>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2"/>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1"/>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7"/>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1"/>
      <c r="Q76" s="1411"/>
      <c r="R76" s="1412"/>
      <c r="S76" s="1412"/>
      <c r="T76" s="1412"/>
      <c r="U76" s="1412"/>
      <c r="V76" s="1412"/>
      <c r="W76" s="1412"/>
      <c r="X76" s="1412"/>
      <c r="Y76" s="1412"/>
      <c r="Z76" s="1412"/>
      <c r="AA76" s="1412"/>
      <c r="AB76" s="1412"/>
      <c r="AC76" s="1412"/>
    </row>
    <row r="77" spans="1:29">
      <c r="A77" s="1315" t="s">
        <v>1022</v>
      </c>
      <c r="B77" s="1316" t="s">
        <v>1023</v>
      </c>
      <c r="C77" s="1337" t="s">
        <v>1056</v>
      </c>
      <c r="D77" s="1337" t="s">
        <v>1057</v>
      </c>
      <c r="E77" s="1337" t="s">
        <v>1058</v>
      </c>
      <c r="F77" s="1337" t="s">
        <v>1059</v>
      </c>
      <c r="G77" s="1337" t="s">
        <v>1060</v>
      </c>
      <c r="H77" s="1338"/>
      <c r="I77" s="1338"/>
      <c r="J77" s="1338"/>
      <c r="K77" s="1386"/>
      <c r="L77" s="1387"/>
      <c r="M77" s="1388"/>
      <c r="N77" s="1366"/>
      <c r="O77" s="1366"/>
      <c r="P77" s="1573"/>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0"/>
      <c r="Q78" s="1290"/>
      <c r="R78" s="1185"/>
      <c r="S78" s="1185"/>
      <c r="T78" s="1185"/>
      <c r="U78" s="1185"/>
      <c r="V78" s="1185"/>
      <c r="W78" s="1185"/>
      <c r="X78" s="1185"/>
      <c r="Y78" s="1185"/>
      <c r="Z78" s="1185"/>
      <c r="AA78" s="1185"/>
      <c r="AB78" s="1185"/>
      <c r="AC78" s="1185"/>
    </row>
    <row r="79" spans="1:29" ht="15">
      <c r="A79" s="1317"/>
      <c r="B79" s="1320" t="s">
        <v>1025</v>
      </c>
      <c r="C79" s="1339" t="s">
        <v>1056</v>
      </c>
      <c r="D79" s="1339" t="s">
        <v>1057</v>
      </c>
      <c r="E79" s="1339" t="s">
        <v>1058</v>
      </c>
      <c r="F79" s="1339" t="s">
        <v>1059</v>
      </c>
      <c r="G79" s="1339" t="s">
        <v>1060</v>
      </c>
      <c r="H79" s="1321"/>
      <c r="I79" s="1321"/>
      <c r="J79" s="1321"/>
      <c r="K79" s="1370"/>
      <c r="L79" s="1371"/>
      <c r="M79" s="1372"/>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0"/>
      <c r="Q80" s="1290"/>
      <c r="R80" s="1185"/>
      <c r="S80" s="1185"/>
      <c r="T80" s="1185"/>
      <c r="U80" s="1185"/>
      <c r="V80" s="1185"/>
      <c r="W80" s="1185"/>
      <c r="X80" s="1185"/>
      <c r="Y80" s="1185"/>
      <c r="Z80" s="1185"/>
      <c r="AA80" s="1185"/>
      <c r="AB80" s="1185"/>
      <c r="AC80" s="1185"/>
    </row>
    <row r="81" spans="1:29" ht="15">
      <c r="A81" s="1317"/>
      <c r="B81" s="1320" t="s">
        <v>1026</v>
      </c>
      <c r="C81" s="1339" t="s">
        <v>1056</v>
      </c>
      <c r="D81" s="1339" t="s">
        <v>1057</v>
      </c>
      <c r="E81" s="1339" t="s">
        <v>1058</v>
      </c>
      <c r="F81" s="1339" t="s">
        <v>1059</v>
      </c>
      <c r="G81" s="1339" t="s">
        <v>1060</v>
      </c>
      <c r="H81" s="1321"/>
      <c r="I81" s="1321"/>
      <c r="J81" s="1321"/>
      <c r="K81" s="1370"/>
      <c r="L81" s="1371"/>
      <c r="M81" s="1372"/>
      <c r="N81" s="1366"/>
      <c r="O81" s="1366"/>
      <c r="P81" s="1570"/>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0"/>
      <c r="Q82" s="1290"/>
      <c r="R82" s="1185"/>
      <c r="S82" s="1185"/>
      <c r="T82" s="1185"/>
      <c r="U82" s="1185"/>
      <c r="V82" s="1185"/>
      <c r="W82" s="1185"/>
      <c r="X82" s="1185"/>
      <c r="Y82" s="1185"/>
      <c r="Z82" s="1185"/>
      <c r="AA82" s="1185"/>
      <c r="AB82" s="1185"/>
      <c r="AC82" s="1185"/>
    </row>
    <row r="83" spans="1:29" ht="15">
      <c r="A83" s="1317"/>
      <c r="B83" s="1324" t="s">
        <v>1027</v>
      </c>
      <c r="C83" s="1344" t="s">
        <v>1061</v>
      </c>
      <c r="D83" s="1344" t="s">
        <v>1062</v>
      </c>
      <c r="E83" s="1344" t="s">
        <v>1063</v>
      </c>
      <c r="F83" s="1344" t="s">
        <v>1064</v>
      </c>
      <c r="G83" s="1344" t="s">
        <v>1065</v>
      </c>
      <c r="H83" s="1321"/>
      <c r="I83" s="1321"/>
      <c r="J83" s="1321"/>
      <c r="K83" s="1321"/>
      <c r="L83" s="1321"/>
      <c r="M83" s="1516"/>
      <c r="N83" s="1369"/>
      <c r="O83" s="1369"/>
      <c r="P83" s="1570"/>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0"/>
      <c r="Q84" s="1290"/>
      <c r="R84" s="1185"/>
      <c r="S84" s="1185"/>
      <c r="T84" s="1185"/>
      <c r="U84" s="1185"/>
      <c r="V84" s="1185"/>
      <c r="W84" s="1185"/>
      <c r="X84" s="1185"/>
      <c r="Y84" s="1185"/>
      <c r="Z84" s="1185"/>
      <c r="AA84" s="1185"/>
      <c r="AB84" s="1185"/>
      <c r="AC84" s="1185"/>
    </row>
    <row r="85" spans="1:29" ht="15">
      <c r="A85" s="1317"/>
      <c r="B85" s="1320" t="s">
        <v>1028</v>
      </c>
      <c r="C85" s="1339" t="s">
        <v>1056</v>
      </c>
      <c r="D85" s="1339" t="s">
        <v>1057</v>
      </c>
      <c r="E85" s="1339" t="s">
        <v>1058</v>
      </c>
      <c r="F85" s="1339" t="s">
        <v>1059</v>
      </c>
      <c r="G85" s="1339" t="s">
        <v>1060</v>
      </c>
      <c r="H85" s="1321"/>
      <c r="I85" s="1321"/>
      <c r="J85" s="1321"/>
      <c r="K85" s="1370"/>
      <c r="L85" s="1371"/>
      <c r="M85" s="1372"/>
      <c r="N85" s="1366"/>
      <c r="O85" s="1366"/>
      <c r="P85" s="1570"/>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0"/>
      <c r="Q86" s="1290"/>
      <c r="R86" s="1185"/>
      <c r="S86" s="1185"/>
      <c r="T86" s="1185"/>
      <c r="U86" s="1185"/>
      <c r="V86" s="1185"/>
      <c r="W86" s="1185"/>
      <c r="X86" s="1185"/>
      <c r="Y86" s="1185"/>
      <c r="Z86" s="1185"/>
      <c r="AA86" s="1185"/>
      <c r="AB86" s="1185"/>
      <c r="AC86" s="1185"/>
    </row>
    <row r="87" spans="1:29" s="1069" customFormat="1" ht="27">
      <c r="A87" s="1340"/>
      <c r="B87" s="1320" t="s">
        <v>1029</v>
      </c>
      <c r="C87" s="1328"/>
      <c r="D87" s="1328"/>
      <c r="E87" s="1328"/>
      <c r="F87" s="1328"/>
      <c r="G87" s="1328"/>
      <c r="H87" s="1328"/>
      <c r="I87" s="1328"/>
      <c r="J87" s="1328"/>
      <c r="K87" s="1328"/>
      <c r="L87" s="1517"/>
      <c r="M87" s="1518"/>
      <c r="N87" s="1360"/>
      <c r="O87" s="1360"/>
      <c r="P87" s="1570"/>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0"/>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8"/>
      <c r="G89" s="1328"/>
      <c r="H89" s="1328"/>
      <c r="I89" s="1328"/>
      <c r="J89" s="1328"/>
      <c r="K89" s="1328"/>
      <c r="L89" s="1328"/>
      <c r="M89" s="1518"/>
      <c r="N89" s="1360"/>
      <c r="O89" s="1360"/>
      <c r="P89" s="1570"/>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0"/>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1"/>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7"/>
      <c r="M93" s="1518"/>
      <c r="N93" s="1366"/>
      <c r="O93" s="1366"/>
      <c r="P93" s="1570"/>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0"/>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0"/>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0"/>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0"/>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0"/>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0"/>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0"/>
      <c r="Q100" s="1290"/>
      <c r="R100" s="1185"/>
      <c r="S100" s="1185"/>
      <c r="T100" s="1185"/>
      <c r="U100" s="1185"/>
      <c r="V100" s="1185"/>
      <c r="W100" s="1185"/>
      <c r="X100" s="1185"/>
      <c r="Y100" s="1185"/>
      <c r="Z100" s="1185"/>
      <c r="AA100" s="1185"/>
      <c r="AB100" s="1185"/>
      <c r="AC100" s="1185"/>
    </row>
    <row r="101" spans="1:29">
      <c r="A101" s="1315" t="s">
        <v>1032</v>
      </c>
      <c r="B101" s="1316" t="s">
        <v>1033</v>
      </c>
      <c r="C101" s="1258"/>
      <c r="D101" s="1258"/>
      <c r="E101" s="1258"/>
      <c r="F101" s="1258"/>
      <c r="G101" s="1258"/>
      <c r="H101" s="1258"/>
      <c r="I101" s="1258"/>
      <c r="J101" s="1258"/>
      <c r="K101" s="1363"/>
      <c r="L101" s="1364"/>
      <c r="M101" s="1365"/>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0"/>
      <c r="Q102" s="1290"/>
      <c r="R102" s="1185"/>
      <c r="S102" s="1185"/>
      <c r="T102" s="1185"/>
      <c r="U102" s="1185"/>
      <c r="V102" s="1185"/>
      <c r="W102" s="1185"/>
      <c r="X102" s="1185"/>
      <c r="Y102" s="1185"/>
      <c r="Z102" s="1185"/>
      <c r="AA102" s="1185"/>
      <c r="AB102" s="1185"/>
      <c r="AC102" s="1185"/>
    </row>
    <row r="103" spans="1:29" ht="15">
      <c r="A103" s="1317"/>
      <c r="B103" s="1320" t="s">
        <v>1035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0"/>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1"/>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1"/>
      <c r="Q105" s="1411"/>
      <c r="R105" s="1412"/>
      <c r="S105" s="1412"/>
      <c r="T105" s="1412"/>
      <c r="U105" s="1412"/>
      <c r="V105" s="1412"/>
      <c r="W105" s="1412"/>
      <c r="X105" s="1412"/>
      <c r="Y105" s="1412"/>
      <c r="Z105" s="1412"/>
      <c r="AA105" s="1412"/>
      <c r="AB105" s="1412"/>
      <c r="AC105" s="1412"/>
    </row>
    <row r="106" spans="1:29">
      <c r="A106" s="1351"/>
      <c r="B106" s="1320" t="s">
        <v>1036</v>
      </c>
      <c r="C106" s="1328"/>
      <c r="D106" s="1328"/>
      <c r="E106" s="1345"/>
      <c r="F106" s="1345"/>
      <c r="G106" s="1345"/>
      <c r="H106" s="1345"/>
      <c r="I106" s="1345"/>
      <c r="J106" s="1345"/>
      <c r="K106" s="1396"/>
      <c r="L106" s="1397"/>
      <c r="M106" s="1398"/>
      <c r="N106" s="1366"/>
      <c r="O106" s="1366"/>
      <c r="P106" s="1570"/>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0"/>
      <c r="Q107" s="1290"/>
      <c r="R107" s="1185"/>
      <c r="S107" s="1185"/>
      <c r="T107" s="1185"/>
      <c r="U107" s="1185"/>
      <c r="V107" s="1185"/>
      <c r="W107" s="1185"/>
      <c r="X107" s="1185"/>
      <c r="Y107" s="1185"/>
      <c r="Z107" s="1185"/>
      <c r="AA107" s="1185"/>
      <c r="AB107" s="1185"/>
      <c r="AC107" s="1185"/>
    </row>
    <row r="108" spans="1:29">
      <c r="A108" s="1351"/>
      <c r="B108" s="1320" t="s">
        <v>1037</v>
      </c>
      <c r="C108" s="1328"/>
      <c r="D108" s="1328"/>
      <c r="E108" s="1328"/>
      <c r="F108" s="1345"/>
      <c r="G108" s="1345"/>
      <c r="H108" s="1345"/>
      <c r="I108" s="1345"/>
      <c r="J108" s="1345"/>
      <c r="K108" s="1396"/>
      <c r="L108" s="1397"/>
      <c r="M108" s="1398"/>
      <c r="N108" s="1366"/>
      <c r="O108" s="1366"/>
      <c r="P108" s="1570"/>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0"/>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0"/>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8"/>
      <c r="J111" s="1578"/>
      <c r="K111" s="1579"/>
      <c r="L111" s="1580"/>
      <c r="M111" s="1581"/>
      <c r="N111" s="1366"/>
      <c r="O111" s="1366"/>
      <c r="P111" s="1570"/>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0"/>
      <c r="Q112" s="1290"/>
      <c r="R112" s="1185"/>
      <c r="S112" s="1185"/>
      <c r="T112" s="1185"/>
      <c r="U112" s="1185"/>
      <c r="V112" s="1185"/>
      <c r="W112" s="1185"/>
      <c r="X112" s="1185"/>
      <c r="Y112" s="1185"/>
      <c r="Z112" s="1185"/>
      <c r="AA112" s="1185"/>
      <c r="AB112" s="1185"/>
      <c r="AC112" s="1185"/>
    </row>
    <row r="113" spans="1:29" s="1071" customFormat="1">
      <c r="A113" s="1348"/>
      <c r="B113" s="1320" t="s">
        <v>1038</v>
      </c>
      <c r="C113" s="1328"/>
      <c r="D113" s="1328"/>
      <c r="E113" s="1328"/>
      <c r="F113" s="1328"/>
      <c r="G113" s="1328"/>
      <c r="H113" s="1345"/>
      <c r="I113" s="1345"/>
      <c r="J113" s="1345"/>
      <c r="K113" s="1396"/>
      <c r="L113" s="1397"/>
      <c r="M113" s="1398"/>
      <c r="N113" s="1379"/>
      <c r="O113" s="1379"/>
      <c r="P113" s="1571"/>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1"/>
      <c r="Q114" s="1411"/>
      <c r="R114" s="1412"/>
      <c r="S114" s="1412"/>
      <c r="T114" s="1412"/>
      <c r="U114" s="1412"/>
      <c r="V114" s="1412"/>
      <c r="W114" s="1412"/>
      <c r="X114" s="1412"/>
      <c r="Y114" s="1412"/>
      <c r="Z114" s="1412"/>
      <c r="AA114" s="1412"/>
      <c r="AB114" s="1412"/>
      <c r="AC114" s="1412"/>
    </row>
    <row r="115" spans="1:29">
      <c r="A115" s="1351"/>
      <c r="B115" s="1320" t="s">
        <v>1039</v>
      </c>
      <c r="C115" s="1328"/>
      <c r="D115" s="1328"/>
      <c r="E115" s="1345"/>
      <c r="F115" s="1345"/>
      <c r="G115" s="1345"/>
      <c r="H115" s="1345"/>
      <c r="I115" s="1345"/>
      <c r="J115" s="1345"/>
      <c r="K115" s="1396"/>
      <c r="L115" s="1397"/>
      <c r="M115" s="1398"/>
      <c r="N115" s="1366"/>
      <c r="O115" s="1366"/>
      <c r="P115" s="1570"/>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0"/>
      <c r="Q116" s="1290"/>
      <c r="R116" s="1185"/>
      <c r="S116" s="1185"/>
      <c r="T116" s="1185"/>
      <c r="U116" s="1185"/>
      <c r="V116" s="1185"/>
      <c r="W116" s="1185"/>
      <c r="X116" s="1185"/>
      <c r="Y116" s="1185"/>
      <c r="Z116" s="1185"/>
      <c r="AA116" s="1185"/>
      <c r="AB116" s="1185"/>
      <c r="AC116" s="1185"/>
    </row>
    <row r="117" spans="1:29">
      <c r="A117" s="1351"/>
      <c r="B117" s="1320" t="s">
        <v>1040</v>
      </c>
      <c r="C117" s="1328"/>
      <c r="D117" s="1328"/>
      <c r="E117" s="1328"/>
      <c r="F117" s="1328"/>
      <c r="G117" s="1328"/>
      <c r="H117" s="1345"/>
      <c r="I117" s="1345"/>
      <c r="J117" s="1345"/>
      <c r="K117" s="1396"/>
      <c r="L117" s="1397"/>
      <c r="M117" s="1398"/>
      <c r="N117" s="1366"/>
      <c r="O117" s="1366"/>
      <c r="P117" s="1570"/>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0"/>
      <c r="Q118" s="1290"/>
      <c r="R118" s="1185"/>
      <c r="S118" s="1185"/>
      <c r="T118" s="1185"/>
      <c r="U118" s="1185"/>
      <c r="V118" s="1185"/>
      <c r="W118" s="1185"/>
      <c r="X118" s="1185"/>
      <c r="Y118" s="1185"/>
      <c r="Z118" s="1185"/>
      <c r="AA118" s="1185"/>
      <c r="AB118" s="1185"/>
      <c r="AC118" s="1185"/>
    </row>
    <row r="119" spans="1:29">
      <c r="A119" s="1351"/>
      <c r="B119" s="1514" t="s">
        <v>1066</v>
      </c>
      <c r="C119" s="1345"/>
      <c r="D119" s="1345"/>
      <c r="E119" s="1345"/>
      <c r="F119" s="1345"/>
      <c r="G119" s="1345"/>
      <c r="H119" s="1345"/>
      <c r="I119" s="1345"/>
      <c r="J119" s="1345"/>
      <c r="K119" s="1345"/>
      <c r="L119" s="2348"/>
      <c r="M119" s="2349"/>
      <c r="N119" s="1369"/>
      <c r="O119" s="1369"/>
      <c r="P119" s="1582"/>
      <c r="Q119" s="1525"/>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0"/>
      <c r="Q120" s="1290"/>
      <c r="R120" s="1185"/>
      <c r="S120" s="1185"/>
      <c r="T120" s="1185"/>
      <c r="U120" s="1185"/>
      <c r="V120" s="1185"/>
      <c r="W120" s="1185"/>
      <c r="X120" s="1185"/>
      <c r="Y120" s="1185"/>
      <c r="Z120" s="1185"/>
      <c r="AA120" s="1185"/>
      <c r="AB120" s="1185"/>
      <c r="AC120" s="1185"/>
    </row>
    <row r="121" spans="1:29" s="1071" customFormat="1">
      <c r="A121" s="1348"/>
      <c r="B121" s="1320" t="s">
        <v>1067</v>
      </c>
      <c r="C121" s="1328"/>
      <c r="D121" s="1328"/>
      <c r="E121" s="1328"/>
      <c r="F121" s="1345"/>
      <c r="G121" s="1329"/>
      <c r="H121" s="1329"/>
      <c r="I121" s="1329"/>
      <c r="J121" s="1329"/>
      <c r="K121" s="1329"/>
      <c r="L121" s="1377"/>
      <c r="M121" s="1378"/>
      <c r="N121" s="1379"/>
      <c r="O121" s="1379"/>
      <c r="P121" s="1571"/>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1"/>
      <c r="Q122" s="1411"/>
      <c r="R122" s="1412"/>
      <c r="S122" s="1412"/>
      <c r="T122" s="1412"/>
      <c r="U122" s="1412"/>
      <c r="V122" s="1412"/>
      <c r="W122" s="1412"/>
      <c r="X122" s="1412"/>
      <c r="Y122" s="1412"/>
      <c r="Z122" s="1412"/>
      <c r="AA122" s="1412"/>
      <c r="AB122" s="1412"/>
      <c r="AC122" s="1412"/>
    </row>
    <row r="123" spans="1:29">
      <c r="A123" s="1351"/>
      <c r="B123" s="1320" t="s">
        <v>1043</v>
      </c>
      <c r="C123" s="1328"/>
      <c r="D123" s="1328"/>
      <c r="E123" s="1328"/>
      <c r="F123" s="1345"/>
      <c r="G123" s="1345"/>
      <c r="H123" s="1345"/>
      <c r="I123" s="1345"/>
      <c r="J123" s="1345"/>
      <c r="K123" s="1396"/>
      <c r="L123" s="1397"/>
      <c r="M123" s="1398"/>
      <c r="N123" s="1366"/>
      <c r="O123" s="1366"/>
      <c r="P123" s="1570"/>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0"/>
      <c r="Q124" s="1290"/>
      <c r="R124" s="1185"/>
      <c r="S124" s="1185"/>
      <c r="T124" s="1185"/>
      <c r="U124" s="1185"/>
      <c r="V124" s="1185"/>
      <c r="W124" s="1185"/>
      <c r="X124" s="1185"/>
      <c r="Y124" s="1185"/>
      <c r="Z124" s="1185"/>
      <c r="AA124" s="1185"/>
      <c r="AB124" s="1185"/>
      <c r="AC124" s="1185"/>
    </row>
    <row r="125" spans="1:29">
      <c r="A125" s="1351"/>
      <c r="B125" s="1320" t="s">
        <v>1044</v>
      </c>
      <c r="C125" s="1339" t="s">
        <v>1056</v>
      </c>
      <c r="D125" s="1339" t="s">
        <v>1057</v>
      </c>
      <c r="E125" s="1339" t="s">
        <v>1058</v>
      </c>
      <c r="F125" s="1339" t="s">
        <v>1059</v>
      </c>
      <c r="G125" s="1339" t="s">
        <v>1060</v>
      </c>
      <c r="H125" s="1321"/>
      <c r="I125" s="1321"/>
      <c r="J125" s="1321"/>
      <c r="K125" s="1370"/>
      <c r="L125" s="1371"/>
      <c r="M125" s="1372"/>
      <c r="N125" s="1366"/>
      <c r="O125" s="1366"/>
      <c r="P125" s="1571"/>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0"/>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1"/>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1"/>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0"/>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0"/>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0"/>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0"/>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40" t="str">
        <f>项目基本情况!B1</f>
        <v>北京市房地产抵押价值预评估</v>
      </c>
      <c r="C37" s="3440"/>
      <c r="D37" s="3440"/>
      <c r="E37" s="3440"/>
      <c r="F37" s="3440"/>
      <c r="G37" s="3440"/>
      <c r="H37" s="3440"/>
      <c r="I37" s="344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 ca="1">项目基本情况!K4</f>
        <v>郑燚（注册号：1120070131)、崔锴（注册号：1120100036)</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I35" sqref="I35"/>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t="s">
        <v>548</v>
      </c>
      <c r="D1" s="1944" t="s">
        <v>124</v>
      </c>
      <c r="E1" s="1945" t="s">
        <v>1069</v>
      </c>
      <c r="F1" s="1946">
        <f ca="1">J53</f>
        <v>27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2331">
        <f ca="1">C40+J29+L46</f>
        <v>34403</v>
      </c>
      <c r="C2" s="1950" t="s">
        <v>1071</v>
      </c>
      <c r="D2" s="1950"/>
      <c r="E2" s="1952"/>
      <c r="F2" s="1953"/>
      <c r="G2" s="1954"/>
      <c r="H2" s="1955"/>
      <c r="I2" s="1955"/>
      <c r="J2" s="1955"/>
      <c r="K2" s="2114"/>
      <c r="L2" s="1955"/>
      <c r="M2" s="1955"/>
    </row>
    <row r="3" spans="1:37" ht="18" customHeight="1">
      <c r="A3" s="1956" t="s">
        <v>1072</v>
      </c>
      <c r="B3" s="1957">
        <f ca="1">IF(ISERROR(B2*10000/F43),0,ROUND(B2*10000/F43,0))</f>
        <v>16967</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2313</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ROUND(F6*F8*F7*(1-F9)/10000,0)</f>
        <v>2310</v>
      </c>
      <c r="D6" s="1971" t="s">
        <v>1083</v>
      </c>
      <c r="E6" s="1972" t="s">
        <v>1084</v>
      </c>
      <c r="F6" s="1973">
        <f ca="1">INDIRECT("'数据-取费表'!u"&amp;$G$1)</f>
        <v>3.5</v>
      </c>
      <c r="G6" s="761"/>
      <c r="H6" s="1969" t="s">
        <v>899</v>
      </c>
      <c r="I6" s="3676" t="s">
        <v>1082</v>
      </c>
      <c r="J6" s="2044">
        <f ca="1">ROUND(M6*M8*M7*(1-M9)/10000,0)</f>
        <v>0</v>
      </c>
      <c r="K6" s="1971" t="s">
        <v>1085</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20093.550000000003</v>
      </c>
      <c r="G7" s="761"/>
      <c r="H7" s="1978"/>
      <c r="I7" s="3677"/>
      <c r="J7" s="1979"/>
      <c r="K7" s="1976"/>
      <c r="L7" s="1972" t="s">
        <v>1086</v>
      </c>
      <c r="M7" s="1973">
        <f ca="1">F7</f>
        <v>20093.550000000003</v>
      </c>
    </row>
    <row r="8" spans="1:37" ht="18" customHeight="1">
      <c r="A8" s="1978"/>
      <c r="B8" s="3677"/>
      <c r="C8" s="1979"/>
      <c r="D8" s="1976"/>
      <c r="E8" s="1972" t="s">
        <v>1087</v>
      </c>
      <c r="F8" s="1973">
        <f ca="1">INDIRECT("'数据-取费表'!ai"&amp;$G$1)</f>
        <v>365</v>
      </c>
      <c r="G8" s="761"/>
      <c r="H8" s="1978"/>
      <c r="I8" s="3677"/>
      <c r="J8" s="1979"/>
      <c r="K8" s="1976"/>
      <c r="L8" s="1972" t="s">
        <v>1087</v>
      </c>
      <c r="M8" s="1973">
        <f ca="1">INDIRECT("'数据-取费表'!ai"&amp;$G$1)</f>
        <v>365</v>
      </c>
    </row>
    <row r="9" spans="1:37" ht="18" customHeight="1">
      <c r="A9" s="1978"/>
      <c r="B9" s="3678"/>
      <c r="C9" s="1979"/>
      <c r="D9" s="1976"/>
      <c r="E9" s="1972" t="s">
        <v>1088</v>
      </c>
      <c r="F9" s="1980">
        <f ca="1">INDIRECT("'数据-取费表'!w"&amp;$G$1)</f>
        <v>0.1</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3</v>
      </c>
      <c r="D10" s="1982" t="s">
        <v>1090</v>
      </c>
      <c r="E10" s="1983" t="s">
        <v>1091</v>
      </c>
      <c r="F10" s="1984" t="s">
        <v>1092</v>
      </c>
      <c r="G10" s="761"/>
      <c r="H10" s="1969" t="s">
        <v>903</v>
      </c>
      <c r="I10" s="1981" t="s">
        <v>1089</v>
      </c>
      <c r="J10" s="2044">
        <f ca="1">ROUND(IF(M10="押一",J6/12*M11,IF(M10="押二",J6/12*2*M11,IF(M10="押三",J6/12*3*M11,J11*M11))),0)</f>
        <v>0</v>
      </c>
      <c r="K10" s="1982" t="s">
        <v>1090</v>
      </c>
      <c r="L10" s="1983" t="s">
        <v>1091</v>
      </c>
      <c r="M10" s="1984"/>
    </row>
    <row r="11" spans="1:37" ht="18" customHeight="1">
      <c r="A11" s="1985"/>
      <c r="B11" s="1986" t="s">
        <v>1093</v>
      </c>
      <c r="C11" s="1987"/>
      <c r="D11" s="2332"/>
      <c r="E11" s="1983" t="s">
        <v>1094</v>
      </c>
      <c r="F11" s="1988">
        <f ca="1">'数据-取费表'!B39</f>
        <v>1.4999999999999999E-2</v>
      </c>
      <c r="G11" s="761"/>
      <c r="H11" s="1989"/>
      <c r="I11" s="1986" t="s">
        <v>1093</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8240</v>
      </c>
      <c r="D13" s="1999" t="s">
        <v>1097</v>
      </c>
      <c r="E13" s="1999" t="s">
        <v>1098</v>
      </c>
      <c r="F13" s="2000">
        <f ca="1">INDIRECT("'数据-取费表'!y"&amp;$G$1)</f>
        <v>0.8</v>
      </c>
      <c r="G13" s="761"/>
      <c r="H13" s="1996">
        <v>2</v>
      </c>
      <c r="I13" s="1997" t="s">
        <v>1096</v>
      </c>
      <c r="J13" s="2123">
        <f ca="1">ROUND(J14*J15,0)</f>
        <v>0</v>
      </c>
      <c r="K13" s="2022" t="s">
        <v>1097</v>
      </c>
      <c r="L13" s="2124"/>
      <c r="M13" s="2125"/>
    </row>
    <row r="14" spans="1:37" ht="18" customHeight="1">
      <c r="A14" s="2001" t="s">
        <v>922</v>
      </c>
      <c r="B14" s="1972" t="s">
        <v>1099</v>
      </c>
      <c r="C14" s="2002">
        <f ca="1">INDIRECT("'数据-取费表'!m"&amp;$G$1)+INDIRECT("'数据-取费表'!t"&amp;$G$1)</f>
        <v>7097</v>
      </c>
      <c r="D14" s="2003" t="s">
        <v>1100</v>
      </c>
      <c r="E14" s="2004"/>
      <c r="F14" s="2005"/>
      <c r="G14" s="761"/>
      <c r="H14" s="2001" t="s">
        <v>899</v>
      </c>
      <c r="I14" s="1972" t="s">
        <v>1101</v>
      </c>
      <c r="J14" s="1003">
        <f ca="1">C29</f>
        <v>10300</v>
      </c>
      <c r="K14" s="2126"/>
      <c r="L14" s="2127"/>
      <c r="M14" s="2128"/>
    </row>
    <row r="15" spans="1:37" s="1940" customFormat="1" ht="18" customHeight="1">
      <c r="A15" s="2001" t="s">
        <v>926</v>
      </c>
      <c r="B15" s="1972" t="s">
        <v>1102</v>
      </c>
      <c r="C15" s="1003">
        <f ca="1">ROUND(C14*F15,0)</f>
        <v>213</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ROUND(INDIRECT("'数据-取费表'!m"&amp;$G$1)*F16,0)</f>
        <v>0</v>
      </c>
      <c r="D16" s="1972" t="s">
        <v>1103</v>
      </c>
      <c r="E16" s="1972" t="s">
        <v>1104</v>
      </c>
      <c r="F16" s="2010">
        <f ca="1">IF(INDIRECT("'数据-取费表'!c"&amp;$G$1)="住宅",'数据-取费表'!B34,0)</f>
        <v>0</v>
      </c>
      <c r="G16" s="761"/>
      <c r="H16" s="1996" t="s">
        <v>1106</v>
      </c>
      <c r="I16" s="1997" t="s">
        <v>1107</v>
      </c>
      <c r="J16" s="1998">
        <f ca="1">ROUND(J17+J22+J23+J24,0)</f>
        <v>31</v>
      </c>
      <c r="K16" s="2022" t="s">
        <v>1108</v>
      </c>
      <c r="L16" s="2023"/>
      <c r="M16" s="1968"/>
    </row>
    <row r="17" spans="1:37" s="1940" customFormat="1" ht="18" customHeight="1">
      <c r="A17" s="2001" t="s">
        <v>1109</v>
      </c>
      <c r="B17" s="1972" t="s">
        <v>1110</v>
      </c>
      <c r="C17" s="1003">
        <f ca="1">ROUND(F17*(F43+INDIRECT("'数据-取费表'!S"&amp;$G$1))/10000,0)</f>
        <v>406</v>
      </c>
      <c r="D17" s="1972" t="s">
        <v>1111</v>
      </c>
      <c r="E17" s="1972" t="s">
        <v>1112</v>
      </c>
      <c r="F17" s="2011">
        <f>'数据-取费表'!B35</f>
        <v>200</v>
      </c>
      <c r="G17" s="2008"/>
      <c r="H17" s="2001" t="s">
        <v>899</v>
      </c>
      <c r="I17" s="1972" t="s">
        <v>1113</v>
      </c>
      <c r="J17" s="2025">
        <f ca="1">ROUND(IF(AND(项目基本情况!B11="自然人",项目基本情况!B10="北京市"),J6*M17/(1+'数据-取费表'!C42),J18+J19+J20),2)</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106</v>
      </c>
      <c r="D18" s="1972" t="s">
        <v>1103</v>
      </c>
      <c r="E18" s="1972" t="s">
        <v>1104</v>
      </c>
      <c r="F18" s="2010">
        <f>'数据-取费表'!B36</f>
        <v>1.4999999999999999E-2</v>
      </c>
      <c r="G18" s="2008"/>
      <c r="H18" s="2001" t="s">
        <v>922</v>
      </c>
      <c r="I18" s="1972" t="s">
        <v>1118</v>
      </c>
      <c r="J18" s="1003">
        <f ca="1">ROUND(J6*M18/(1+'数据-取费表'!C42),2)</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7822</v>
      </c>
      <c r="D19" s="2012" t="s">
        <v>1121</v>
      </c>
      <c r="E19" s="1005"/>
      <c r="F19" s="2011"/>
      <c r="G19" s="761"/>
      <c r="H19" s="2001" t="s">
        <v>926</v>
      </c>
      <c r="I19" s="1972" t="s">
        <v>1122</v>
      </c>
      <c r="J19" s="1003">
        <f ca="1">IF(K19="按租金收入计税",ROUND(J6*M19/(1+'数据-取费表'!C42),2),ROUND(C29*M19*0.7,2))</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156</v>
      </c>
      <c r="D20" s="2013" t="s">
        <v>1125</v>
      </c>
      <c r="E20" s="1972" t="s">
        <v>1104</v>
      </c>
      <c r="F20" s="2010">
        <f>'数据-取费表'!B37</f>
        <v>0.02</v>
      </c>
      <c r="G20" s="2008"/>
      <c r="H20" s="2001" t="s">
        <v>929</v>
      </c>
      <c r="I20" s="1971" t="s">
        <v>1126</v>
      </c>
      <c r="J20" s="2031">
        <f ca="1">ROUND(M20*M21/10000,2)</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ROUND(J14*M22,2)</f>
        <v>30.9</v>
      </c>
      <c r="K22" s="2026" t="s">
        <v>1135</v>
      </c>
      <c r="L22" s="1972" t="s">
        <v>1104</v>
      </c>
      <c r="M22" s="2038">
        <f ca="1">INDIRECT("'数据-取费表'!Ak"&amp;$G$1)</f>
        <v>3.0000000000000001E-3</v>
      </c>
    </row>
    <row r="23" spans="1:37" s="1940" customFormat="1" ht="18" customHeight="1">
      <c r="A23" s="2001" t="s">
        <v>922</v>
      </c>
      <c r="B23" s="1972" t="s">
        <v>1136</v>
      </c>
      <c r="C23" s="1003">
        <f ca="1">IF('数据-取费表'!B22&lt;=1,ROUND(C19*F24*F23/2,0)+ROUND(C20*F24*F23/2,0),ROUND(C19*(POWER((1+F24),F23/2)-1),0)+ROUND(C20*(POWER((1+F24),F23/2)-1),0))</f>
        <v>331</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ROUND(J13*M23,2)</f>
        <v>0</v>
      </c>
      <c r="K23" s="2026" t="s">
        <v>1139</v>
      </c>
      <c r="L23" s="1972" t="s">
        <v>1104</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ROUND(J5*M24,2)</f>
        <v>0</v>
      </c>
      <c r="K24" s="2019" t="s">
        <v>1142</v>
      </c>
      <c r="L24" s="1994" t="s">
        <v>1104</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955</v>
      </c>
      <c r="B25" s="1972" t="s">
        <v>1143</v>
      </c>
      <c r="C25" s="1003"/>
      <c r="D25" s="2012" t="s">
        <v>1144</v>
      </c>
      <c r="E25" s="1005"/>
      <c r="F25" s="2011"/>
      <c r="G25" s="761"/>
      <c r="H25" s="1996" t="s">
        <v>1145</v>
      </c>
      <c r="I25" s="2040" t="s">
        <v>1146</v>
      </c>
      <c r="J25" s="1998">
        <f ca="1">J5-J16</f>
        <v>-31</v>
      </c>
      <c r="K25" s="2041" t="s">
        <v>1147</v>
      </c>
      <c r="L25" s="2042"/>
      <c r="M25" s="2043"/>
    </row>
    <row r="26" spans="1:37">
      <c r="A26" s="2001" t="s">
        <v>922</v>
      </c>
      <c r="B26" s="1972" t="s">
        <v>1148</v>
      </c>
      <c r="C26" s="1003">
        <f ca="1">ROUND((C19+C20)*F26,0)</f>
        <v>1197</v>
      </c>
      <c r="D26" s="2013" t="s">
        <v>1149</v>
      </c>
      <c r="E26" s="1983" t="s">
        <v>1150</v>
      </c>
      <c r="F26" s="1980">
        <f ca="1">INDIRECT("'数据-取费表'!q"&amp;$G$1)</f>
        <v>0.15</v>
      </c>
      <c r="G26" s="761"/>
      <c r="H26" s="1963" t="s">
        <v>1151</v>
      </c>
      <c r="I26" s="1964" t="s">
        <v>1152</v>
      </c>
      <c r="J26" s="2044">
        <f ca="1">IF(J5&lt;&gt;0,ROUND(J25*(1-((1+M28)/(1+M26))^M27)/(M26-M28),0),0)</f>
        <v>0</v>
      </c>
      <c r="K26" s="2032" t="s">
        <v>1153</v>
      </c>
      <c r="L26" s="1972" t="s">
        <v>1154</v>
      </c>
      <c r="M26" s="1980">
        <f ca="1">INDIRECT("'数据-取费表'!I"&amp;$G$1)</f>
        <v>5.5E-2</v>
      </c>
    </row>
    <row r="27" spans="1:37" ht="18" customHeight="1">
      <c r="A27" s="2001" t="s">
        <v>926</v>
      </c>
      <c r="B27" s="1972" t="s">
        <v>1155</v>
      </c>
      <c r="C27" s="1003">
        <f ca="1">ROUND(F21*F26,4)</f>
        <v>3.0000000000000001E-3</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10300</v>
      </c>
      <c r="D29" s="2019"/>
      <c r="E29" s="1994"/>
      <c r="F29" s="2020"/>
      <c r="G29" s="2008"/>
      <c r="H29" s="2021" t="s">
        <v>1164</v>
      </c>
      <c r="I29" s="2051" t="s">
        <v>1165</v>
      </c>
      <c r="J29" s="2052">
        <f ca="1">ROUND(J26/(1+F40)^F41,0)</f>
        <v>0</v>
      </c>
      <c r="K29" s="2053" t="s">
        <v>1166</v>
      </c>
      <c r="L29" s="2054"/>
      <c r="M29" s="2055">
        <f ca="1">INDIRECT("'数据-取费表'!k"&amp;$G$1)</f>
        <v>20276.490000000002</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438</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ROUND(IF(AND(项目基本情况!B11="自然人",项目基本情况!B10="北京市"),C6*F31/(1+'数据-取费表'!C42),C32+C33+C34),2)</f>
        <v>387.2</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IF(项目基本情况!B11="自然人","——",ROUND(C6*F32/(1+'数据-取费表'!C42),2))</f>
        <v>123.2</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IF(项目基本情况!B11="自然人","——",IF(D33="按租金收入计税",ROUND(C6*F33/(1+'数据-取费表'!C42),2),IF(D33="按房产原值计税",ROUND(C29*F33*0.7,2),INDIRECT("'数据-取费表'!Aj"&amp;$G$1))))</f>
        <v>264</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IF(项目基本情况!B11="自然人","——",ROUND(F34*F35/10000,2))</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ROUND(C29*F36,2)</f>
        <v>30.9</v>
      </c>
      <c r="D36" s="2026" t="s">
        <v>1168</v>
      </c>
      <c r="E36" s="1972" t="s">
        <v>1104</v>
      </c>
      <c r="F36" s="2038">
        <f ca="1">INDIRECT("'数据-取费表'!Ak"&amp;$G$1)</f>
        <v>3.0000000000000001E-3</v>
      </c>
      <c r="G36" s="761"/>
      <c r="H36" s="2030"/>
      <c r="I36" s="2133"/>
      <c r="J36" s="2134"/>
      <c r="K36" s="2141"/>
      <c r="L36" s="2030"/>
      <c r="M36" s="2030"/>
    </row>
    <row r="37" spans="1:18" ht="18" customHeight="1">
      <c r="A37" s="2001" t="s">
        <v>948</v>
      </c>
      <c r="B37" s="1972" t="s">
        <v>1138</v>
      </c>
      <c r="C37" s="1003">
        <f ca="1">ROUND(C13*F37,2)</f>
        <v>8.24</v>
      </c>
      <c r="D37" s="2026" t="s">
        <v>1139</v>
      </c>
      <c r="E37" s="1972" t="s">
        <v>1104</v>
      </c>
      <c r="F37" s="2039">
        <f ca="1">INDIRECT("'数据-取费表'!Al"&amp;$G$1)</f>
        <v>1E-3</v>
      </c>
      <c r="G37" s="761"/>
      <c r="H37" s="2030"/>
      <c r="I37" s="2133"/>
      <c r="J37" s="2134"/>
      <c r="K37" s="2141"/>
      <c r="L37" s="2030"/>
      <c r="M37" s="2030"/>
    </row>
    <row r="38" spans="1:18" ht="18" customHeight="1">
      <c r="A38" s="2009" t="s">
        <v>951</v>
      </c>
      <c r="B38" s="1994" t="s">
        <v>1124</v>
      </c>
      <c r="C38" s="2018">
        <f ca="1">ROUND(C5*F38,2)</f>
        <v>11.57</v>
      </c>
      <c r="D38" s="2019" t="s">
        <v>1142</v>
      </c>
      <c r="E38" s="1994" t="s">
        <v>1104</v>
      </c>
      <c r="F38" s="1995">
        <f ca="1">INDIRECT("'数据-取费表'!Am"&amp;$G$1)</f>
        <v>5.0000000000000001E-3</v>
      </c>
      <c r="G38" s="761"/>
      <c r="H38" s="2030"/>
      <c r="I38" s="2133"/>
      <c r="J38" s="2134"/>
      <c r="K38" s="2142"/>
      <c r="L38" s="2030"/>
      <c r="M38" s="2030"/>
    </row>
    <row r="39" spans="1:18" ht="24.6" customHeight="1">
      <c r="A39" s="1996" t="s">
        <v>1145</v>
      </c>
      <c r="B39" s="2040" t="s">
        <v>1146</v>
      </c>
      <c r="C39" s="1998">
        <f ca="1">C5-C30</f>
        <v>1875</v>
      </c>
      <c r="D39" s="2041" t="s">
        <v>1147</v>
      </c>
      <c r="E39" s="2042"/>
      <c r="F39" s="2043"/>
      <c r="G39" s="761"/>
      <c r="H39" s="2030"/>
      <c r="I39" s="2133">
        <f ca="1">C39/C5</f>
        <v>0.81063553826199741</v>
      </c>
      <c r="J39" s="2134"/>
      <c r="K39" s="2142"/>
      <c r="L39" s="2030"/>
      <c r="M39" s="2030"/>
    </row>
    <row r="40" spans="1:18" ht="18" customHeight="1">
      <c r="A40" s="1963" t="s">
        <v>1151</v>
      </c>
      <c r="B40" s="1964" t="s">
        <v>1169</v>
      </c>
      <c r="C40" s="2044">
        <f ca="1">ROUND(C39*(1-((1+F42)/(1+F40))^F41)/(F40-F42),0)</f>
        <v>33818</v>
      </c>
      <c r="D40" s="2032" t="s">
        <v>1153</v>
      </c>
      <c r="E40" s="1972" t="s">
        <v>1154</v>
      </c>
      <c r="F40" s="1980">
        <f ca="1">INDIRECT("'数据-取费表'!I"&amp;$G$1)</f>
        <v>5.5E-2</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27</v>
      </c>
      <c r="G41" s="761"/>
      <c r="H41" s="2049"/>
      <c r="I41" s="2133"/>
      <c r="J41" s="2134"/>
      <c r="K41" s="2141"/>
      <c r="L41" s="2049"/>
      <c r="M41" s="2049"/>
    </row>
    <row r="42" spans="1:18" ht="18" customHeight="1">
      <c r="A42" s="1985"/>
      <c r="B42" s="2050"/>
      <c r="C42" s="1998"/>
      <c r="D42" s="2036"/>
      <c r="E42" s="1972" t="s">
        <v>1161</v>
      </c>
      <c r="F42" s="1980">
        <f ca="1">INDIRECT("'数据-取费表'!v"&amp;$G$1)</f>
        <v>2.5000000000000001E-2</v>
      </c>
      <c r="G42" s="761"/>
      <c r="H42" s="2049"/>
      <c r="I42" s="2133"/>
      <c r="J42" s="2134"/>
      <c r="K42" s="2141"/>
      <c r="L42" s="2049"/>
      <c r="M42" s="2049"/>
    </row>
    <row r="43" spans="1:18" ht="18" customHeight="1">
      <c r="A43" s="2021" t="s">
        <v>1164</v>
      </c>
      <c r="B43" s="2051" t="s">
        <v>1170</v>
      </c>
      <c r="C43" s="2052">
        <f ca="1">ROUND(C40*10000/F43,0)</f>
        <v>16678</v>
      </c>
      <c r="D43" s="2053" t="s">
        <v>1171</v>
      </c>
      <c r="E43" s="2054" t="s">
        <v>1172</v>
      </c>
      <c r="F43" s="2055">
        <f ca="1">INDIRECT("'数据-取费表'!k"&amp;$G$1)</f>
        <v>20276.490000000002</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6"/>
      <c r="O45" s="2338" t="s">
        <v>1173</v>
      </c>
      <c r="P45" s="2045"/>
      <c r="Q45" s="2045"/>
      <c r="R45" s="2045"/>
    </row>
    <row r="46" spans="1:18" s="761" customFormat="1">
      <c r="A46" s="2061" t="s">
        <v>1174</v>
      </c>
      <c r="C46" s="2062">
        <f ca="1">C68-C40</f>
        <v>-34360</v>
      </c>
      <c r="D46" s="2063" t="str">
        <f>C2</f>
        <v>万元</v>
      </c>
      <c r="E46" s="2056"/>
      <c r="F46" s="2056"/>
      <c r="I46" s="2145" t="s">
        <v>1175</v>
      </c>
      <c r="J46" s="2146"/>
      <c r="K46" s="2147"/>
      <c r="L46" s="2148">
        <f ca="1">IF(M47="住宅",0,IF(L48&gt;J51,L60,J60))</f>
        <v>585</v>
      </c>
      <c r="O46" s="2149" t="s">
        <v>1176</v>
      </c>
      <c r="P46" s="2150" t="s">
        <v>1177</v>
      </c>
      <c r="Q46" s="2195" t="s">
        <v>1178</v>
      </c>
      <c r="R46" s="2195" t="s">
        <v>1179</v>
      </c>
    </row>
    <row r="47" spans="1:18" s="761" customFormat="1">
      <c r="A47" s="2064" t="s">
        <v>1075</v>
      </c>
      <c r="B47" s="2065" t="s">
        <v>1076</v>
      </c>
      <c r="C47" s="2333" t="s">
        <v>1077</v>
      </c>
      <c r="D47" s="2065" t="s">
        <v>1078</v>
      </c>
      <c r="E47" s="2066" t="s">
        <v>1079</v>
      </c>
      <c r="F47" s="996"/>
      <c r="G47" s="2067"/>
      <c r="I47" s="2151" t="s">
        <v>1180</v>
      </c>
      <c r="J47" s="2152" t="s">
        <v>1181</v>
      </c>
      <c r="K47" s="2153" t="s">
        <v>1182</v>
      </c>
      <c r="L47" s="2154">
        <f ca="1">INDIRECT("'数据-取费表'!d"&amp;$G$1)</f>
        <v>50</v>
      </c>
      <c r="M47" s="2155" t="str">
        <f>IF(ISNUMBER(FIND("住宅",C1)),"住宅","非住宅")</f>
        <v>非住宅</v>
      </c>
      <c r="O47" s="2156" t="s">
        <v>1183</v>
      </c>
      <c r="P47" s="2157" t="s">
        <v>1184</v>
      </c>
      <c r="Q47" s="2196">
        <f ca="1">C40+J29</f>
        <v>33818</v>
      </c>
      <c r="R47" s="2196" t="s">
        <v>1185</v>
      </c>
    </row>
    <row r="48" spans="1:18" s="761" customFormat="1" ht="27.75">
      <c r="A48" s="2068" t="s">
        <v>1186</v>
      </c>
      <c r="B48" s="1964" t="s">
        <v>1080</v>
      </c>
      <c r="C48" s="1004">
        <f ca="1">C49+C53+C55</f>
        <v>0</v>
      </c>
      <c r="D48" s="2069"/>
      <c r="E48" s="2070"/>
      <c r="F48" s="2071"/>
      <c r="G48" s="2067"/>
      <c r="H48" s="2072"/>
      <c r="I48" s="2158" t="s">
        <v>1187</v>
      </c>
      <c r="J48" s="2159" t="s">
        <v>1188</v>
      </c>
      <c r="K48" s="2160" t="s">
        <v>1189</v>
      </c>
      <c r="L48" s="2161">
        <f ca="1">INDIRECT("'数据-取费表'!f"&amp;$G$1)</f>
        <v>27</v>
      </c>
      <c r="O48" s="2156" t="s">
        <v>1190</v>
      </c>
      <c r="P48" s="2157" t="s">
        <v>1191</v>
      </c>
      <c r="Q48" s="2196">
        <f ca="1">J60</f>
        <v>585</v>
      </c>
      <c r="R48" s="2196" t="s">
        <v>1192</v>
      </c>
    </row>
    <row r="49" spans="1:18" s="761" customFormat="1">
      <c r="A49" s="2073" t="s">
        <v>1193</v>
      </c>
      <c r="B49" s="2074" t="s">
        <v>1194</v>
      </c>
      <c r="C49" s="2075">
        <f ca="1">ROUND(F49*F51*F50*(1-F52)/10000,0)</f>
        <v>0</v>
      </c>
      <c r="D49" s="2076" t="s">
        <v>1085</v>
      </c>
      <c r="E49" s="2077" t="s">
        <v>1195</v>
      </c>
      <c r="F49" s="2078"/>
      <c r="G49" s="2079"/>
      <c r="H49" s="2072"/>
      <c r="I49" s="2158" t="s">
        <v>1196</v>
      </c>
      <c r="J49" s="2162">
        <v>1992</v>
      </c>
      <c r="K49" s="2160" t="s">
        <v>1197</v>
      </c>
      <c r="L49" s="2163"/>
      <c r="O49" s="2164" t="s">
        <v>1198</v>
      </c>
      <c r="P49" s="2157" t="s">
        <v>1199</v>
      </c>
      <c r="Q49" s="2196">
        <f ca="1">C29</f>
        <v>10300</v>
      </c>
      <c r="R49" s="2196" t="s">
        <v>1185</v>
      </c>
    </row>
    <row r="50" spans="1:18" s="761" customFormat="1">
      <c r="A50" s="2080"/>
      <c r="B50" s="2081"/>
      <c r="C50" s="2334"/>
      <c r="D50" s="2083"/>
      <c r="E50" s="2084" t="s">
        <v>1086</v>
      </c>
      <c r="F50" s="2085">
        <f ca="1">F7</f>
        <v>20093.550000000003</v>
      </c>
      <c r="H50" s="2072"/>
      <c r="I50" s="2158" t="s">
        <v>1200</v>
      </c>
      <c r="J50" s="2165">
        <f>SUMPRODUCT((I63:I65=J47)*(J62:L62=J48)*(J63:L65))</f>
        <v>60</v>
      </c>
      <c r="K50" s="2160" t="s">
        <v>1201</v>
      </c>
      <c r="L50" s="2163"/>
      <c r="M50" s="2166"/>
      <c r="O50" s="2164" t="s">
        <v>1202</v>
      </c>
      <c r="P50" s="2157" t="s">
        <v>1203</v>
      </c>
      <c r="Q50" s="2197">
        <f ca="1">J58</f>
        <v>0.4</v>
      </c>
      <c r="R50" s="2196"/>
    </row>
    <row r="51" spans="1:18" s="761" customFormat="1">
      <c r="A51" s="2086"/>
      <c r="B51" s="2081"/>
      <c r="C51" s="2082"/>
      <c r="D51" s="2083"/>
      <c r="E51" s="2087" t="s">
        <v>1087</v>
      </c>
      <c r="F51" s="1973">
        <f ca="1">F8</f>
        <v>365</v>
      </c>
      <c r="I51" s="2167" t="s">
        <v>1204</v>
      </c>
      <c r="J51" s="2168">
        <f>IF(J49="",J50,J49+J50-YEAR('数据-取费表'!B2))</f>
        <v>29</v>
      </c>
      <c r="K51" s="2169" t="s">
        <v>1205</v>
      </c>
      <c r="L51" s="2170">
        <f ca="1">ROUND(-PV(INDIRECT("'数据-取费表'!h"&amp;$G$1),J51,(C39-C13*C76),0),0)</f>
        <v>19032</v>
      </c>
      <c r="M51" s="2171"/>
      <c r="O51" s="2164" t="s">
        <v>1206</v>
      </c>
      <c r="P51" s="2157" t="s">
        <v>1207</v>
      </c>
      <c r="Q51" s="2197">
        <f>J52</f>
        <v>7.4999999999999997E-2</v>
      </c>
      <c r="R51" s="2196"/>
    </row>
    <row r="52" spans="1:18" s="761" customFormat="1">
      <c r="A52" s="2086"/>
      <c r="B52" s="2081"/>
      <c r="C52" s="2082"/>
      <c r="D52" s="2083"/>
      <c r="E52" s="2087" t="s">
        <v>1088</v>
      </c>
      <c r="F52" s="2088"/>
      <c r="I52" s="2172" t="s">
        <v>1208</v>
      </c>
      <c r="J52" s="2173">
        <v>7.4999999999999997E-2</v>
      </c>
      <c r="K52" s="2172" t="s">
        <v>1209</v>
      </c>
      <c r="L52" s="2173"/>
      <c r="O52" s="2164" t="s">
        <v>1210</v>
      </c>
      <c r="P52" s="2157" t="s">
        <v>1211</v>
      </c>
      <c r="Q52" s="2196">
        <f ca="1">J53</f>
        <v>27</v>
      </c>
      <c r="R52" s="2196" t="s">
        <v>1212</v>
      </c>
    </row>
    <row r="53" spans="1:18" s="761" customFormat="1" ht="24">
      <c r="A53" s="2335" t="s">
        <v>1213</v>
      </c>
      <c r="B53" s="2336" t="s">
        <v>1089</v>
      </c>
      <c r="C53" s="1002">
        <f ca="1">ROUND(IF(F53="押一",C49/12*F11,IF(F53="押二",C49/12*2*F11,IF(F53="押三",C49/12*3*F11,C54*F11))),0)</f>
        <v>0</v>
      </c>
      <c r="D53" s="1982" t="s">
        <v>1090</v>
      </c>
      <c r="E53" s="1983" t="s">
        <v>1091</v>
      </c>
      <c r="F53" s="1984"/>
      <c r="I53" s="2174" t="s">
        <v>1214</v>
      </c>
      <c r="J53" s="2175">
        <f ca="1">IF(M47="住宅",IF(D1="——",MAX(J51,L48),MAX(J51,L48-'数据-取费表'!B24)),IF(D1="——",MIN(J51,L48),MIN(J51,L48-'数据-取费表'!B24)))</f>
        <v>27</v>
      </c>
      <c r="K53" s="3674" t="s">
        <v>1215</v>
      </c>
      <c r="L53" s="3675"/>
      <c r="O53" s="2156" t="s">
        <v>1216</v>
      </c>
      <c r="P53" s="2157" t="s">
        <v>1217</v>
      </c>
      <c r="Q53" s="2196">
        <f ca="1">Q47+Q48</f>
        <v>34403</v>
      </c>
      <c r="R53" s="2196" t="s">
        <v>1218</v>
      </c>
    </row>
    <row r="54" spans="1:18" s="761" customFormat="1">
      <c r="A54" s="2337"/>
      <c r="B54" s="1986" t="s">
        <v>1093</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f ca="1">ROUND(IF(J47="钢混",J57/J50,1-(1-2%)*(J50-J57)/J50),3)</f>
        <v>3.3000000000000002E-2</v>
      </c>
      <c r="K55" s="2181" t="s">
        <v>1221</v>
      </c>
      <c r="L55" s="2182"/>
      <c r="O55" s="2149" t="s">
        <v>1176</v>
      </c>
      <c r="P55" s="2150" t="s">
        <v>1177</v>
      </c>
      <c r="Q55" s="2195" t="s">
        <v>1178</v>
      </c>
      <c r="R55" s="2195" t="s">
        <v>1179</v>
      </c>
    </row>
    <row r="56" spans="1:18" s="761" customFormat="1" ht="24">
      <c r="A56" s="2093">
        <v>2</v>
      </c>
      <c r="B56" s="2094" t="s">
        <v>1096</v>
      </c>
      <c r="C56" s="414">
        <f ca="1">C13</f>
        <v>8240</v>
      </c>
      <c r="D56" s="2095"/>
      <c r="E56" s="2096"/>
      <c r="F56" s="2092"/>
      <c r="I56" s="2183" t="s">
        <v>1222</v>
      </c>
      <c r="J56" s="2184" t="s">
        <v>1223</v>
      </c>
      <c r="K56" s="2158" t="s">
        <v>1224</v>
      </c>
      <c r="L56" s="2161" t="str">
        <f ca="1">IF(L48&lt;J51,"——",L48-J53)</f>
        <v>——</v>
      </c>
      <c r="O56" s="2156" t="s">
        <v>1183</v>
      </c>
      <c r="P56" s="2157" t="s">
        <v>1184</v>
      </c>
      <c r="Q56" s="2196">
        <f ca="1">C40+J29</f>
        <v>33818</v>
      </c>
      <c r="R56" s="2196" t="s">
        <v>1185</v>
      </c>
    </row>
    <row r="57" spans="1:18" s="761" customFormat="1" ht="24">
      <c r="A57" s="2097"/>
      <c r="B57" s="2098" t="s">
        <v>1163</v>
      </c>
      <c r="C57" s="424">
        <f ca="1">C29</f>
        <v>10300</v>
      </c>
      <c r="D57" s="2099"/>
      <c r="E57" s="2100"/>
      <c r="F57" s="2101"/>
      <c r="I57" s="2185" t="s">
        <v>1225</v>
      </c>
      <c r="J57" s="2186">
        <f ca="1">IF(OR(M47="住宅",J51&lt;L48,J56="是"),"——",J51-L48)</f>
        <v>2</v>
      </c>
      <c r="K57" s="2158" t="s">
        <v>1226</v>
      </c>
      <c r="L57" s="2161" t="str">
        <f ca="1">IF(L48&lt;J51,"——",IF(L55="比较法",L49,IF(L55="基准地价",L50,L51)))</f>
        <v>——</v>
      </c>
      <c r="O57" s="2156" t="s">
        <v>1190</v>
      </c>
      <c r="P57" s="2157" t="s">
        <v>1227</v>
      </c>
      <c r="Q57" s="2196">
        <f ca="1">L60</f>
        <v>0</v>
      </c>
      <c r="R57" s="2196" t="s">
        <v>1228</v>
      </c>
    </row>
    <row r="58" spans="1:18" s="761" customFormat="1" ht="24">
      <c r="A58" s="2102" t="s">
        <v>1106</v>
      </c>
      <c r="B58" s="2094" t="s">
        <v>1107</v>
      </c>
      <c r="C58" s="1002">
        <f ca="1">ROUND(C59+C64+C65+C66,0)</f>
        <v>39</v>
      </c>
      <c r="D58" s="2103" t="s">
        <v>1108</v>
      </c>
      <c r="E58" s="2104"/>
      <c r="F58" s="2071"/>
      <c r="I58" s="2185" t="s">
        <v>1229</v>
      </c>
      <c r="J58" s="2187">
        <f ca="1">IF(J55&lt;0.4,0.4,J55)</f>
        <v>0.4</v>
      </c>
      <c r="K58" s="2169" t="s">
        <v>1230</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f ca="1">IF(OR(M47="住宅",J51&lt;L48,J56="是"),"——",ROUND(C29*J58,0))</f>
        <v>4120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IF(项目基本情况!B11="自然人","——",ROUND(C48*F60/(1+'数据-取费表'!C42),2))</f>
        <v>0</v>
      </c>
      <c r="D60" s="2106" t="s">
        <v>1119</v>
      </c>
      <c r="E60" s="2098" t="s">
        <v>1104</v>
      </c>
      <c r="F60" s="2017">
        <f t="shared" ref="F60:F66" si="0">F32</f>
        <v>5.6000000000000001E-2</v>
      </c>
      <c r="I60" s="2188" t="s">
        <v>1234</v>
      </c>
      <c r="J60" s="2189">
        <f ca="1">IF(OR(M47="住宅",J51&lt;L48,J56="是"),"0",ROUND(J59/(1+J52)^J53,0))</f>
        <v>585</v>
      </c>
      <c r="K60" s="2190" t="s">
        <v>1235</v>
      </c>
      <c r="L60" s="2189">
        <f ca="1">IF(OR(M47="住宅",L48&lt;J51),0,ROUND(L57*(L58/L59-1),0))</f>
        <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IF(项目基本情况!B11="自然人","——",IF(D61="按租金收入计税",ROUND(C49*F61/(1+'数据-取费表'!C42),2),IF(D61="按房产原值计税",ROUND(C57*F61*0.7,2),INDIRECT("'数据-取费表'!Aj"&amp;$G$1))))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IF(项目基本情况!B11="自然人","——",ROUND(F62*F63/10000,2))</f>
        <v>0</v>
      </c>
      <c r="D62" s="2108" t="s">
        <v>1127</v>
      </c>
      <c r="E62" s="2098" t="s">
        <v>1128</v>
      </c>
      <c r="F62" s="2016">
        <f t="shared" si="0"/>
        <v>0</v>
      </c>
      <c r="I62" s="2191" t="s">
        <v>1239</v>
      </c>
      <c r="J62" s="2192" t="s">
        <v>1240</v>
      </c>
      <c r="K62" s="2192" t="s">
        <v>1241</v>
      </c>
      <c r="L62" s="2192" t="s">
        <v>1242</v>
      </c>
      <c r="M62" s="2193" t="s">
        <v>1243</v>
      </c>
      <c r="O62" s="2156" t="s">
        <v>1216</v>
      </c>
      <c r="P62" s="2157" t="s">
        <v>1217</v>
      </c>
      <c r="Q62" s="2196">
        <f ca="1">Q56+Q57</f>
        <v>33818</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ROUND(C57*F64,2)</f>
        <v>30.9</v>
      </c>
      <c r="D64" s="2106" t="s">
        <v>1168</v>
      </c>
      <c r="E64" s="2098" t="s">
        <v>1104</v>
      </c>
      <c r="F64" s="2038">
        <f t="shared" ca="1" si="0"/>
        <v>3.0000000000000001E-3</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ROUND(C56*F65,2)</f>
        <v>8.24</v>
      </c>
      <c r="D65" s="2106" t="s">
        <v>1139</v>
      </c>
      <c r="E65" s="2098" t="s">
        <v>1104</v>
      </c>
      <c r="F65" s="2039">
        <f t="shared" ca="1" si="0"/>
        <v>1E-3</v>
      </c>
      <c r="I65" s="2191" t="s">
        <v>1247</v>
      </c>
      <c r="J65" s="2192">
        <v>40</v>
      </c>
      <c r="K65" s="2192">
        <v>30</v>
      </c>
      <c r="L65" s="2192">
        <v>50</v>
      </c>
      <c r="M65" s="2194">
        <v>0.02</v>
      </c>
      <c r="O65" s="2156" t="s">
        <v>1183</v>
      </c>
      <c r="P65" s="2157" t="s">
        <v>1184</v>
      </c>
      <c r="Q65" s="2196">
        <f ca="1">C40+J29</f>
        <v>33818</v>
      </c>
      <c r="R65" s="2196" t="s">
        <v>1185</v>
      </c>
    </row>
    <row r="66" spans="1:18" s="761" customFormat="1" ht="15.75">
      <c r="A66" s="2001" t="s">
        <v>951</v>
      </c>
      <c r="B66" s="2098" t="s">
        <v>1124</v>
      </c>
      <c r="C66" s="1003">
        <f ca="1">ROUND(C48*F66,2)</f>
        <v>0</v>
      </c>
      <c r="D66" s="2106" t="s">
        <v>1142</v>
      </c>
      <c r="E66" s="2098" t="s">
        <v>1104</v>
      </c>
      <c r="F66" s="1980">
        <f t="shared" ca="1" si="0"/>
        <v>5.0000000000000001E-3</v>
      </c>
      <c r="O66" s="2156" t="s">
        <v>1190</v>
      </c>
      <c r="P66" s="2157" t="s">
        <v>1227</v>
      </c>
      <c r="Q66" s="2196">
        <f ca="1">L60</f>
        <v>0</v>
      </c>
      <c r="R66" s="2196" t="s">
        <v>1228</v>
      </c>
    </row>
    <row r="67" spans="1:18" s="761" customFormat="1" ht="15.75">
      <c r="A67" s="2093" t="s">
        <v>1145</v>
      </c>
      <c r="B67" s="2198" t="s">
        <v>1146</v>
      </c>
      <c r="C67" s="1002">
        <f ca="1">C48-C58</f>
        <v>-39</v>
      </c>
      <c r="D67" s="2105" t="s">
        <v>1147</v>
      </c>
      <c r="E67" s="2199"/>
      <c r="F67" s="2200"/>
      <c r="O67" s="2164" t="s">
        <v>1198</v>
      </c>
      <c r="P67" s="2157" t="s">
        <v>1231</v>
      </c>
      <c r="Q67" s="2220">
        <f ca="1">L51</f>
        <v>19032</v>
      </c>
      <c r="R67" s="2196" t="s">
        <v>1248</v>
      </c>
    </row>
    <row r="68" spans="1:18" s="761" customFormat="1" ht="15.75">
      <c r="A68" s="2201" t="s">
        <v>1151</v>
      </c>
      <c r="B68" s="2202" t="s">
        <v>1169</v>
      </c>
      <c r="C68" s="2044">
        <f ca="1">ROUND(C67*(1-((1+F70)/(1+F68))^F69)/(F68-F70),0)</f>
        <v>-542</v>
      </c>
      <c r="D68" s="2108" t="s">
        <v>1153</v>
      </c>
      <c r="E68" s="2098" t="s">
        <v>1154</v>
      </c>
      <c r="F68" s="1980">
        <f ca="1">F40</f>
        <v>5.5E-2</v>
      </c>
      <c r="O68" s="2164" t="s">
        <v>1202</v>
      </c>
      <c r="P68" s="2219" t="s">
        <v>1249</v>
      </c>
      <c r="Q68" s="2196">
        <f ca="1">ROUND(Q69-Q70*Q71,0)</f>
        <v>1257</v>
      </c>
      <c r="R68" s="2196" t="s">
        <v>1250</v>
      </c>
    </row>
    <row r="69" spans="1:18" s="761" customFormat="1">
      <c r="A69" s="2203"/>
      <c r="B69" s="2204"/>
      <c r="C69" s="1979"/>
      <c r="D69" s="2205" t="s">
        <v>1157</v>
      </c>
      <c r="E69" s="2098" t="s">
        <v>1158</v>
      </c>
      <c r="F69" s="2048">
        <f ca="1">F41</f>
        <v>27</v>
      </c>
      <c r="O69" s="2164" t="s">
        <v>1251</v>
      </c>
      <c r="P69" s="2219" t="s">
        <v>1252</v>
      </c>
      <c r="Q69" s="2196">
        <f ca="1">C39</f>
        <v>1875</v>
      </c>
      <c r="R69" s="2196" t="s">
        <v>1185</v>
      </c>
    </row>
    <row r="70" spans="1:18" s="761" customFormat="1">
      <c r="A70" s="2206"/>
      <c r="B70" s="2207"/>
      <c r="C70" s="1998"/>
      <c r="D70" s="2110"/>
      <c r="E70" s="2098" t="s">
        <v>1161</v>
      </c>
      <c r="F70" s="2088"/>
      <c r="O70" s="2164" t="s">
        <v>1253</v>
      </c>
      <c r="P70" s="2219" t="s">
        <v>1254</v>
      </c>
      <c r="Q70" s="2196">
        <f ca="1">C13</f>
        <v>8240</v>
      </c>
      <c r="R70" s="2196" t="s">
        <v>1185</v>
      </c>
    </row>
    <row r="71" spans="1:18" s="761" customFormat="1">
      <c r="A71" s="2208" t="s">
        <v>1164</v>
      </c>
      <c r="B71" s="2209" t="s">
        <v>1170</v>
      </c>
      <c r="C71" s="2052">
        <f ca="1">ROUND(C68*10000/F71,0)</f>
        <v>-267</v>
      </c>
      <c r="D71" s="2210" t="s">
        <v>1171</v>
      </c>
      <c r="E71" s="2211" t="s">
        <v>1172</v>
      </c>
      <c r="F71" s="2055">
        <f ca="1">F43</f>
        <v>20276.490000000002</v>
      </c>
      <c r="O71" s="2164" t="s">
        <v>1255</v>
      </c>
      <c r="P71" s="2219" t="s">
        <v>1256</v>
      </c>
      <c r="Q71" s="2197">
        <f ca="1">C76</f>
        <v>7.4999999999999997E-2</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618</v>
      </c>
      <c r="D75" s="761"/>
      <c r="E75" s="761"/>
      <c r="F75" s="761"/>
      <c r="K75" s="2143"/>
      <c r="L75" s="761"/>
      <c r="O75" s="2156" t="s">
        <v>1216</v>
      </c>
      <c r="P75" s="2157" t="s">
        <v>1217</v>
      </c>
      <c r="Q75" s="2196">
        <f ca="1">Q65+Q66</f>
        <v>33818</v>
      </c>
      <c r="R75" s="2196" t="s">
        <v>1218</v>
      </c>
    </row>
    <row r="76" spans="1:18">
      <c r="B76" s="546" t="s">
        <v>1260</v>
      </c>
      <c r="C76" s="2215">
        <f ca="1">INDIRECT("'数据-取费表'!j"&amp;$G$1)</f>
        <v>7.4999999999999997E-2</v>
      </c>
      <c r="I76" s="761"/>
      <c r="J76" s="761"/>
      <c r="K76" s="2143"/>
      <c r="L76" s="761"/>
    </row>
    <row r="77" spans="1:18">
      <c r="B77" s="2216" t="s">
        <v>1261</v>
      </c>
      <c r="C77" s="2217"/>
      <c r="I77" s="761"/>
      <c r="J77" s="761"/>
      <c r="K77" s="2143"/>
      <c r="L77" s="761"/>
    </row>
    <row r="78" spans="1:18">
      <c r="B78" s="454" t="s">
        <v>1262</v>
      </c>
      <c r="C78" s="2218"/>
    </row>
    <row r="79" spans="1:18">
      <c r="B79" s="2213" t="s">
        <v>1263</v>
      </c>
      <c r="C79" s="457">
        <f ca="1">1-C80</f>
        <v>0.66999999999999993</v>
      </c>
    </row>
    <row r="80" spans="1:18">
      <c r="B80" s="2213" t="s">
        <v>1264</v>
      </c>
      <c r="C80" s="457">
        <f ca="1">ROUND(C75/C39,3)</f>
        <v>0.33</v>
      </c>
    </row>
    <row r="81" spans="2:3">
      <c r="B81" s="454" t="s">
        <v>1265</v>
      </c>
      <c r="C81" s="424"/>
    </row>
    <row r="82" spans="2:3">
      <c r="B82" s="456" t="s">
        <v>1266</v>
      </c>
      <c r="C82" s="458">
        <f ca="1">1-C83</f>
        <v>0.75600000000000001</v>
      </c>
    </row>
    <row r="83" spans="2:3">
      <c r="B83" s="456" t="s">
        <v>1267</v>
      </c>
      <c r="C83" s="457">
        <f ca="1">ROUND(C13/C40,3)</f>
        <v>0.24399999999999999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1268</v>
      </c>
      <c r="B1" s="2316" t="s">
        <v>548</v>
      </c>
      <c r="C1" s="376"/>
      <c r="D1" s="376"/>
      <c r="E1" s="376"/>
      <c r="F1" s="376"/>
      <c r="G1" s="2318">
        <f>MATCH(B1,'数据-取费表'!A6:A16,0)+5</f>
        <v>6</v>
      </c>
    </row>
    <row r="2" spans="1:9" s="366" customFormat="1" ht="18" customHeight="1">
      <c r="A2" s="378" t="s">
        <v>994</v>
      </c>
      <c r="B2" s="379">
        <f ca="1">IF(D2="——",C52,C52-E2)</f>
        <v>46140</v>
      </c>
      <c r="C2" s="377" t="s">
        <v>995</v>
      </c>
      <c r="D2" s="2320" t="s">
        <v>124</v>
      </c>
      <c r="E2" s="2321" t="e">
        <f ca="1">SUMIF(INDIRECT("'"&amp;G2&amp;"'"&amp;"!A:A"),"承租人权益价值",INDIRECT("'"&amp;G2&amp;"'"&amp;"!c:c"))</f>
        <v>#REF!</v>
      </c>
      <c r="F2" s="2322" t="s">
        <v>995</v>
      </c>
      <c r="G2" s="2323"/>
    </row>
    <row r="3" spans="1:9" s="366" customFormat="1" ht="18" customHeight="1">
      <c r="A3" s="381" t="s">
        <v>996</v>
      </c>
      <c r="B3" s="382">
        <f ca="1">ROUND(B2*10000/(IF(B1="",'数据-汇总表'!E3,INDIRECT("'数据-取费表'!k"&amp;$G$1))),0)</f>
        <v>22755</v>
      </c>
      <c r="C3" s="377" t="s">
        <v>1269</v>
      </c>
      <c r="D3" s="377"/>
      <c r="E3" s="377"/>
      <c r="F3" s="377"/>
      <c r="G3" s="377"/>
    </row>
    <row r="4" spans="1:9" s="367" customFormat="1" ht="15.75">
      <c r="A4" s="383" t="s">
        <v>1270</v>
      </c>
      <c r="B4" s="384"/>
      <c r="C4" s="384"/>
      <c r="D4" s="384"/>
      <c r="E4" s="384"/>
      <c r="F4" s="384"/>
      <c r="G4" s="385"/>
    </row>
    <row r="5" spans="1:9" s="368" customFormat="1" ht="13.5" customHeight="1">
      <c r="A5" s="386" t="s">
        <v>1271</v>
      </c>
      <c r="B5" s="387" t="s">
        <v>1272</v>
      </c>
      <c r="C5" s="388">
        <f ca="1">C6+C7+C8</f>
        <v>27792</v>
      </c>
      <c r="D5" s="388" t="s">
        <v>1273</v>
      </c>
      <c r="E5" s="389" t="s">
        <v>1274</v>
      </c>
      <c r="F5" s="389" t="s">
        <v>894</v>
      </c>
      <c r="G5" s="390"/>
    </row>
    <row r="6" spans="1:9" s="368" customFormat="1" ht="13.5" customHeight="1">
      <c r="A6" s="391" t="s">
        <v>1275</v>
      </c>
      <c r="B6" s="392" t="s">
        <v>1276</v>
      </c>
      <c r="C6" s="393">
        <f>'土地比较法-住宅、综合'!B2</f>
        <v>26575</v>
      </c>
      <c r="D6" s="394"/>
      <c r="E6" s="395"/>
      <c r="F6" s="395"/>
      <c r="G6" s="396"/>
    </row>
    <row r="7" spans="1:9" s="368" customFormat="1" ht="13.5" customHeight="1">
      <c r="A7" s="391" t="s">
        <v>1277</v>
      </c>
      <c r="B7" s="392" t="s">
        <v>1278</v>
      </c>
      <c r="C7" s="397">
        <f>ROUND(C6*F7,0)</f>
        <v>811</v>
      </c>
      <c r="D7" s="397"/>
      <c r="E7" s="395"/>
      <c r="F7" s="398">
        <f>IF(项目基本情况!B8="出让",0,'数据-取费表'!B48+'数据-取费表'!B49)</f>
        <v>3.0499999999999999E-2</v>
      </c>
      <c r="G7" s="396"/>
    </row>
    <row r="8" spans="1:9" s="369" customFormat="1">
      <c r="A8" s="391" t="s">
        <v>1279</v>
      </c>
      <c r="B8" s="392" t="s">
        <v>1280</v>
      </c>
      <c r="C8" s="397">
        <f ca="1">IF(G8="已包含在土地购买价格中","0",IF(B1="",'数据-取费表'!B29,IF(G9="全部缴纳",C9+C10,H9)))</f>
        <v>406</v>
      </c>
      <c r="D8" s="399"/>
      <c r="E8" s="397"/>
      <c r="F8" s="398"/>
      <c r="G8" s="2324" t="s">
        <v>1281</v>
      </c>
    </row>
    <row r="9" spans="1:9" s="368" customFormat="1" ht="13.5" customHeight="1">
      <c r="A9" s="401" t="s">
        <v>1183</v>
      </c>
      <c r="B9" s="402" t="s">
        <v>1282</v>
      </c>
      <c r="C9" s="403">
        <f ca="1">ROUND(D9*E9/10000,0)</f>
        <v>0</v>
      </c>
      <c r="D9" s="404">
        <f ca="1">IF(B1="",'数据-汇总表'!E5,IF(INDIRECT("'数据-取费表'!c"&amp;$G$1)="住宅",INDIRECT("'数据-取费表'!k"&amp;$G$1),0))</f>
        <v>0</v>
      </c>
      <c r="E9" s="403">
        <f>'数据-取费表'!B27</f>
        <v>0</v>
      </c>
      <c r="F9" s="398"/>
      <c r="G9" s="2328" t="s">
        <v>1283</v>
      </c>
      <c r="H9" s="2329"/>
      <c r="I9" s="2330" t="s">
        <v>1284</v>
      </c>
    </row>
    <row r="10" spans="1:9" s="368" customFormat="1" ht="13.5" customHeight="1">
      <c r="A10" s="401" t="s">
        <v>1190</v>
      </c>
      <c r="B10" s="402" t="s">
        <v>1285</v>
      </c>
      <c r="C10" s="403">
        <f ca="1">ROUND(D10*E10/10000,0)</f>
        <v>406</v>
      </c>
      <c r="D10" s="404">
        <f ca="1">IF(B1="",'数据-汇总表'!E6,IF(INDIRECT("'数据-取费表'!c"&amp;$G$1)="住宅",INDIRECT("'数据-取费表'!s"&amp;$G$1),INDIRECT("'数据-取费表'!k"&amp;$G$1)+INDIRECT("'数据-取费表'!s"&amp;$G$1)))</f>
        <v>20276.490000000002</v>
      </c>
      <c r="E10" s="403">
        <f>'数据-取费表'!B28</f>
        <v>200</v>
      </c>
      <c r="F10" s="398"/>
      <c r="G10" s="405"/>
    </row>
    <row r="11" spans="1:9" s="368" customFormat="1" ht="13.5" hidden="1" customHeight="1">
      <c r="A11" s="406" t="s">
        <v>1286</v>
      </c>
      <c r="B11" s="392" t="s">
        <v>1287</v>
      </c>
      <c r="C11" s="388"/>
      <c r="D11" s="407"/>
      <c r="E11" s="395"/>
      <c r="F11" s="395"/>
      <c r="G11" s="396"/>
    </row>
    <row r="12" spans="1:9" s="368" customFormat="1" ht="13.5" hidden="1" customHeight="1">
      <c r="A12" s="406" t="s">
        <v>1288</v>
      </c>
      <c r="B12" s="392" t="s">
        <v>930</v>
      </c>
      <c r="C12" s="388">
        <v>0</v>
      </c>
      <c r="D12" s="407"/>
      <c r="E12" s="408"/>
      <c r="F12" s="398">
        <v>3.0499999999999999E-2</v>
      </c>
      <c r="G12" s="396"/>
    </row>
    <row r="13" spans="1:9" s="368" customFormat="1" ht="13.5" hidden="1" customHeight="1">
      <c r="A13" s="406" t="s">
        <v>1289</v>
      </c>
      <c r="B13" s="392" t="s">
        <v>1290</v>
      </c>
      <c r="C13" s="388"/>
      <c r="D13" s="407"/>
      <c r="E13" s="395"/>
      <c r="F13" s="395"/>
      <c r="G13" s="396"/>
    </row>
    <row r="14" spans="1:9" s="368" customFormat="1" ht="13.5" hidden="1" customHeight="1">
      <c r="A14" s="406" t="s">
        <v>1291</v>
      </c>
      <c r="B14" s="392" t="s">
        <v>1280</v>
      </c>
      <c r="C14" s="388"/>
      <c r="D14" s="407"/>
      <c r="E14" s="395"/>
      <c r="F14" s="395"/>
      <c r="G14" s="396" t="s">
        <v>1292</v>
      </c>
    </row>
    <row r="15" spans="1:9" s="368" customFormat="1" ht="13.5" hidden="1" customHeight="1">
      <c r="A15" s="406" t="s">
        <v>1293</v>
      </c>
      <c r="B15" s="392" t="s">
        <v>1294</v>
      </c>
      <c r="C15" s="397"/>
      <c r="D15" s="407"/>
      <c r="E15" s="395"/>
      <c r="F15" s="395"/>
      <c r="G15" s="396" t="s">
        <v>1295</v>
      </c>
    </row>
    <row r="16" spans="1:9"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t="str">
        <f>IF(G19="已包含在土地取得成本中","0",ROUND(D19*E19/10000,0))</f>
        <v>0</v>
      </c>
      <c r="D19" s="412">
        <f ca="1">D9+D10</f>
        <v>20276.490000000002</v>
      </c>
      <c r="E19" s="388">
        <f>'数据-取费表'!B31</f>
        <v>200</v>
      </c>
      <c r="F19" s="413"/>
      <c r="G19" s="2324" t="s">
        <v>1304</v>
      </c>
    </row>
    <row r="20" spans="1:7" s="368" customFormat="1" ht="13.5" customHeight="1">
      <c r="A20" s="386" t="s">
        <v>1305</v>
      </c>
      <c r="B20" s="387" t="s">
        <v>1306</v>
      </c>
      <c r="C20" s="414">
        <f ca="1">ROUND((C5+C19)*F20,0)</f>
        <v>556</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420">
        <f ca="1">ROUND(SUM(C23:C25),0)</f>
        <v>2378</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423">
        <f ca="1">ROUND(IF('数据-取费表'!B22&lt;=1,C5*F22*'数据-取费表'!B23,C5*(POWER((1+F22),'数据-取费表'!B23)-1)),0)</f>
        <v>2355</v>
      </c>
      <c r="D23" s="424"/>
      <c r="E23" s="424"/>
      <c r="F23" s="425"/>
      <c r="G23" s="426" t="s">
        <v>1315</v>
      </c>
    </row>
    <row r="24" spans="1:7" s="368" customFormat="1" ht="13.5" customHeight="1">
      <c r="A24" s="422" t="s">
        <v>1277</v>
      </c>
      <c r="B24" s="392" t="s">
        <v>1316</v>
      </c>
      <c r="C24" s="423">
        <f ca="1">ROUND(IF('数据-取费表'!B22&lt;=1,C19*F22*('数据-取费表'!B19/2+'数据-取费表'!B21),C19*(POWER((1+F22),('数据-取费表'!B19/2+'数据-取费表'!B21))-1)),0)</f>
        <v>0</v>
      </c>
      <c r="D24" s="424"/>
      <c r="E24" s="424"/>
      <c r="F24" s="425"/>
      <c r="G24" s="426" t="s">
        <v>1317</v>
      </c>
    </row>
    <row r="25" spans="1:7" s="368" customFormat="1" ht="24">
      <c r="A25" s="422" t="s">
        <v>1279</v>
      </c>
      <c r="B25" s="392" t="s">
        <v>1318</v>
      </c>
      <c r="C25" s="423">
        <f ca="1">ROUND(IF('数据-取费表'!B22&lt;=1,C20*F22*'数据-取费表'!B23/2,C20*(POWER((1+F22),'数据-取费表'!B23/2)-1)),0)</f>
        <v>23</v>
      </c>
      <c r="D25" s="424"/>
      <c r="E25" s="427"/>
      <c r="F25" s="425"/>
      <c r="G25" s="428" t="s">
        <v>1319</v>
      </c>
    </row>
    <row r="26" spans="1:7" s="368" customFormat="1">
      <c r="A26" s="422" t="s">
        <v>1320</v>
      </c>
      <c r="B26" s="392" t="s">
        <v>1321</v>
      </c>
      <c r="C26" s="424">
        <f ca="1">ROUND(IF('数据-取费表'!B22&lt;=1,F21*F22*'数据-取费表'!B23/2,F21*(POWER((1+F22),'数据-取费表'!B23/2)-1)),4)</f>
        <v>8.0000000000000004E-4</v>
      </c>
      <c r="D26" s="424"/>
      <c r="E26" s="427"/>
      <c r="F26" s="425"/>
      <c r="G26" s="429"/>
    </row>
    <row r="27" spans="1:7" s="368" customFormat="1" ht="24.75">
      <c r="A27" s="386" t="s">
        <v>1322</v>
      </c>
      <c r="B27" s="430" t="s">
        <v>1323</v>
      </c>
      <c r="C27" s="431">
        <f ca="1">C28</f>
        <v>4252</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ROUND((C5+C19+C20)*F27*'数据-取费表'!B21/'数据-取费表'!B20,0)</f>
        <v>4252</v>
      </c>
      <c r="D28" s="417"/>
      <c r="E28" s="418"/>
      <c r="F28" s="432"/>
      <c r="G28" s="433"/>
    </row>
    <row r="29" spans="1:7" s="368" customFormat="1" ht="13.5" customHeight="1">
      <c r="A29" s="422" t="s">
        <v>1277</v>
      </c>
      <c r="B29" s="434" t="s">
        <v>1326</v>
      </c>
      <c r="C29" s="424">
        <f ca="1">ROUND(C21*F27*'数据-取费表'!B21/'数据-取费表'!B20,4)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37900</v>
      </c>
      <c r="D31" s="437"/>
      <c r="E31" s="388"/>
      <c r="F31" s="438"/>
      <c r="G31" s="419" t="s">
        <v>1331</v>
      </c>
    </row>
    <row r="32" spans="1:7" s="367" customFormat="1" ht="15.75">
      <c r="A32" s="439" t="s">
        <v>1332</v>
      </c>
      <c r="B32" s="440"/>
      <c r="C32" s="440"/>
      <c r="D32" s="440"/>
      <c r="E32" s="440"/>
      <c r="F32" s="440"/>
      <c r="G32" s="441"/>
    </row>
    <row r="33" spans="1:7" s="368" customFormat="1" ht="13.5" customHeight="1">
      <c r="A33" s="386" t="s">
        <v>1271</v>
      </c>
      <c r="B33" s="387" t="s">
        <v>1333</v>
      </c>
      <c r="C33" s="442">
        <f ca="1">SUM(C34:C38)</f>
        <v>7822</v>
      </c>
      <c r="D33" s="414"/>
      <c r="E33" s="389"/>
      <c r="F33" s="427"/>
      <c r="G33" s="419"/>
    </row>
    <row r="34" spans="1:7" s="370" customFormat="1" ht="13.5" customHeight="1">
      <c r="A34" s="422" t="s">
        <v>1275</v>
      </c>
      <c r="B34" s="392" t="s">
        <v>1334</v>
      </c>
      <c r="C34" s="397">
        <f ca="1">IF(B1="",IF(F34=100%,'数据-取费表'!M16,'数据-取费表'!O16),IF(F34=100%,INDIRECT("'数据-取费表'!m"&amp;$G$1)+INDIRECT("'数据-取费表'!t"&amp;$G$1),INDIRECT("'数据-取费表'!o"&amp;$G$1)+INDIRECT("'数据-取费表'!aq"&amp;$G$1)))</f>
        <v>7097</v>
      </c>
      <c r="D34" s="394"/>
      <c r="E34" s="397"/>
      <c r="F34" s="443">
        <f ca="1">IF('数据-取费表'!B24=0,1,IF(B1="",'数据-取费表'!N16,INDIRECT("'数据-取费表'!n"&amp;$G$1)))</f>
        <v>1</v>
      </c>
      <c r="G34" s="396" t="s">
        <v>1335</v>
      </c>
    </row>
    <row r="35" spans="1:7" ht="13.5" customHeight="1">
      <c r="A35" s="422" t="s">
        <v>1277</v>
      </c>
      <c r="B35" s="392" t="s">
        <v>1336</v>
      </c>
      <c r="C35" s="397">
        <f ca="1">ROUND(C34*F35,0)</f>
        <v>213</v>
      </c>
      <c r="D35" s="397"/>
      <c r="E35" s="397"/>
      <c r="F35" s="444">
        <f>'数据-取费表'!B33</f>
        <v>0.03</v>
      </c>
      <c r="G35" s="396" t="s">
        <v>1337</v>
      </c>
    </row>
    <row r="36" spans="1:7" ht="24">
      <c r="A36" s="422" t="s">
        <v>1279</v>
      </c>
      <c r="B36" s="392" t="s">
        <v>1338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1339</v>
      </c>
    </row>
    <row r="37" spans="1:7" s="370" customFormat="1" ht="13.5" customHeight="1">
      <c r="A37" s="422" t="s">
        <v>1320</v>
      </c>
      <c r="B37" s="392" t="s">
        <v>1340</v>
      </c>
      <c r="C37" s="435">
        <f ca="1">ROUND(E37*D37*F34/10000,0)</f>
        <v>406</v>
      </c>
      <c r="D37" s="394">
        <f ca="1">D19</f>
        <v>20276.490000000002</v>
      </c>
      <c r="E37" s="435">
        <f>'数据-取费表'!B35</f>
        <v>200</v>
      </c>
      <c r="F37" s="444"/>
      <c r="G37" s="446" t="s">
        <v>1341</v>
      </c>
    </row>
    <row r="38" spans="1:7" ht="13.5" customHeight="1">
      <c r="A38" s="422" t="s">
        <v>1342</v>
      </c>
      <c r="B38" s="392" t="s">
        <v>930</v>
      </c>
      <c r="C38" s="397">
        <f ca="1">ROUND(C34*F38,0)</f>
        <v>106</v>
      </c>
      <c r="D38" s="397"/>
      <c r="E38" s="397"/>
      <c r="F38" s="444">
        <f>'数据-取费表'!B36</f>
        <v>1.4999999999999999E-2</v>
      </c>
      <c r="G38" s="396" t="s">
        <v>1337</v>
      </c>
    </row>
    <row r="39" spans="1:7" s="368" customFormat="1" ht="13.5" customHeight="1">
      <c r="A39" s="386" t="s">
        <v>1302</v>
      </c>
      <c r="B39" s="387" t="s">
        <v>1306</v>
      </c>
      <c r="C39" s="414">
        <f ca="1">ROUND(C33*F20,0)</f>
        <v>156</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ROUND(IF('数据-取费表'!B22&lt;=1,C33*F22*'数据-取费表'!B21/2,C33*(POWER((1+F22),'数据-取费表'!B21/2)-1)),0)</f>
        <v>325</v>
      </c>
      <c r="D42" s="424"/>
      <c r="E42" s="424"/>
      <c r="F42" s="425"/>
      <c r="G42" s="3679" t="s">
        <v>1346</v>
      </c>
    </row>
    <row r="43" spans="1:7" ht="13.5" customHeight="1">
      <c r="A43" s="422" t="s">
        <v>1277</v>
      </c>
      <c r="B43" s="392" t="s">
        <v>1316</v>
      </c>
      <c r="C43" s="424">
        <f ca="1">ROUND(IF('数据-取费表'!B22&lt;=1,C39*F22*'数据-取费表'!B21/2,C39*(POWER((1+F22),'数据-取费表'!B21/2)-1)),0)</f>
        <v>6</v>
      </c>
      <c r="D43" s="424"/>
      <c r="E43" s="424"/>
      <c r="F43" s="425"/>
      <c r="G43" s="3680"/>
    </row>
    <row r="44" spans="1:7" ht="13.5" customHeight="1">
      <c r="A44" s="422" t="s">
        <v>1279</v>
      </c>
      <c r="B44" s="392" t="s">
        <v>1318</v>
      </c>
      <c r="C44" s="424">
        <f ca="1">ROUND(IF('数据-取费表'!B22&lt;=1,C40*F22*'数据-取费表'!B21/2,C40*(POWER((1+F22),'数据-取费表'!B21/2)-1)),4)</f>
        <v>8.0000000000000004E-4</v>
      </c>
      <c r="D44" s="424"/>
      <c r="E44" s="424"/>
      <c r="F44" s="425"/>
      <c r="G44" s="3681"/>
    </row>
    <row r="45" spans="1:7" s="368" customFormat="1" ht="13.5" customHeight="1">
      <c r="A45" s="386" t="s">
        <v>1312</v>
      </c>
      <c r="B45" s="430" t="s">
        <v>1323</v>
      </c>
      <c r="C45" s="431">
        <f ca="1">C46</f>
        <v>1197</v>
      </c>
      <c r="D45" s="417">
        <f ca="1">C47</f>
        <v>3.0000000000000001E-3</v>
      </c>
      <c r="E45" s="418" t="s">
        <v>1344</v>
      </c>
      <c r="F45" s="432">
        <f ca="1">F27</f>
        <v>0.15</v>
      </c>
      <c r="G45" s="433" t="s">
        <v>1347</v>
      </c>
    </row>
    <row r="46" spans="1:7" s="368" customFormat="1" ht="13.5" customHeight="1">
      <c r="A46" s="422" t="s">
        <v>1275</v>
      </c>
      <c r="B46" s="434" t="s">
        <v>1348</v>
      </c>
      <c r="C46" s="435">
        <f ca="1">ROUND((C33+C39)*F27,0)</f>
        <v>1197</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2327">
        <f>ROUND(F30/(1+'数据-取费表'!C42),4)</f>
        <v>5.33E-2</v>
      </c>
      <c r="D48" s="418" t="s">
        <v>1344</v>
      </c>
      <c r="E48" s="414"/>
      <c r="F48" s="421">
        <f>F30</f>
        <v>5.6000000000000001E-2</v>
      </c>
      <c r="G48" s="419" t="s">
        <v>1350</v>
      </c>
    </row>
    <row r="49" spans="1:7" ht="16.5" customHeight="1">
      <c r="A49" s="386" t="s">
        <v>1327</v>
      </c>
      <c r="B49" s="387" t="s">
        <v>1351</v>
      </c>
      <c r="C49" s="414">
        <f ca="1">ROUND((C33+C39+C41+C45)/(1-C40-D41-D45-C48),0)</f>
        <v>10300</v>
      </c>
      <c r="D49" s="414"/>
      <c r="E49" s="414"/>
      <c r="F49" s="449"/>
      <c r="G49" s="419" t="s">
        <v>1352</v>
      </c>
    </row>
    <row r="50" spans="1:7" s="370" customFormat="1" ht="24">
      <c r="A50" s="386" t="s">
        <v>1353</v>
      </c>
      <c r="B50" s="387" t="s">
        <v>1354</v>
      </c>
      <c r="C50" s="414"/>
      <c r="D50" s="414"/>
      <c r="E50" s="414"/>
      <c r="F50" s="449">
        <f>IF('数据-取费表'!B24=0,'数据-取费表'!N16,1)</f>
        <v>0.8</v>
      </c>
      <c r="G50" s="433" t="s">
        <v>1355</v>
      </c>
    </row>
    <row r="51" spans="1:7" ht="16.5" customHeight="1">
      <c r="A51" s="386" t="s">
        <v>1356</v>
      </c>
      <c r="B51" s="387" t="s">
        <v>1357</v>
      </c>
      <c r="C51" s="414">
        <f ca="1">ROUND(C49*F50,0)</f>
        <v>8240</v>
      </c>
      <c r="D51" s="414"/>
      <c r="E51" s="414"/>
      <c r="F51" s="449"/>
      <c r="G51" s="419" t="s">
        <v>1358</v>
      </c>
    </row>
    <row r="52" spans="1:7" s="367" customFormat="1" ht="15.75">
      <c r="A52" s="450" t="s">
        <v>1359</v>
      </c>
      <c r="B52" s="451"/>
      <c r="C52" s="452">
        <f ca="1">C31+C51</f>
        <v>46140</v>
      </c>
      <c r="D52" s="451"/>
      <c r="E52" s="451"/>
      <c r="F52" s="451"/>
      <c r="G52" s="453"/>
    </row>
    <row r="55" spans="1:7" ht="15">
      <c r="B55" s="454" t="s">
        <v>1360</v>
      </c>
      <c r="C55" s="455"/>
    </row>
    <row r="56" spans="1:7">
      <c r="B56" s="456" t="s">
        <v>1266</v>
      </c>
      <c r="C56" s="458">
        <f ca="1">1-C57</f>
        <v>0.82099999999999995</v>
      </c>
    </row>
    <row r="57" spans="1:7">
      <c r="B57" s="456" t="s">
        <v>1267</v>
      </c>
      <c r="C57" s="457">
        <f ca="1">ROUND(C51/C52,3)</f>
        <v>0.17899999999999999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1268</v>
      </c>
      <c r="B1" s="2316"/>
      <c r="C1" s="2317" t="s">
        <v>1361</v>
      </c>
      <c r="D1" s="376"/>
      <c r="E1" s="376"/>
      <c r="F1" s="376"/>
      <c r="G1" s="2318">
        <f>MATCH(B1,'数据-取费表'!A6:A16,0)+5</f>
        <v>7</v>
      </c>
      <c r="H1" s="1690" t="str">
        <f>IF(ISERROR(FIND("住宅",B1)),"非住宅","住宅")</f>
        <v>非住宅</v>
      </c>
    </row>
    <row r="2" spans="1:8" s="366" customFormat="1" ht="18" customHeight="1">
      <c r="A2" s="378" t="s">
        <v>994</v>
      </c>
      <c r="B2" s="2319">
        <f ca="1">ROUND(IF(D2="——",C52/10000,C52/10000-E2),4)</f>
        <v>9346.0563999999995</v>
      </c>
      <c r="C2" s="377" t="s">
        <v>995</v>
      </c>
      <c r="D2" s="2320" t="s">
        <v>124</v>
      </c>
      <c r="E2" s="2321" t="e">
        <f ca="1">SUMIF(INDIRECT("'"&amp;G2&amp;"'"&amp;"!A:A"),"承租人权益价值",INDIRECT("'"&amp;G2&amp;"'"&amp;"!c:c"))</f>
        <v>#REF!</v>
      </c>
      <c r="F2" s="2322" t="s">
        <v>995</v>
      </c>
      <c r="G2" s="2323"/>
    </row>
    <row r="3" spans="1:8" s="366" customFormat="1" ht="18" customHeight="1">
      <c r="A3" s="381" t="s">
        <v>996</v>
      </c>
      <c r="B3" s="382">
        <f ca="1">ROUND(B2*10000/(IF(B1="",'数据-汇总表'!E3,INDIRECT("'数据-取费表'!k"&amp;$G$1))),0)</f>
        <v>4609</v>
      </c>
      <c r="C3" s="377" t="s">
        <v>1269</v>
      </c>
      <c r="D3" s="377"/>
      <c r="E3" s="377"/>
      <c r="F3" s="377"/>
      <c r="G3" s="377"/>
    </row>
    <row r="4" spans="1:8" s="367" customFormat="1" ht="15.75">
      <c r="A4" s="383" t="s">
        <v>1270</v>
      </c>
      <c r="B4" s="384"/>
      <c r="C4" s="384"/>
      <c r="D4" s="384"/>
      <c r="E4" s="384"/>
      <c r="F4" s="384"/>
      <c r="G4" s="385"/>
    </row>
    <row r="5" spans="1:8" s="368" customFormat="1" ht="13.5" customHeight="1">
      <c r="A5" s="386" t="s">
        <v>1271</v>
      </c>
      <c r="B5" s="387" t="s">
        <v>1272</v>
      </c>
      <c r="C5" s="388">
        <f ca="1">C6+C7+C8</f>
        <v>4055298</v>
      </c>
      <c r="D5" s="388" t="s">
        <v>1273</v>
      </c>
      <c r="E5" s="389" t="s">
        <v>1274</v>
      </c>
      <c r="F5" s="389" t="s">
        <v>894</v>
      </c>
      <c r="G5" s="390"/>
    </row>
    <row r="6" spans="1:8" s="368" customFormat="1" ht="13.5" customHeight="1">
      <c r="A6" s="391" t="s">
        <v>1275</v>
      </c>
      <c r="B6" s="392" t="s">
        <v>1276</v>
      </c>
      <c r="C6" s="393"/>
      <c r="D6" s="394"/>
      <c r="E6" s="395"/>
      <c r="F6" s="395"/>
      <c r="G6" s="396"/>
    </row>
    <row r="7" spans="1:8" s="368" customFormat="1" ht="13.5" customHeight="1">
      <c r="A7" s="391" t="s">
        <v>1277</v>
      </c>
      <c r="B7" s="392" t="s">
        <v>1278</v>
      </c>
      <c r="C7" s="397">
        <f>ROUND(C6*F7,0)</f>
        <v>0</v>
      </c>
      <c r="D7" s="397"/>
      <c r="E7" s="395"/>
      <c r="F7" s="398">
        <f>IF(项目基本情况!B8="出让",0,'数据-取费表'!B48+'数据-取费表'!B49)</f>
        <v>3.0499999999999999E-2</v>
      </c>
      <c r="G7" s="396"/>
    </row>
    <row r="8" spans="1:8" s="369" customFormat="1">
      <c r="A8" s="391" t="s">
        <v>1279</v>
      </c>
      <c r="B8" s="392" t="s">
        <v>1280</v>
      </c>
      <c r="C8" s="397">
        <f ca="1">IF(G8="已包含在土地购买价格中",0,C9+C10)</f>
        <v>4055298</v>
      </c>
      <c r="D8" s="399"/>
      <c r="E8" s="397"/>
      <c r="F8" s="398"/>
      <c r="G8" s="2324"/>
    </row>
    <row r="9" spans="1:8" s="368" customFormat="1" ht="13.5" customHeight="1">
      <c r="A9" s="401" t="s">
        <v>1183</v>
      </c>
      <c r="B9" s="402" t="s">
        <v>1282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1190</v>
      </c>
      <c r="B10" s="402" t="s">
        <v>1285</v>
      </c>
      <c r="C10" s="403">
        <f ca="1">ROUND(D10*E10,0)</f>
        <v>4055298</v>
      </c>
      <c r="D10" s="404">
        <f ca="1">IF(B1="",'数据-汇总表'!E6,IF(INDIRECT("'数据-取费表'!c"&amp;$G$1)="住宅",INDIRECT("'数据-取费表'!s"&amp;$G$1),INDIRECT("'数据-取费表'!k"&amp;$G$1)+INDIRECT("'数据-取费表'!s"&amp;$G$1)))</f>
        <v>20276.490000000002</v>
      </c>
      <c r="E10" s="403">
        <f>'数据-取费表'!B28</f>
        <v>200</v>
      </c>
      <c r="F10" s="398"/>
      <c r="G10" s="405"/>
    </row>
    <row r="11" spans="1:8" s="368" customFormat="1" ht="13.5" hidden="1" customHeight="1">
      <c r="A11" s="406" t="s">
        <v>1286</v>
      </c>
      <c r="B11" s="392" t="s">
        <v>1287</v>
      </c>
      <c r="C11" s="388"/>
      <c r="D11" s="407"/>
      <c r="E11" s="395"/>
      <c r="F11" s="395"/>
      <c r="G11" s="396"/>
    </row>
    <row r="12" spans="1:8" s="368" customFormat="1" ht="13.5" hidden="1" customHeight="1">
      <c r="A12" s="406" t="s">
        <v>1288</v>
      </c>
      <c r="B12" s="392" t="s">
        <v>930</v>
      </c>
      <c r="C12" s="388">
        <v>0</v>
      </c>
      <c r="D12" s="407"/>
      <c r="E12" s="408"/>
      <c r="F12" s="398">
        <v>3.0499999999999999E-2</v>
      </c>
      <c r="G12" s="396"/>
    </row>
    <row r="13" spans="1:8" s="368" customFormat="1" ht="13.5" hidden="1" customHeight="1">
      <c r="A13" s="406" t="s">
        <v>1289</v>
      </c>
      <c r="B13" s="392" t="s">
        <v>1290</v>
      </c>
      <c r="C13" s="388"/>
      <c r="D13" s="407"/>
      <c r="E13" s="395"/>
      <c r="F13" s="395"/>
      <c r="G13" s="396"/>
    </row>
    <row r="14" spans="1:8" s="368" customFormat="1" ht="13.5" hidden="1" customHeight="1">
      <c r="A14" s="406" t="s">
        <v>1291</v>
      </c>
      <c r="B14" s="392" t="s">
        <v>1280</v>
      </c>
      <c r="C14" s="388"/>
      <c r="D14" s="407"/>
      <c r="E14" s="395"/>
      <c r="F14" s="395"/>
      <c r="G14" s="396" t="s">
        <v>1292</v>
      </c>
    </row>
    <row r="15" spans="1:8" s="368" customFormat="1" ht="13.5" hidden="1" customHeight="1">
      <c r="A15" s="406" t="s">
        <v>1293</v>
      </c>
      <c r="B15" s="392" t="s">
        <v>1294</v>
      </c>
      <c r="C15" s="397"/>
      <c r="D15" s="407"/>
      <c r="E15" s="395"/>
      <c r="F15" s="395"/>
      <c r="G15" s="396" t="s">
        <v>1295</v>
      </c>
    </row>
    <row r="16" spans="1:8"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f ca="1">IF(G19="已包含在土地取得成本中","0",ROUND(D19*E19,0))</f>
        <v>4055298</v>
      </c>
      <c r="D19" s="412">
        <f ca="1">D9+D10</f>
        <v>20276.490000000002</v>
      </c>
      <c r="E19" s="388">
        <f>'数据-取费表'!B31</f>
        <v>200</v>
      </c>
      <c r="F19" s="413"/>
      <c r="G19" s="2324"/>
    </row>
    <row r="20" spans="1:7" s="368" customFormat="1" ht="13.5" customHeight="1">
      <c r="A20" s="386" t="s">
        <v>1305</v>
      </c>
      <c r="B20" s="387" t="s">
        <v>1306</v>
      </c>
      <c r="C20" s="414">
        <f ca="1">ROUND((C5+C19)*F20,0)</f>
        <v>162212</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2325">
        <f ca="1">ROUND(SUM(C23:C25),0)</f>
        <v>693880</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2326">
        <f ca="1">ROUND(IF('数据-取费表'!B22&lt;=1,C5*F22*'数据-取费表'!B22,C5*(POWER((1+F22),'数据-取费表'!B22)-1)),0)</f>
        <v>343574</v>
      </c>
      <c r="D23" s="424"/>
      <c r="E23" s="424"/>
      <c r="F23" s="425"/>
      <c r="G23" s="426" t="s">
        <v>1315</v>
      </c>
    </row>
    <row r="24" spans="1:7" s="368" customFormat="1" ht="13.5" customHeight="1">
      <c r="A24" s="422" t="s">
        <v>1277</v>
      </c>
      <c r="B24" s="392" t="s">
        <v>1316</v>
      </c>
      <c r="C24" s="2326">
        <f ca="1">ROUND(IF('数据-取费表'!B22&lt;=1,C19*F22*('数据-取费表'!B19/2+'数据-取费表'!B20),C19*(POWER((1+F22),('数据-取费表'!B19/2+'数据-取费表'!B20))-1)),0)</f>
        <v>343574</v>
      </c>
      <c r="D24" s="424"/>
      <c r="E24" s="424"/>
      <c r="F24" s="425"/>
      <c r="G24" s="426" t="s">
        <v>1317</v>
      </c>
    </row>
    <row r="25" spans="1:7" s="368" customFormat="1" ht="24">
      <c r="A25" s="422" t="s">
        <v>1279</v>
      </c>
      <c r="B25" s="392" t="s">
        <v>1318</v>
      </c>
      <c r="C25" s="2326">
        <f ca="1">ROUND(IF('数据-取费表'!B22&lt;=1,C20*F22*'数据-取费表'!B22/2,C20*(POWER((1+F22),'数据-取费表'!B22/2)-1)),0)</f>
        <v>6732</v>
      </c>
      <c r="D25" s="424"/>
      <c r="E25" s="427"/>
      <c r="F25" s="425"/>
      <c r="G25" s="428" t="s">
        <v>1319</v>
      </c>
    </row>
    <row r="26" spans="1:7" s="368" customFormat="1">
      <c r="A26" s="422" t="s">
        <v>1320</v>
      </c>
      <c r="B26" s="392" t="s">
        <v>1321</v>
      </c>
      <c r="C26" s="424">
        <f ca="1">ROUND(IF('数据-取费表'!B22&lt;=1,F21*F22*'数据-取费表'!B22/2,F21*(POWER((1+F22),'数据-取费表'!B22/2)-1)),4)</f>
        <v>8.0000000000000004E-4</v>
      </c>
      <c r="D26" s="424"/>
      <c r="E26" s="427"/>
      <c r="F26" s="425"/>
      <c r="G26" s="429"/>
    </row>
    <row r="27" spans="1:7" s="368" customFormat="1" ht="24.75">
      <c r="A27" s="386" t="s">
        <v>1322</v>
      </c>
      <c r="B27" s="430" t="s">
        <v>1323</v>
      </c>
      <c r="C27" s="431">
        <f ca="1">C28</f>
        <v>1240921</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ROUND((C5+C19+C20)*F27,0)</f>
        <v>1240921</v>
      </c>
      <c r="D28" s="417"/>
      <c r="E28" s="418"/>
      <c r="F28" s="432"/>
      <c r="G28" s="433"/>
    </row>
    <row r="29" spans="1:7" s="368" customFormat="1" ht="13.5" customHeight="1">
      <c r="A29" s="422" t="s">
        <v>1277</v>
      </c>
      <c r="B29" s="434" t="s">
        <v>1326</v>
      </c>
      <c r="C29" s="424">
        <f ca="1">ROUND(C21*F27,4)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11060363</v>
      </c>
      <c r="D31" s="437"/>
      <c r="E31" s="388"/>
      <c r="F31" s="438"/>
      <c r="G31" s="419" t="s">
        <v>1331</v>
      </c>
    </row>
    <row r="32" spans="1:7" s="367" customFormat="1" ht="15.75">
      <c r="A32" s="439" t="s">
        <v>1362</v>
      </c>
      <c r="B32" s="440"/>
      <c r="C32" s="440"/>
      <c r="D32" s="440"/>
      <c r="E32" s="440"/>
      <c r="F32" s="440"/>
      <c r="G32" s="441"/>
    </row>
    <row r="33" spans="1:7" s="368" customFormat="1" ht="13.5" customHeight="1">
      <c r="A33" s="386" t="s">
        <v>1271</v>
      </c>
      <c r="B33" s="387" t="s">
        <v>1363</v>
      </c>
      <c r="C33" s="442">
        <f ca="1">SUM(C34:C38)</f>
        <v>78216560</v>
      </c>
      <c r="D33" s="414"/>
      <c r="E33" s="389"/>
      <c r="F33" s="427"/>
      <c r="G33" s="419"/>
    </row>
    <row r="34" spans="1:7" s="370" customFormat="1" ht="13.5" customHeight="1">
      <c r="A34" s="422" t="s">
        <v>1275</v>
      </c>
      <c r="B34" s="392" t="s">
        <v>1334</v>
      </c>
      <c r="C34" s="397">
        <f ca="1">ROUND(IF(B1="",SUMPRODUCT('数据-取费表'!K6:K14,'数据-取费表'!L6:L14),INDIRECT("'数据-取费表'!l"&amp;$G$1)*INDIRECT("'数据-取费表'!k"&amp;$G$1)+'数据-取费表'!L14*INDIRECT("'数据-取费表'!S"&amp;$G$1)),0)</f>
        <v>70967715</v>
      </c>
      <c r="D34" s="394"/>
      <c r="E34" s="397"/>
      <c r="F34" s="443"/>
      <c r="G34" s="396"/>
    </row>
    <row r="35" spans="1:7" ht="13.5" customHeight="1">
      <c r="A35" s="422" t="s">
        <v>1277</v>
      </c>
      <c r="B35" s="392" t="s">
        <v>1336</v>
      </c>
      <c r="C35" s="397">
        <f ca="1">ROUND(C34*F35,0)</f>
        <v>2129031</v>
      </c>
      <c r="D35" s="397"/>
      <c r="E35" s="397"/>
      <c r="F35" s="444">
        <f>'数据-取费表'!B33</f>
        <v>0.03</v>
      </c>
      <c r="G35" s="396" t="s">
        <v>1337</v>
      </c>
    </row>
    <row r="36" spans="1:7" ht="24">
      <c r="A36" s="422" t="s">
        <v>1279</v>
      </c>
      <c r="B36" s="392" t="s">
        <v>1338</v>
      </c>
      <c r="C36" s="397">
        <f ca="1">ROUND(IF(B1="",SUM('数据-取费表'!AP6:AP13)*F36,IF(INDIRECT("'数据-取费表'!c"&amp;$G$1)="住宅",INDIRECT("'数据-取费表'!k"&amp;$G$1)*INDIRECT("'数据-取费表'!l"&amp;$G$1)*F36,0)),0)</f>
        <v>0</v>
      </c>
      <c r="D36" s="397"/>
      <c r="E36" s="397"/>
      <c r="F36" s="444">
        <f>'数据-取费表'!B34</f>
        <v>0</v>
      </c>
      <c r="G36" s="445" t="s">
        <v>1339</v>
      </c>
    </row>
    <row r="37" spans="1:7" s="370" customFormat="1" ht="13.5" customHeight="1">
      <c r="A37" s="422" t="s">
        <v>1320</v>
      </c>
      <c r="B37" s="392" t="s">
        <v>1340</v>
      </c>
      <c r="C37" s="435">
        <f ca="1">ROUND(E37*D37,0)</f>
        <v>4055298</v>
      </c>
      <c r="D37" s="394">
        <f ca="1">D19</f>
        <v>20276.490000000002</v>
      </c>
      <c r="E37" s="435">
        <f>'数据-取费表'!B35</f>
        <v>200</v>
      </c>
      <c r="F37" s="444"/>
      <c r="G37" s="446"/>
    </row>
    <row r="38" spans="1:7" ht="13.5" customHeight="1">
      <c r="A38" s="422" t="s">
        <v>1342</v>
      </c>
      <c r="B38" s="392" t="s">
        <v>930</v>
      </c>
      <c r="C38" s="397">
        <f ca="1">ROUND(C34*F38,0)</f>
        <v>1064516</v>
      </c>
      <c r="D38" s="397"/>
      <c r="E38" s="397"/>
      <c r="F38" s="444">
        <f>'数据-取费表'!B36</f>
        <v>1.4999999999999999E-2</v>
      </c>
      <c r="G38" s="396" t="s">
        <v>1337</v>
      </c>
    </row>
    <row r="39" spans="1:7" s="368" customFormat="1" ht="13.5" customHeight="1">
      <c r="A39" s="386" t="s">
        <v>1302</v>
      </c>
      <c r="B39" s="387" t="s">
        <v>1306</v>
      </c>
      <c r="C39" s="414">
        <f ca="1">ROUND(C33*F20,0)</f>
        <v>1564331</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3310907</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ROUND(IF('数据-取费表'!B22&lt;=1,C33*F22*'数据-取费表'!B20/2,C33*(POWER((1+F22),'数据-取费表'!B20/2)-1)),0)</f>
        <v>3245987</v>
      </c>
      <c r="D42" s="424"/>
      <c r="E42" s="424"/>
      <c r="F42" s="425"/>
      <c r="G42" s="3679" t="s">
        <v>1364</v>
      </c>
    </row>
    <row r="43" spans="1:7" ht="13.5" customHeight="1">
      <c r="A43" s="422" t="s">
        <v>1277</v>
      </c>
      <c r="B43" s="392" t="s">
        <v>1316</v>
      </c>
      <c r="C43" s="424">
        <f ca="1">ROUND(IF('数据-取费表'!B22&lt;=1,C39*F22*'数据-取费表'!B20/2,C39*(POWER((1+F22),'数据-取费表'!B20/2)-1)),0)</f>
        <v>64920</v>
      </c>
      <c r="D43" s="424"/>
      <c r="E43" s="424"/>
      <c r="F43" s="425"/>
      <c r="G43" s="3680"/>
    </row>
    <row r="44" spans="1:7" ht="13.5" customHeight="1">
      <c r="A44" s="422" t="s">
        <v>1279</v>
      </c>
      <c r="B44" s="392" t="s">
        <v>1318</v>
      </c>
      <c r="C44" s="424">
        <f ca="1">ROUND(IF('数据-取费表'!B22&lt;=1,C40*F22*'数据-取费表'!B20/2,C40*(POWER((1+F22),'数据-取费表'!B20/2)-1)),4)</f>
        <v>8.0000000000000004E-4</v>
      </c>
      <c r="D44" s="424"/>
      <c r="E44" s="424"/>
      <c r="F44" s="425"/>
      <c r="G44" s="3681"/>
    </row>
    <row r="45" spans="1:7" s="368" customFormat="1" ht="13.5" customHeight="1">
      <c r="A45" s="386" t="s">
        <v>1312</v>
      </c>
      <c r="B45" s="430" t="s">
        <v>1323</v>
      </c>
      <c r="C45" s="431">
        <f ca="1">C46</f>
        <v>11967134</v>
      </c>
      <c r="D45" s="417">
        <f ca="1">C47</f>
        <v>3.0000000000000001E-3</v>
      </c>
      <c r="E45" s="418" t="s">
        <v>1344</v>
      </c>
      <c r="F45" s="432">
        <f ca="1">F27</f>
        <v>0.15</v>
      </c>
      <c r="G45" s="433" t="s">
        <v>1347</v>
      </c>
    </row>
    <row r="46" spans="1:7" s="368" customFormat="1" ht="13.5" customHeight="1">
      <c r="A46" s="422" t="s">
        <v>1275</v>
      </c>
      <c r="B46" s="434" t="s">
        <v>1348</v>
      </c>
      <c r="C46" s="435">
        <f ca="1">ROUND((C33+C39)*F27,0)</f>
        <v>11967134</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447">
        <f>ROUND(F30/(1+'数据-取费表'!C42),4)</f>
        <v>5.33E-2</v>
      </c>
      <c r="D48" s="418" t="s">
        <v>1344</v>
      </c>
      <c r="E48" s="414"/>
      <c r="F48" s="421">
        <f>F30</f>
        <v>5.6000000000000001E-2</v>
      </c>
      <c r="G48" s="419" t="s">
        <v>1350</v>
      </c>
    </row>
    <row r="49" spans="1:7" ht="16.5" customHeight="1">
      <c r="A49" s="386" t="s">
        <v>1327</v>
      </c>
      <c r="B49" s="387" t="s">
        <v>1365</v>
      </c>
      <c r="C49" s="414">
        <f ca="1">ROUND((C33+C39+C41+C45)/(1-C40-D41-D45-C48),0)</f>
        <v>103000251</v>
      </c>
      <c r="D49" s="414"/>
      <c r="E49" s="414"/>
      <c r="F49" s="449"/>
      <c r="G49" s="419" t="s">
        <v>1352</v>
      </c>
    </row>
    <row r="50" spans="1:7" s="370" customFormat="1">
      <c r="A50" s="386" t="s">
        <v>1353</v>
      </c>
      <c r="B50" s="387" t="s">
        <v>1354</v>
      </c>
      <c r="C50" s="414"/>
      <c r="D50" s="414"/>
      <c r="E50" s="414"/>
      <c r="F50" s="449">
        <f>IF('数据-取费表'!B24=0,'数据-取费表'!N16,1)</f>
        <v>0.8</v>
      </c>
      <c r="G50" s="433"/>
    </row>
    <row r="51" spans="1:7" ht="16.5" customHeight="1">
      <c r="A51" s="386" t="s">
        <v>1356</v>
      </c>
      <c r="B51" s="387" t="s">
        <v>1366</v>
      </c>
      <c r="C51" s="414">
        <f ca="1">ROUND(C49*F50,0)</f>
        <v>82400201</v>
      </c>
      <c r="D51" s="414"/>
      <c r="E51" s="414"/>
      <c r="F51" s="449"/>
      <c r="G51" s="419" t="s">
        <v>1358</v>
      </c>
    </row>
    <row r="52" spans="1:7" s="367" customFormat="1" ht="15.75">
      <c r="A52" s="450" t="s">
        <v>1359</v>
      </c>
      <c r="B52" s="451"/>
      <c r="C52" s="452">
        <f ca="1">C31+C51</f>
        <v>93460564</v>
      </c>
      <c r="D52" s="451"/>
      <c r="E52" s="451"/>
      <c r="F52" s="451"/>
      <c r="G52" s="453"/>
    </row>
    <row r="55" spans="1:7" ht="15">
      <c r="B55" s="454" t="s">
        <v>1360</v>
      </c>
      <c r="C55" s="455"/>
    </row>
    <row r="56" spans="1:7">
      <c r="B56" s="456" t="s">
        <v>1266</v>
      </c>
      <c r="C56" s="458">
        <f ca="1">1-C57</f>
        <v>0.11799999999999999</v>
      </c>
    </row>
    <row r="57" spans="1:7">
      <c r="B57" s="456" t="s">
        <v>1267</v>
      </c>
      <c r="C57" s="457">
        <f ca="1">ROUND(C51/C52,3)</f>
        <v>0.88200000000000001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1367</v>
      </c>
      <c r="B1" s="2049"/>
      <c r="C1" s="2232"/>
      <c r="D1" s="2233"/>
      <c r="E1" s="2234"/>
      <c r="F1" s="2234"/>
      <c r="G1" s="2235"/>
      <c r="H1" s="2234"/>
      <c r="I1" s="2234"/>
      <c r="J1" s="2234"/>
      <c r="K1" s="2303">
        <f>MATCH(C1,'数据-取费表'!A6:A16,0)+5</f>
        <v>7</v>
      </c>
    </row>
    <row r="2" spans="1:33" ht="18" customHeight="1">
      <c r="A2" s="378" t="s">
        <v>994</v>
      </c>
      <c r="B2" s="382">
        <f ca="1">C32</f>
        <v>0</v>
      </c>
      <c r="C2" s="2236" t="s">
        <v>1368</v>
      </c>
      <c r="D2" s="2236"/>
      <c r="E2" s="2234"/>
      <c r="F2" s="2234"/>
      <c r="G2" s="2234"/>
      <c r="H2" s="2234"/>
      <c r="I2" s="2234"/>
      <c r="J2" s="2234"/>
      <c r="K2" s="2234"/>
    </row>
    <row r="3" spans="1:33" ht="18" customHeight="1">
      <c r="A3" s="381" t="s">
        <v>996</v>
      </c>
      <c r="B3" s="382">
        <f ca="1">ROUND(B2*10000/IF(C1="",'数据-汇总表'!E3,INDIRECT("'数据-取费表'!K"&amp;$K$1)),0)</f>
        <v>0</v>
      </c>
      <c r="C3" s="2236" t="s">
        <v>1369</v>
      </c>
      <c r="D3" s="2236"/>
      <c r="E3" s="2234"/>
      <c r="F3" s="2234"/>
      <c r="G3" s="2234"/>
      <c r="H3" s="2234"/>
      <c r="I3" s="2234"/>
      <c r="J3" s="2234"/>
      <c r="K3" s="2234"/>
    </row>
    <row r="4" spans="1:33" s="2221" customFormat="1" ht="16.5" customHeight="1">
      <c r="A4" s="2237" t="s">
        <v>1370</v>
      </c>
      <c r="B4" s="2238"/>
      <c r="C4" s="2239">
        <f>SUM(C8:K8)</f>
        <v>0</v>
      </c>
      <c r="D4" s="2238"/>
      <c r="E4" s="2238"/>
      <c r="F4" s="2238"/>
      <c r="G4" s="2238"/>
      <c r="H4" s="2238"/>
      <c r="I4" s="2238"/>
      <c r="J4" s="2238"/>
      <c r="K4" s="2304"/>
    </row>
    <row r="5" spans="1:33" s="2222" customFormat="1" ht="15">
      <c r="A5" s="2240" t="s">
        <v>1371</v>
      </c>
      <c r="B5" s="2241" t="s">
        <v>1372</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899</v>
      </c>
      <c r="B6" s="2012" t="s">
        <v>1373</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903</v>
      </c>
      <c r="B7" s="2012"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948</v>
      </c>
      <c r="B8" s="2247" t="s">
        <v>1374</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1375</v>
      </c>
      <c r="B9" s="2238"/>
      <c r="C9" s="2238"/>
      <c r="D9" s="2238"/>
      <c r="E9" s="2238"/>
      <c r="F9" s="2238"/>
      <c r="G9" s="2238"/>
      <c r="H9" s="2238"/>
      <c r="I9" s="2238"/>
      <c r="J9" s="2238"/>
      <c r="K9" s="2304"/>
    </row>
    <row r="10" spans="1:33" s="2224" customFormat="1" ht="13.5" customHeight="1">
      <c r="A10" s="2240" t="s">
        <v>1371</v>
      </c>
      <c r="B10" s="2250" t="s">
        <v>1372</v>
      </c>
      <c r="C10" s="2251" t="s">
        <v>1376</v>
      </c>
      <c r="D10" s="2252" t="s">
        <v>1377</v>
      </c>
      <c r="E10" s="2252" t="s">
        <v>1378</v>
      </c>
      <c r="F10" s="2252" t="s">
        <v>1379</v>
      </c>
      <c r="G10" s="2250"/>
      <c r="H10" s="2253"/>
      <c r="I10" s="2253"/>
      <c r="J10" s="2253"/>
      <c r="K10" s="2310"/>
    </row>
    <row r="11" spans="1:33" s="2225" customFormat="1" ht="13.5" customHeight="1">
      <c r="A11" s="2254" t="s">
        <v>1183</v>
      </c>
      <c r="B11" s="2255" t="s">
        <v>1380</v>
      </c>
      <c r="C11" s="2256">
        <f ca="1">IF(C1="",'数据-取费表'!P16,INDIRECT("'数据-取费表'!p"&amp;$K$1)+INDIRECT("'数据-取费表'!ar"&amp;$K$1))</f>
        <v>0</v>
      </c>
      <c r="D11" s="2257"/>
      <c r="E11" s="2015"/>
      <c r="F11" s="2258">
        <f ca="1">1-IF('数据-取费表'!B24=0,1,IF(C1="",'数据-取费表'!N16,INDIRECT("'数据-取费表'!n"&amp;$K$1)))</f>
        <v>0</v>
      </c>
      <c r="G11" s="2250"/>
      <c r="H11" s="2253"/>
      <c r="I11" s="2253"/>
      <c r="J11" s="2253"/>
      <c r="K11" s="2310"/>
    </row>
    <row r="12" spans="1:33" s="2225" customFormat="1" ht="13.5" customHeight="1">
      <c r="A12" s="2254" t="s">
        <v>1190</v>
      </c>
      <c r="B12" s="2255" t="s">
        <v>1102</v>
      </c>
      <c r="C12" s="1003">
        <f ca="1">ROUND(C11*F12,0)</f>
        <v>0</v>
      </c>
      <c r="D12" s="2257"/>
      <c r="E12" s="2015"/>
      <c r="F12" s="2258">
        <f>'数据-取费表'!B33</f>
        <v>0.03</v>
      </c>
      <c r="G12" s="2250" t="s">
        <v>1381</v>
      </c>
      <c r="H12" s="2253"/>
      <c r="I12" s="2253"/>
      <c r="J12" s="2253"/>
      <c r="K12" s="2310"/>
    </row>
    <row r="13" spans="1:33" s="2225" customFormat="1" ht="13.5" customHeight="1">
      <c r="A13" s="2254" t="s">
        <v>1216</v>
      </c>
      <c r="B13" s="2255" t="s">
        <v>1105</v>
      </c>
      <c r="C13" s="1003">
        <f ca="1">ROUND(IF(C1="",SUMIF('数据-取费表'!C:C,"住宅",'数据-取费表'!P:P)*F13,IF(INDIRECT("'数据-取费表'!c"&amp;$K$1)="住宅",INDIRECT("'数据-取费表'!P"&amp;$K$1)*F13,0)),0)</f>
        <v>0</v>
      </c>
      <c r="D13" s="2259"/>
      <c r="E13" s="2015"/>
      <c r="F13" s="2258">
        <f>'数据-取费表'!B34</f>
        <v>0</v>
      </c>
      <c r="G13" s="2250" t="s">
        <v>1382</v>
      </c>
      <c r="H13" s="2253"/>
      <c r="I13" s="2253"/>
      <c r="J13" s="2253"/>
      <c r="K13" s="2310"/>
    </row>
    <row r="14" spans="1:33" s="2226" customFormat="1" ht="13.5" customHeight="1">
      <c r="A14" s="2254" t="s">
        <v>1383</v>
      </c>
      <c r="B14" s="2255" t="s">
        <v>1384</v>
      </c>
      <c r="C14" s="1003">
        <f ca="1">ROUND(D14*E14*F11/10000,0)</f>
        <v>0</v>
      </c>
      <c r="D14" s="2259">
        <f ca="1">IF(C1="",'数据-汇总表'!E3,INDIRECT("'数据-取费表'!K"&amp;$K$1)+INDIRECT("'数据-取费表'!S"&amp;$K$1))</f>
        <v>20276.490000000002</v>
      </c>
      <c r="E14" s="1003">
        <f>'数据-取费表'!B35</f>
        <v>200</v>
      </c>
      <c r="F14" s="2260"/>
      <c r="G14" s="2250" t="s">
        <v>1385</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1386</v>
      </c>
      <c r="B15" s="2255" t="s">
        <v>1117</v>
      </c>
      <c r="C15" s="2261">
        <f ca="1">ROUND(C11*F15,0)</f>
        <v>0</v>
      </c>
      <c r="D15" s="2262"/>
      <c r="E15" s="2261"/>
      <c r="F15" s="2258">
        <f>'数据-取费表'!B36</f>
        <v>1.4999999999999999E-2</v>
      </c>
      <c r="G15" s="2012" t="s">
        <v>1387</v>
      </c>
      <c r="H15" s="2127"/>
      <c r="I15" s="2127"/>
      <c r="J15" s="2127"/>
      <c r="K15" s="2128"/>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922</v>
      </c>
      <c r="B16" s="2255" t="s">
        <v>1388</v>
      </c>
      <c r="C16" s="2261">
        <f ca="1">SUM(C11:C15)</f>
        <v>0</v>
      </c>
      <c r="D16" s="2262"/>
      <c r="E16" s="2261"/>
      <c r="F16" s="2258"/>
      <c r="G16" s="2012"/>
      <c r="H16" s="2263"/>
      <c r="I16" s="2127"/>
      <c r="J16" s="2127"/>
      <c r="K16" s="2128"/>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926</v>
      </c>
      <c r="B17" s="2255" t="s">
        <v>1389</v>
      </c>
      <c r="C17" s="1003">
        <f ca="1">ROUND(D17*E17/10000,0)</f>
        <v>0</v>
      </c>
      <c r="D17" s="2259">
        <f ca="1">D14</f>
        <v>20276.490000000002</v>
      </c>
      <c r="E17" s="1003">
        <f>'数据-取费表'!B32</f>
        <v>0</v>
      </c>
      <c r="F17" s="2262"/>
      <c r="G17" s="2012" t="s">
        <v>1390</v>
      </c>
      <c r="H17" s="2263"/>
      <c r="I17" s="2127"/>
      <c r="J17" s="2127"/>
      <c r="K17" s="2128"/>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1391</v>
      </c>
      <c r="B18" s="2255" t="s">
        <v>1392</v>
      </c>
      <c r="C18" s="1003">
        <f ca="1">C19+C20-IF(C1="",'数据-取费表'!B29,IF(G18="已全部缴纳",C19+C20,H18))</f>
        <v>0</v>
      </c>
      <c r="D18" s="2259"/>
      <c r="E18" s="1003"/>
      <c r="F18" s="2260"/>
      <c r="G18" s="2264"/>
      <c r="H18" s="2265"/>
      <c r="I18" s="2311" t="s">
        <v>1393</v>
      </c>
      <c r="J18" s="2127"/>
      <c r="K18" s="2128"/>
    </row>
    <row r="19" spans="1:33" s="2225" customFormat="1" ht="13.5" customHeight="1">
      <c r="A19" s="2254" t="s">
        <v>1183</v>
      </c>
      <c r="B19" s="2255" t="s">
        <v>443</v>
      </c>
      <c r="C19" s="1003">
        <f ca="1">ROUND(D19*E19/10000,0)</f>
        <v>0</v>
      </c>
      <c r="D19" s="2259">
        <f ca="1">IF(C1="",'数据-汇总表'!E5,IF(INDIRECT("'数据-取费表'!c"&amp;$K$1)="住宅",INDIRECT("'数据-取费表'!k"&amp;$K$1),0))</f>
        <v>0</v>
      </c>
      <c r="E19" s="1003">
        <f>'数据-取费表'!B27</f>
        <v>0</v>
      </c>
      <c r="F19" s="2260"/>
      <c r="G19" s="2126"/>
      <c r="H19" s="2266"/>
      <c r="I19" s="2267"/>
      <c r="J19" s="2267"/>
      <c r="K19" s="2312"/>
    </row>
    <row r="20" spans="1:33" s="2225" customFormat="1" ht="13.5" customHeight="1">
      <c r="A20" s="2254" t="s">
        <v>1190</v>
      </c>
      <c r="B20" s="2255" t="s">
        <v>1394</v>
      </c>
      <c r="C20" s="1003">
        <f ca="1">ROUND(D20*E20/10000,0)</f>
        <v>406</v>
      </c>
      <c r="D20" s="2259">
        <f ca="1">IF(C1="",'数据-汇总表'!E6,IF(INDIRECT("'数据-取费表'!c"&amp;$K$1)="住宅",INDIRECT("'数据-取费表'!s"&amp;$K$1),INDIRECT("'数据-取费表'!k"&amp;$K$1)+INDIRECT("'数据-取费表'!s"&amp;$K$1)))</f>
        <v>20276.490000000002</v>
      </c>
      <c r="E20" s="1003">
        <f>'数据-取费表'!B28</f>
        <v>200</v>
      </c>
      <c r="F20" s="2260"/>
      <c r="G20" s="2126"/>
      <c r="H20" s="2267"/>
      <c r="I20" s="2267"/>
      <c r="J20" s="2267"/>
      <c r="K20" s="2312"/>
    </row>
    <row r="21" spans="1:33" s="2225" customFormat="1" ht="13.5" customHeight="1">
      <c r="A21" s="2243" t="s">
        <v>899</v>
      </c>
      <c r="B21" s="2268" t="s">
        <v>1395</v>
      </c>
      <c r="C21" s="2269">
        <f ca="1">C16+C17+C18</f>
        <v>0</v>
      </c>
      <c r="D21" s="2270"/>
      <c r="E21" s="2271"/>
      <c r="F21" s="2271"/>
      <c r="G21" s="2012" t="s">
        <v>1396</v>
      </c>
      <c r="H21" s="2127"/>
      <c r="I21" s="2127"/>
      <c r="J21" s="2127"/>
      <c r="K21" s="2128"/>
    </row>
    <row r="22" spans="1:33" s="2225" customFormat="1" ht="13.5" customHeight="1">
      <c r="A22" s="2243" t="s">
        <v>903</v>
      </c>
      <c r="B22" s="2268" t="s">
        <v>1397</v>
      </c>
      <c r="C22" s="2269">
        <f ca="1">ROUND(C21*F22,0)</f>
        <v>0</v>
      </c>
      <c r="D22" s="2271"/>
      <c r="E22" s="2271"/>
      <c r="F22" s="2272">
        <f>'数据-取费表'!B37</f>
        <v>0.02</v>
      </c>
      <c r="G22" s="2250" t="s">
        <v>1398</v>
      </c>
      <c r="H22" s="2253"/>
      <c r="I22" s="2253"/>
      <c r="J22" s="2253"/>
      <c r="K22" s="2310"/>
    </row>
    <row r="23" spans="1:33" s="2225" customFormat="1" ht="13.5" customHeight="1">
      <c r="A23" s="2243" t="s">
        <v>948</v>
      </c>
      <c r="B23" s="2268" t="s">
        <v>1399</v>
      </c>
      <c r="C23" s="2269">
        <f ca="1">ROUND(C4*F23*F11,0)</f>
        <v>0</v>
      </c>
      <c r="D23" s="2271"/>
      <c r="E23" s="2271"/>
      <c r="F23" s="2272">
        <f>'数据-取费表'!B38</f>
        <v>0.02</v>
      </c>
      <c r="G23" s="2250" t="s">
        <v>1400</v>
      </c>
      <c r="H23" s="2253"/>
      <c r="I23" s="2253"/>
      <c r="J23" s="2253"/>
      <c r="K23" s="2310"/>
    </row>
    <row r="24" spans="1:33" s="2225" customFormat="1" ht="13.5" customHeight="1">
      <c r="A24" s="2243" t="s">
        <v>951</v>
      </c>
      <c r="B24" s="2268" t="s">
        <v>1401</v>
      </c>
      <c r="C24" s="2273">
        <f>ROUND(F24/(1+'数据-取费表'!C42),4)</f>
        <v>2.9000000000000001E-2</v>
      </c>
      <c r="D24" s="2271" t="s">
        <v>1402</v>
      </c>
      <c r="E24" s="2271"/>
      <c r="F24" s="2272">
        <f>IF(项目基本情况!B8="出让",0,'数据-取费表'!B48+'数据-取费表'!B49)</f>
        <v>3.0499999999999999E-2</v>
      </c>
      <c r="G24" s="2250" t="s">
        <v>1403</v>
      </c>
      <c r="H24" s="2274"/>
      <c r="I24" s="2274"/>
      <c r="J24" s="2274"/>
      <c r="K24" s="2313"/>
    </row>
    <row r="25" spans="1:33" s="2225" customFormat="1" ht="13.5" customHeight="1">
      <c r="A25" s="2243" t="s">
        <v>955</v>
      </c>
      <c r="B25" s="2270" t="s">
        <v>1404</v>
      </c>
      <c r="C25" s="2275">
        <f ca="1">C27</f>
        <v>0</v>
      </c>
      <c r="D25" s="2273">
        <f ca="1">C26</f>
        <v>0</v>
      </c>
      <c r="E25" s="2276" t="s">
        <v>1402</v>
      </c>
      <c r="F25" s="2277">
        <f ca="1">'数据-取费表'!B40</f>
        <v>4.1499999999999995E-2</v>
      </c>
      <c r="G25" s="2012"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922</v>
      </c>
      <c r="B26" s="2278" t="s">
        <v>1405</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7"/>
      <c r="I26" s="2127"/>
      <c r="J26" s="2127"/>
      <c r="K26" s="2128"/>
    </row>
    <row r="27" spans="1:33" s="2227" customFormat="1" ht="13.5" customHeight="1">
      <c r="A27" s="2254" t="s">
        <v>926</v>
      </c>
      <c r="B27" s="2278" t="s">
        <v>1406</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7"/>
      <c r="I27" s="2127"/>
      <c r="J27" s="2127"/>
      <c r="K27" s="2128"/>
    </row>
    <row r="28" spans="1:33" s="2228" customFormat="1" ht="13.5" customHeight="1">
      <c r="A28" s="2243" t="s">
        <v>956</v>
      </c>
      <c r="B28" s="2285" t="s">
        <v>1407</v>
      </c>
      <c r="C28" s="2286">
        <f ca="1">C30</f>
        <v>0</v>
      </c>
      <c r="D28" s="2273">
        <f ca="1">C29</f>
        <v>0</v>
      </c>
      <c r="E28" s="2276" t="s">
        <v>1402</v>
      </c>
      <c r="F28" s="1303">
        <f ca="1">IF(C1="",'数据-取费表'!Q16,INDIRECT("'数据-取费表'!q"&amp;$K$1))</f>
        <v>0.15</v>
      </c>
      <c r="G28" s="2287"/>
      <c r="H28" s="2274"/>
      <c r="I28" s="2274"/>
      <c r="J28" s="2274"/>
      <c r="K28" s="2313"/>
    </row>
    <row r="29" spans="1:33" s="2229" customFormat="1" ht="13.5" customHeight="1">
      <c r="A29" s="2254" t="s">
        <v>922</v>
      </c>
      <c r="B29" s="2288" t="s">
        <v>1408</v>
      </c>
      <c r="C29" s="2280">
        <f ca="1">ROUND((1+C24)*F28*'数据-取费表'!B24/'数据-取费表'!B20,4)</f>
        <v>0</v>
      </c>
      <c r="D29" s="2280"/>
      <c r="E29" s="2281"/>
      <c r="F29" s="2289"/>
      <c r="G29" s="2012" t="s">
        <v>1409</v>
      </c>
      <c r="H29" s="2127"/>
      <c r="I29" s="2127"/>
      <c r="J29" s="2127"/>
      <c r="K29" s="2128"/>
    </row>
    <row r="30" spans="1:33" s="2229" customFormat="1" ht="13.5" customHeight="1">
      <c r="A30" s="2254" t="s">
        <v>926</v>
      </c>
      <c r="B30" s="2288" t="s">
        <v>1410</v>
      </c>
      <c r="C30" s="2290">
        <f ca="1">ROUND((C21+C22+C23)*F28,0)</f>
        <v>0</v>
      </c>
      <c r="D30" s="2280"/>
      <c r="E30" s="2281"/>
      <c r="F30" s="2289"/>
      <c r="G30" s="2012"/>
      <c r="H30" s="2127"/>
      <c r="I30" s="2127"/>
      <c r="J30" s="2127"/>
      <c r="K30" s="2128"/>
    </row>
    <row r="31" spans="1:33" s="2225" customFormat="1" ht="13.5" customHeight="1">
      <c r="A31" s="2291" t="s">
        <v>1162</v>
      </c>
      <c r="B31" s="2292" t="s">
        <v>1411</v>
      </c>
      <c r="C31" s="2293">
        <f>ROUND(C4*F31/(1+'数据-取费表'!C42),0)</f>
        <v>0</v>
      </c>
      <c r="D31" s="2294"/>
      <c r="E31" s="2295"/>
      <c r="F31" s="2296">
        <f>'数据-取费表'!B41</f>
        <v>5.6000000000000001E-2</v>
      </c>
      <c r="G31" s="2297" t="s">
        <v>1412</v>
      </c>
      <c r="H31" s="2298"/>
      <c r="I31" s="2298"/>
      <c r="J31" s="2298"/>
      <c r="K31" s="2314"/>
    </row>
    <row r="32" spans="1:33" s="2224" customFormat="1" ht="13.5" customHeight="1">
      <c r="A32" s="2299" t="s">
        <v>1413</v>
      </c>
      <c r="B32" s="2300"/>
      <c r="C32" s="2301">
        <f ca="1">ROUND((C4-C21-C22-C23-C25-C28-C31)/(1+C24+D25+D28),0)</f>
        <v>0</v>
      </c>
      <c r="D32" s="2300"/>
      <c r="E32" s="2300"/>
      <c r="F32" s="2300"/>
      <c r="G32" s="2302" t="s">
        <v>1414</v>
      </c>
      <c r="H32" s="2300"/>
      <c r="I32" s="2300"/>
      <c r="J32" s="2300"/>
      <c r="K32" s="231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c r="D1" s="1944" t="s">
        <v>124</v>
      </c>
      <c r="E1" s="1945" t="s">
        <v>1069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1949" t="e">
        <f ca="1">ROUND(D2/10000,4)</f>
        <v>#DIV/0!</v>
      </c>
      <c r="C2" s="1950" t="s">
        <v>1071</v>
      </c>
      <c r="D2" s="1951" t="e">
        <f ca="1">C40+J29+L46</f>
        <v>#DIV/0!</v>
      </c>
      <c r="E2" s="1952" t="s">
        <v>1415</v>
      </c>
      <c r="F2" s="1953"/>
      <c r="G2" s="1954"/>
      <c r="H2" s="1955"/>
      <c r="I2" s="1955"/>
      <c r="J2" s="1955"/>
      <c r="K2" s="2114"/>
      <c r="L2" s="1955"/>
      <c r="M2" s="1955"/>
    </row>
    <row r="3" spans="1:37" ht="18" customHeight="1">
      <c r="A3" s="1956" t="s">
        <v>1072</v>
      </c>
      <c r="B3" s="1957">
        <f ca="1">IF(ISERROR(D2/F43),0,ROUND(D2/F43,0))</f>
        <v>0</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0</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ROUND(F6*F8*F7*(1-F9),0)</f>
        <v>0</v>
      </c>
      <c r="D6" s="1971" t="s">
        <v>1416</v>
      </c>
      <c r="E6" s="1972" t="s">
        <v>1084</v>
      </c>
      <c r="F6" s="1973">
        <f ca="1">INDIRECT("'数据-取费表'!u"&amp;$G$1)</f>
        <v>0</v>
      </c>
      <c r="G6" s="761"/>
      <c r="H6" s="1969" t="s">
        <v>899</v>
      </c>
      <c r="I6" s="3676" t="s">
        <v>1082</v>
      </c>
      <c r="J6" s="2044">
        <f ca="1">ROUND(M6*M8*M7*(1-M9),0)</f>
        <v>0</v>
      </c>
      <c r="K6" s="2117" t="s">
        <v>1417</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0</v>
      </c>
      <c r="G7" s="761"/>
      <c r="H7" s="1978"/>
      <c r="I7" s="3677"/>
      <c r="J7" s="1979"/>
      <c r="K7" s="1976"/>
      <c r="L7" s="1972" t="s">
        <v>1086</v>
      </c>
      <c r="M7" s="1973">
        <f ca="1">F7</f>
        <v>0</v>
      </c>
    </row>
    <row r="8" spans="1:37" ht="18" customHeight="1">
      <c r="A8" s="1978"/>
      <c r="B8" s="3677"/>
      <c r="C8" s="1979"/>
      <c r="D8" s="1976"/>
      <c r="E8" s="1972" t="s">
        <v>1087</v>
      </c>
      <c r="F8" s="1973">
        <f ca="1">INDIRECT("'数据-取费表'!ai"&amp;$G$1)</f>
        <v>0</v>
      </c>
      <c r="G8" s="761"/>
      <c r="H8" s="1978"/>
      <c r="I8" s="3677"/>
      <c r="J8" s="1979"/>
      <c r="K8" s="1976"/>
      <c r="L8" s="1972" t="s">
        <v>1087</v>
      </c>
      <c r="M8" s="1973">
        <f ca="1">INDIRECT("'数据-取费表'!ai"&amp;$G$1)</f>
        <v>0</v>
      </c>
    </row>
    <row r="9" spans="1:37" ht="18" customHeight="1">
      <c r="A9" s="1978"/>
      <c r="B9" s="3678"/>
      <c r="C9" s="1979"/>
      <c r="D9" s="1976"/>
      <c r="E9" s="1972" t="s">
        <v>1088</v>
      </c>
      <c r="F9" s="1980">
        <f ca="1">INDIRECT("'数据-取费表'!w"&amp;$G$1)</f>
        <v>0</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0</v>
      </c>
      <c r="D10" s="1982" t="s">
        <v>1090</v>
      </c>
      <c r="E10" s="1983" t="s">
        <v>1091</v>
      </c>
      <c r="F10" s="1984"/>
      <c r="G10" s="761"/>
      <c r="H10" s="1969" t="s">
        <v>903</v>
      </c>
      <c r="I10" s="1981" t="s">
        <v>1089</v>
      </c>
      <c r="J10" s="2044">
        <f ca="1">ROUND(IF(M10="押一",J6/12*M11,IF(M10="押二",J6/12*2*M11,IF(M10="押三",J6/12*3*M11,J11*M11))),0)</f>
        <v>0</v>
      </c>
      <c r="K10" s="2118" t="s">
        <v>1418</v>
      </c>
      <c r="L10" s="1983" t="s">
        <v>1091</v>
      </c>
      <c r="M10" s="1984"/>
    </row>
    <row r="11" spans="1:37" ht="18" customHeight="1">
      <c r="A11" s="1985"/>
      <c r="B11" s="1986" t="s">
        <v>1419</v>
      </c>
      <c r="C11" s="1987"/>
      <c r="D11" s="1976"/>
      <c r="E11" s="1983" t="s">
        <v>1094</v>
      </c>
      <c r="F11" s="1988">
        <f ca="1">'数据-取费表'!B39</f>
        <v>1.4999999999999999E-2</v>
      </c>
      <c r="G11" s="761"/>
      <c r="H11" s="1989"/>
      <c r="I11" s="1986" t="s">
        <v>1420</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0</v>
      </c>
      <c r="D13" s="1999" t="s">
        <v>1097</v>
      </c>
      <c r="E13" s="1999" t="s">
        <v>1098</v>
      </c>
      <c r="F13" s="2000">
        <f ca="1">INDIRECT("'数据-取费表'!y"&amp;$G$1)</f>
        <v>0</v>
      </c>
      <c r="G13" s="761"/>
      <c r="H13" s="1996">
        <v>2</v>
      </c>
      <c r="I13" s="1997" t="s">
        <v>1096</v>
      </c>
      <c r="J13" s="2123">
        <f ca="1">ROUND(J14*J15,0)</f>
        <v>0</v>
      </c>
      <c r="K13" s="2022" t="s">
        <v>1097</v>
      </c>
      <c r="L13" s="2124"/>
      <c r="M13" s="2125"/>
    </row>
    <row r="14" spans="1:37" ht="18" customHeight="1">
      <c r="A14" s="2001" t="s">
        <v>922</v>
      </c>
      <c r="B14" s="1972" t="s">
        <v>1099</v>
      </c>
      <c r="C14" s="2002">
        <f ca="1">ROUND(INDIRECT("'数据-取费表'!l"&amp;$G$1)*F43+'数据-取费表'!L14*INDIRECT("'数据-取费表'!S"&amp;$G$1),0)</f>
        <v>0</v>
      </c>
      <c r="D14" s="2003" t="s">
        <v>1100</v>
      </c>
      <c r="E14" s="2004"/>
      <c r="F14" s="2005"/>
      <c r="G14" s="761"/>
      <c r="H14" s="2001" t="s">
        <v>899</v>
      </c>
      <c r="I14" s="1972" t="s">
        <v>1101</v>
      </c>
      <c r="J14" s="1003">
        <f ca="1">C29</f>
        <v>0</v>
      </c>
      <c r="K14" s="2126"/>
      <c r="L14" s="2127"/>
      <c r="M14" s="2128"/>
    </row>
    <row r="15" spans="1:37" s="1940" customFormat="1" ht="18" customHeight="1">
      <c r="A15" s="2001" t="s">
        <v>926</v>
      </c>
      <c r="B15" s="1972" t="s">
        <v>1102</v>
      </c>
      <c r="C15" s="1003">
        <f ca="1">ROUND(C14*F15,0)</f>
        <v>0</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ROUND(INDIRECT("'数据-取费表'!l"&amp;$G$1)*F43*F16,0)</f>
        <v>0</v>
      </c>
      <c r="D16" s="1972" t="s">
        <v>1103</v>
      </c>
      <c r="E16" s="1972" t="s">
        <v>1104</v>
      </c>
      <c r="F16" s="2010">
        <f ca="1">IF(INDIRECT("'数据-取费表'!c"&amp;$G$1)="住宅",'数据-取费表'!B34,0)</f>
        <v>0</v>
      </c>
      <c r="G16" s="761"/>
      <c r="H16" s="1996" t="s">
        <v>1106</v>
      </c>
      <c r="I16" s="1997" t="s">
        <v>1107</v>
      </c>
      <c r="J16" s="1998">
        <f ca="1">ROUND(J17+J22+J23+J24,0)</f>
        <v>0</v>
      </c>
      <c r="K16" s="2022" t="s">
        <v>1108</v>
      </c>
      <c r="L16" s="2023"/>
      <c r="M16" s="1968"/>
    </row>
    <row r="17" spans="1:37" s="1940" customFormat="1" ht="18" customHeight="1">
      <c r="A17" s="2001" t="s">
        <v>1109</v>
      </c>
      <c r="B17" s="1972" t="s">
        <v>1110</v>
      </c>
      <c r="C17" s="1003">
        <f ca="1">ROUND(F17*(F43+INDIRECT("'数据-取费表'!S"&amp;$G$1)),0)</f>
        <v>0</v>
      </c>
      <c r="D17" s="1972" t="s">
        <v>1111</v>
      </c>
      <c r="E17" s="1972" t="s">
        <v>1112</v>
      </c>
      <c r="F17" s="2011">
        <f>'数据-取费表'!B35</f>
        <v>200</v>
      </c>
      <c r="G17" s="2008"/>
      <c r="H17" s="2001" t="s">
        <v>899</v>
      </c>
      <c r="I17" s="1972" t="s">
        <v>1113</v>
      </c>
      <c r="J17" s="2025">
        <f ca="1">ROUND(IF(AND(项目基本情况!B11="自然人",项目基本情况!B10="北京市"),J6*M17/(1+'数据-取费表'!C42),J18+J19+J20),0)</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0</v>
      </c>
      <c r="D18" s="1972" t="s">
        <v>1103</v>
      </c>
      <c r="E18" s="1972" t="s">
        <v>1104</v>
      </c>
      <c r="F18" s="2010">
        <f>'数据-取费表'!B36</f>
        <v>1.4999999999999999E-2</v>
      </c>
      <c r="G18" s="2008"/>
      <c r="H18" s="2001" t="s">
        <v>922</v>
      </c>
      <c r="I18" s="1972" t="s">
        <v>1118</v>
      </c>
      <c r="J18" s="1003">
        <f ca="1">ROUND(J6*M18/(1+'数据-取费表'!C42),0)</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0</v>
      </c>
      <c r="D19" s="2012" t="s">
        <v>1121</v>
      </c>
      <c r="E19" s="1005"/>
      <c r="F19" s="2011"/>
      <c r="G19" s="761"/>
      <c r="H19" s="2001" t="s">
        <v>926</v>
      </c>
      <c r="I19" s="1972" t="s">
        <v>1122</v>
      </c>
      <c r="J19" s="1003">
        <f ca="1">IF(K19="按租金收入计税",ROUND(J6*M19/(1+'数据-取费表'!C42),0),ROUND(C29*M19*0.7,0))</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0</v>
      </c>
      <c r="D20" s="2013" t="s">
        <v>1125</v>
      </c>
      <c r="E20" s="1972" t="s">
        <v>1104</v>
      </c>
      <c r="F20" s="2010">
        <f>'数据-取费表'!B37</f>
        <v>0.02</v>
      </c>
      <c r="G20" s="2008"/>
      <c r="H20" s="2001" t="s">
        <v>929</v>
      </c>
      <c r="I20" s="1971" t="s">
        <v>1126</v>
      </c>
      <c r="J20" s="2031">
        <f ca="1">ROUND(M20*M21,0)</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ROUND(J14*M22,0)</f>
        <v>0</v>
      </c>
      <c r="K22" s="2026" t="s">
        <v>1135</v>
      </c>
      <c r="L22" s="1972" t="s">
        <v>1104</v>
      </c>
      <c r="M22" s="2038">
        <f ca="1">INDIRECT("'数据-取费表'!Ak"&amp;$G$1)</f>
        <v>0</v>
      </c>
    </row>
    <row r="23" spans="1:37" s="1940" customFormat="1" ht="18" customHeight="1">
      <c r="A23" s="2001" t="s">
        <v>922</v>
      </c>
      <c r="B23" s="1972" t="s">
        <v>1136</v>
      </c>
      <c r="C23" s="1003">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ROUND(J13*M23,0)</f>
        <v>0</v>
      </c>
      <c r="K23" s="2026" t="s">
        <v>1139</v>
      </c>
      <c r="L23" s="1972" t="s">
        <v>1104</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ROUND(J5*M24,0)</f>
        <v>0</v>
      </c>
      <c r="K24" s="2019" t="s">
        <v>1142</v>
      </c>
      <c r="L24" s="1994" t="s">
        <v>1104</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955</v>
      </c>
      <c r="B25" s="1972" t="s">
        <v>1143</v>
      </c>
      <c r="C25" s="1003"/>
      <c r="D25" s="2012" t="s">
        <v>1144</v>
      </c>
      <c r="E25" s="1005"/>
      <c r="F25" s="2011"/>
      <c r="G25" s="761"/>
      <c r="H25" s="1996" t="s">
        <v>1145</v>
      </c>
      <c r="I25" s="2040" t="s">
        <v>1146</v>
      </c>
      <c r="J25" s="1998">
        <f ca="1">J5-J16</f>
        <v>0</v>
      </c>
      <c r="K25" s="2041" t="s">
        <v>1147</v>
      </c>
      <c r="L25" s="2042"/>
      <c r="M25" s="2043"/>
    </row>
    <row r="26" spans="1:37" ht="18" customHeight="1">
      <c r="A26" s="2001" t="s">
        <v>922</v>
      </c>
      <c r="B26" s="1972" t="s">
        <v>1148</v>
      </c>
      <c r="C26" s="1003">
        <f ca="1">ROUND((C19+C20)*F26,0)</f>
        <v>0</v>
      </c>
      <c r="D26" s="2013" t="s">
        <v>1149</v>
      </c>
      <c r="E26" s="1983" t="s">
        <v>1150</v>
      </c>
      <c r="F26" s="1980">
        <f ca="1">INDIRECT("'数据-取费表'!q"&amp;$G$1)</f>
        <v>0</v>
      </c>
      <c r="G26" s="761"/>
      <c r="H26" s="1963" t="s">
        <v>1151</v>
      </c>
      <c r="I26" s="1964" t="s">
        <v>1152</v>
      </c>
      <c r="J26" s="2044">
        <f ca="1">IF(J5&lt;&gt;0,ROUND(J25*(1-((1+M28)/(1+M26))^M27)/(M26-M28),0),0)</f>
        <v>0</v>
      </c>
      <c r="K26" s="2032" t="s">
        <v>1153</v>
      </c>
      <c r="L26" s="1972" t="s">
        <v>1154</v>
      </c>
      <c r="M26" s="1980">
        <f ca="1">INDIRECT("'数据-取费表'!I"&amp;$G$1)</f>
        <v>0</v>
      </c>
    </row>
    <row r="27" spans="1:37" ht="18" customHeight="1">
      <c r="A27" s="2001" t="s">
        <v>926</v>
      </c>
      <c r="B27" s="1972" t="s">
        <v>1155</v>
      </c>
      <c r="C27" s="1003">
        <f ca="1">ROUND(F21*F26,4)</f>
        <v>0</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0</v>
      </c>
      <c r="D29" s="2019"/>
      <c r="E29" s="1994"/>
      <c r="F29" s="2020"/>
      <c r="G29" s="2008"/>
      <c r="H29" s="2021" t="s">
        <v>1164</v>
      </c>
      <c r="I29" s="2051" t="s">
        <v>1165</v>
      </c>
      <c r="J29" s="2052">
        <f ca="1">ROUND(J26/(1+F40)^F41,0)</f>
        <v>0</v>
      </c>
      <c r="K29" s="2053" t="s">
        <v>1166</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0</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ROUND(IF(AND(项目基本情况!B11="自然人",项目基本情况!B10="北京市"),C6*F31/(1+'数据-取费表'!C42),C32+C33+C34),0)</f>
        <v>0</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IF(项目基本情况!B11="自然人","——",ROUND(C6*F32/(1+'数据-取费表'!C42),0))</f>
        <v>0</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IF(项目基本情况!B11="自然人","——",IF(D33="按租金收入计税",ROUND(C6*F33/(1+'数据-取费表'!C42),0),IF(D33="按房产原值计税",ROUND(C29*F33*0.7,0),INDIRECT("'数据-取费表'!Aj"&amp;$G$1))))</f>
        <v>0</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IF(项目基本情况!B11="自然人","——",ROUND(F34*F35,0))</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ROUND(C29*F36,0)</f>
        <v>0</v>
      </c>
      <c r="D36" s="2026" t="s">
        <v>1168</v>
      </c>
      <c r="E36" s="1972" t="s">
        <v>1104</v>
      </c>
      <c r="F36" s="2038">
        <f ca="1">INDIRECT("'数据-取费表'!Ak"&amp;$G$1)</f>
        <v>0</v>
      </c>
      <c r="G36" s="761"/>
      <c r="H36" s="2030"/>
      <c r="I36" s="2133"/>
      <c r="J36" s="2134"/>
      <c r="K36" s="2141"/>
      <c r="L36" s="2030"/>
      <c r="M36" s="2030"/>
    </row>
    <row r="37" spans="1:18" ht="18" customHeight="1">
      <c r="A37" s="2001" t="s">
        <v>948</v>
      </c>
      <c r="B37" s="1972" t="s">
        <v>1138</v>
      </c>
      <c r="C37" s="1003">
        <f ca="1">ROUND(C13*F37,0)</f>
        <v>0</v>
      </c>
      <c r="D37" s="2026" t="s">
        <v>1139</v>
      </c>
      <c r="E37" s="1972" t="s">
        <v>1104</v>
      </c>
      <c r="F37" s="2039">
        <f ca="1">INDIRECT("'数据-取费表'!Al"&amp;$G$1)</f>
        <v>0</v>
      </c>
      <c r="G37" s="761"/>
      <c r="H37" s="2030"/>
      <c r="I37" s="2133"/>
      <c r="J37" s="2134"/>
      <c r="K37" s="2141"/>
      <c r="L37" s="2030"/>
      <c r="M37" s="2030"/>
    </row>
    <row r="38" spans="1:18" ht="18" customHeight="1">
      <c r="A38" s="2009" t="s">
        <v>951</v>
      </c>
      <c r="B38" s="1994" t="s">
        <v>1124</v>
      </c>
      <c r="C38" s="2018">
        <f ca="1">ROUND(C5*F38,0)</f>
        <v>0</v>
      </c>
      <c r="D38" s="2019" t="s">
        <v>1142</v>
      </c>
      <c r="E38" s="1994" t="s">
        <v>1104</v>
      </c>
      <c r="F38" s="1995">
        <f ca="1">INDIRECT("'数据-取费表'!Am"&amp;$G$1)</f>
        <v>0</v>
      </c>
      <c r="G38" s="761"/>
      <c r="H38" s="2030"/>
      <c r="I38" s="2133"/>
      <c r="J38" s="2134"/>
      <c r="K38" s="2142"/>
      <c r="L38" s="2030"/>
      <c r="M38" s="2030"/>
    </row>
    <row r="39" spans="1:18" ht="24.6" customHeight="1">
      <c r="A39" s="1996" t="s">
        <v>1145</v>
      </c>
      <c r="B39" s="2040" t="s">
        <v>1146</v>
      </c>
      <c r="C39" s="1998">
        <f ca="1">C5-C30</f>
        <v>0</v>
      </c>
      <c r="D39" s="2041" t="s">
        <v>1147</v>
      </c>
      <c r="E39" s="2042"/>
      <c r="F39" s="2043"/>
      <c r="G39" s="761"/>
      <c r="H39" s="2030"/>
      <c r="I39" s="2133"/>
      <c r="J39" s="2134"/>
      <c r="K39" s="2142"/>
      <c r="L39" s="2030"/>
      <c r="M39" s="2030"/>
    </row>
    <row r="40" spans="1:18" ht="18" customHeight="1">
      <c r="A40" s="1963" t="s">
        <v>1151</v>
      </c>
      <c r="B40" s="1964" t="s">
        <v>1169</v>
      </c>
      <c r="C40" s="2044" t="e">
        <f ca="1">ROUND(C39*(1-((1+F42)/(1+F40))^F41)/(F40-F42),0)</f>
        <v>#DIV/0!</v>
      </c>
      <c r="D40" s="2032" t="s">
        <v>1153</v>
      </c>
      <c r="E40" s="1972" t="s">
        <v>1154</v>
      </c>
      <c r="F40" s="1980">
        <f ca="1">INDIRECT("'数据-取费表'!I"&amp;$G$1)</f>
        <v>0</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1161</v>
      </c>
      <c r="F42" s="1980">
        <f ca="1">INDIRECT("'数据-取费表'!v"&amp;$G$1)</f>
        <v>0</v>
      </c>
      <c r="G42" s="761"/>
      <c r="H42" s="2049"/>
      <c r="I42" s="2133"/>
      <c r="J42" s="2134"/>
      <c r="K42" s="2141"/>
      <c r="L42" s="2049"/>
      <c r="M42" s="2049"/>
    </row>
    <row r="43" spans="1:18" ht="18" customHeight="1">
      <c r="A43" s="2021" t="s">
        <v>1164</v>
      </c>
      <c r="B43" s="2051" t="s">
        <v>1170</v>
      </c>
      <c r="C43" s="2052" t="e">
        <f ca="1">ROUND(C40/F43,0)</f>
        <v>#DIV/0!</v>
      </c>
      <c r="D43" s="2053" t="s">
        <v>1171</v>
      </c>
      <c r="E43" s="2054" t="s">
        <v>1172</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1421</v>
      </c>
      <c r="B45" s="2056"/>
      <c r="C45" s="2059" t="e">
        <f ca="1">ROUND((C68-C40)/10000,4)</f>
        <v>#DIV/0!</v>
      </c>
      <c r="D45" s="2060" t="s">
        <v>1422</v>
      </c>
      <c r="E45" s="2056"/>
      <c r="F45" s="2056"/>
      <c r="O45" s="2144" t="s">
        <v>1173</v>
      </c>
      <c r="P45" s="2045"/>
      <c r="Q45" s="2045"/>
      <c r="R45" s="2045"/>
    </row>
    <row r="46" spans="1:18" s="761" customFormat="1">
      <c r="A46" s="2061" t="s">
        <v>1174</v>
      </c>
      <c r="C46" s="2062" t="e">
        <f ca="1">ROUND(C45,0)</f>
        <v>#DIV/0!</v>
      </c>
      <c r="D46" s="2063" t="str">
        <f>C2</f>
        <v>万元</v>
      </c>
      <c r="I46" s="2145" t="s">
        <v>1175</v>
      </c>
      <c r="J46" s="2146"/>
      <c r="K46" s="2147"/>
      <c r="L46" s="2148" t="e">
        <f ca="1">IF(M47="住宅",0,IF(L48&gt;J51,L60,J60))</f>
        <v>#DIV/0!</v>
      </c>
      <c r="O46" s="2149" t="s">
        <v>1176</v>
      </c>
      <c r="P46" s="2150" t="s">
        <v>1177</v>
      </c>
      <c r="Q46" s="2195" t="s">
        <v>1178</v>
      </c>
      <c r="R46" s="2195" t="s">
        <v>1179</v>
      </c>
    </row>
    <row r="47" spans="1:18" s="761" customFormat="1">
      <c r="A47" s="2064" t="s">
        <v>1075</v>
      </c>
      <c r="B47" s="2065" t="s">
        <v>1076</v>
      </c>
      <c r="C47" s="2065" t="s">
        <v>1077</v>
      </c>
      <c r="D47" s="2065" t="s">
        <v>1078</v>
      </c>
      <c r="E47" s="2066" t="s">
        <v>1079</v>
      </c>
      <c r="F47" s="996"/>
      <c r="G47" s="2067"/>
      <c r="I47" s="2151" t="s">
        <v>1180</v>
      </c>
      <c r="J47" s="2152"/>
      <c r="K47" s="2153" t="s">
        <v>1182</v>
      </c>
      <c r="L47" s="2154">
        <f ca="1">INDIRECT("'数据-取费表'!d"&amp;$G$1)</f>
        <v>0</v>
      </c>
      <c r="M47" s="2155" t="str">
        <f>IF(ISNUMBER(FIND("住宅",C1)),"住宅","非住宅")</f>
        <v>非住宅</v>
      </c>
      <c r="O47" s="2156" t="s">
        <v>1183</v>
      </c>
      <c r="P47" s="2157" t="s">
        <v>1184</v>
      </c>
      <c r="Q47" s="2196" t="e">
        <f ca="1">C40+J29</f>
        <v>#DIV/0!</v>
      </c>
      <c r="R47" s="2196" t="s">
        <v>1185</v>
      </c>
    </row>
    <row r="48" spans="1:18" s="761" customFormat="1" ht="27.75">
      <c r="A48" s="2068" t="s">
        <v>1186</v>
      </c>
      <c r="B48" s="1964" t="s">
        <v>1080</v>
      </c>
      <c r="C48" s="1004">
        <f ca="1">C49+C53+C55</f>
        <v>0</v>
      </c>
      <c r="D48" s="2069"/>
      <c r="E48" s="2070"/>
      <c r="F48" s="2071"/>
      <c r="G48" s="2067"/>
      <c r="H48" s="2072"/>
      <c r="I48" s="2158" t="s">
        <v>1187</v>
      </c>
      <c r="J48" s="2159"/>
      <c r="K48" s="2160" t="s">
        <v>1189</v>
      </c>
      <c r="L48" s="2161">
        <f ca="1">INDIRECT("'数据-取费表'!f"&amp;$G$1)</f>
        <v>0</v>
      </c>
      <c r="O48" s="2156" t="s">
        <v>1190</v>
      </c>
      <c r="P48" s="2157" t="s">
        <v>1191</v>
      </c>
      <c r="Q48" s="2196" t="e">
        <f ca="1">J60</f>
        <v>#DIV/0!</v>
      </c>
      <c r="R48" s="2196" t="s">
        <v>1192</v>
      </c>
    </row>
    <row r="49" spans="1:18" s="761" customFormat="1">
      <c r="A49" s="2073" t="s">
        <v>1193</v>
      </c>
      <c r="B49" s="2074" t="s">
        <v>1194</v>
      </c>
      <c r="C49" s="2075">
        <f ca="1">ROUND(F49*F51*F50*(1-F52),0)</f>
        <v>0</v>
      </c>
      <c r="D49" s="2076" t="s">
        <v>1423</v>
      </c>
      <c r="E49" s="2077" t="s">
        <v>1195</v>
      </c>
      <c r="F49" s="2078"/>
      <c r="G49" s="2079"/>
      <c r="H49" s="2072"/>
      <c r="I49" s="2158" t="s">
        <v>1196</v>
      </c>
      <c r="J49" s="2162"/>
      <c r="K49" s="2160" t="s">
        <v>1197</v>
      </c>
      <c r="L49" s="2163"/>
      <c r="O49" s="2164" t="s">
        <v>1198</v>
      </c>
      <c r="P49" s="2157" t="s">
        <v>1199</v>
      </c>
      <c r="Q49" s="2196">
        <f ca="1">C29</f>
        <v>0</v>
      </c>
      <c r="R49" s="2196" t="s">
        <v>1185</v>
      </c>
    </row>
    <row r="50" spans="1:18" s="761" customFormat="1">
      <c r="A50" s="2080"/>
      <c r="B50" s="2081"/>
      <c r="C50" s="2082"/>
      <c r="D50" s="2083"/>
      <c r="E50" s="2084" t="s">
        <v>1086</v>
      </c>
      <c r="F50" s="2085">
        <f ca="1">F7</f>
        <v>0</v>
      </c>
      <c r="H50" s="2072"/>
      <c r="I50" s="2158" t="s">
        <v>1200</v>
      </c>
      <c r="J50" s="2165">
        <f>SUMPRODUCT((I63:I65=J47)*(J62:L62=J48)*(J63:L65))</f>
        <v>0</v>
      </c>
      <c r="K50" s="2160" t="s">
        <v>1201</v>
      </c>
      <c r="L50" s="2163"/>
      <c r="M50" s="2166"/>
      <c r="O50" s="2164" t="s">
        <v>1202</v>
      </c>
      <c r="P50" s="2157" t="s">
        <v>1203</v>
      </c>
      <c r="Q50" s="2197" t="e">
        <f ca="1">J58</f>
        <v>#DIV/0!</v>
      </c>
      <c r="R50" s="2196"/>
    </row>
    <row r="51" spans="1:18" s="761" customFormat="1">
      <c r="A51" s="2086"/>
      <c r="B51" s="2081"/>
      <c r="C51" s="2082"/>
      <c r="D51" s="2083"/>
      <c r="E51" s="2087" t="s">
        <v>1087</v>
      </c>
      <c r="F51" s="1973">
        <f ca="1">F8</f>
        <v>0</v>
      </c>
      <c r="I51" s="2167" t="s">
        <v>1204</v>
      </c>
      <c r="J51" s="2168">
        <f>IF(J49="",J50,J49+J50-YEAR('数据-取费表'!B2))</f>
        <v>0</v>
      </c>
      <c r="K51" s="2169" t="s">
        <v>1205</v>
      </c>
      <c r="L51" s="2170">
        <f ca="1">ROUND(-PV(INDIRECT("'数据-取费表'!h"&amp;$G$1),J51,(C39-C13*C76),0),0)</f>
        <v>0</v>
      </c>
      <c r="M51" s="2171"/>
      <c r="O51" s="2164" t="s">
        <v>1206</v>
      </c>
      <c r="P51" s="2157" t="s">
        <v>1207</v>
      </c>
      <c r="Q51" s="2197">
        <f>J52</f>
        <v>0</v>
      </c>
      <c r="R51" s="2196"/>
    </row>
    <row r="52" spans="1:18" s="761" customFormat="1">
      <c r="A52" s="2086"/>
      <c r="B52" s="2081"/>
      <c r="C52" s="2082"/>
      <c r="D52" s="2083"/>
      <c r="E52" s="2087" t="s">
        <v>1088</v>
      </c>
      <c r="F52" s="2088"/>
      <c r="I52" s="2172" t="s">
        <v>1208</v>
      </c>
      <c r="J52" s="2173"/>
      <c r="K52" s="2172" t="s">
        <v>1209</v>
      </c>
      <c r="L52" s="2173"/>
      <c r="O52" s="2164" t="s">
        <v>1210</v>
      </c>
      <c r="P52" s="2157" t="s">
        <v>1211</v>
      </c>
      <c r="Q52" s="2196">
        <f ca="1">J53</f>
        <v>0</v>
      </c>
      <c r="R52" s="2196" t="s">
        <v>1212</v>
      </c>
    </row>
    <row r="53" spans="1:18" s="761" customFormat="1" ht="30.75" customHeight="1">
      <c r="A53" s="2089" t="s">
        <v>1213</v>
      </c>
      <c r="B53" s="2013" t="s">
        <v>1089</v>
      </c>
      <c r="C53" s="1002">
        <f ca="1">ROUND(IF(F53="押一",C49/12*F11,IF(F53="押二",C49/12*2*F11,IF(F53="押三",C49/12*3*F11,C54*F11))),0)</f>
        <v>0</v>
      </c>
      <c r="D53" s="1982" t="s">
        <v>1424</v>
      </c>
      <c r="E53" s="1983" t="s">
        <v>1091</v>
      </c>
      <c r="F53" s="1984"/>
      <c r="I53" s="2174" t="s">
        <v>1214</v>
      </c>
      <c r="J53" s="2175">
        <f ca="1">IF(M47="住宅",IF(D1="——",MAX(J51,L48),MAX(J51,L48-'数据-取费表'!B24)),IF(D1="——",MIN(J51,L48),MIN(J51,L48-'数据-取费表'!B24)))</f>
        <v>0</v>
      </c>
      <c r="K53" s="3674" t="s">
        <v>1215</v>
      </c>
      <c r="L53" s="3675"/>
      <c r="O53" s="2156" t="s">
        <v>1216</v>
      </c>
      <c r="P53" s="2157" t="s">
        <v>1217</v>
      </c>
      <c r="Q53" s="2196" t="e">
        <f ca="1">Q47+Q48</f>
        <v>#DIV/0!</v>
      </c>
      <c r="R53" s="2196" t="s">
        <v>1218</v>
      </c>
    </row>
    <row r="54" spans="1:18" s="761" customFormat="1">
      <c r="A54" s="2073"/>
      <c r="B54" s="2090" t="s">
        <v>1420</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t="e">
        <f ca="1">ROUND(IF(J47="钢混",J57/J50,1-(1-2%)*(J50-J57)/J50),3)</f>
        <v>#DIV/0!</v>
      </c>
      <c r="K55" s="2181" t="s">
        <v>1221</v>
      </c>
      <c r="L55" s="2182"/>
      <c r="O55" s="2149" t="s">
        <v>1176</v>
      </c>
      <c r="P55" s="2150" t="s">
        <v>1177</v>
      </c>
      <c r="Q55" s="2195" t="s">
        <v>1178</v>
      </c>
      <c r="R55" s="2195" t="s">
        <v>1179</v>
      </c>
    </row>
    <row r="56" spans="1:18" s="761" customFormat="1" ht="36" customHeight="1">
      <c r="A56" s="2093">
        <v>2</v>
      </c>
      <c r="B56" s="2094" t="s">
        <v>1096</v>
      </c>
      <c r="C56" s="414">
        <f ca="1">C13</f>
        <v>0</v>
      </c>
      <c r="D56" s="2095"/>
      <c r="E56" s="2096"/>
      <c r="F56" s="2092"/>
      <c r="I56" s="2183" t="s">
        <v>1222</v>
      </c>
      <c r="J56" s="2184"/>
      <c r="K56" s="2158" t="s">
        <v>1224</v>
      </c>
      <c r="L56" s="2161">
        <f ca="1">IF(L48&lt;J51,"——",L48-J51)</f>
        <v>0</v>
      </c>
      <c r="O56" s="2156" t="s">
        <v>1183</v>
      </c>
      <c r="P56" s="2157" t="s">
        <v>1184</v>
      </c>
      <c r="Q56" s="2196" t="e">
        <f ca="1">C40+J29</f>
        <v>#DIV/0!</v>
      </c>
      <c r="R56" s="2196" t="s">
        <v>1185</v>
      </c>
    </row>
    <row r="57" spans="1:18" s="761" customFormat="1" ht="24">
      <c r="A57" s="2097"/>
      <c r="B57" s="2098" t="s">
        <v>1163</v>
      </c>
      <c r="C57" s="424">
        <f ca="1">C29</f>
        <v>0</v>
      </c>
      <c r="D57" s="2099"/>
      <c r="E57" s="2100"/>
      <c r="F57" s="2101"/>
      <c r="I57" s="2185" t="s">
        <v>1225</v>
      </c>
      <c r="J57" s="2186">
        <f ca="1">IF(OR(M47="住宅",J51&lt;L48,J56="是"),"——",J51-L48)</f>
        <v>0</v>
      </c>
      <c r="K57" s="2158" t="s">
        <v>1425</v>
      </c>
      <c r="L57" s="2161">
        <f ca="1">IF(L48&lt;J51,"——",IF(L55="比较法",L49,IF(L55="基准地价",L50,L51)))</f>
        <v>0</v>
      </c>
      <c r="O57" s="2156" t="s">
        <v>1190</v>
      </c>
      <c r="P57" s="2157" t="s">
        <v>1227</v>
      </c>
      <c r="Q57" s="2196" t="e">
        <f ca="1">L60</f>
        <v>#DIV/0!</v>
      </c>
      <c r="R57" s="2196" t="s">
        <v>1228</v>
      </c>
    </row>
    <row r="58" spans="1:18" s="761" customFormat="1" ht="24">
      <c r="A58" s="2102" t="s">
        <v>1106</v>
      </c>
      <c r="B58" s="2094" t="s">
        <v>1107</v>
      </c>
      <c r="C58" s="1002">
        <f ca="1">ROUND(C59+C64+C65+C66,0)</f>
        <v>0</v>
      </c>
      <c r="D58" s="2103" t="s">
        <v>1108</v>
      </c>
      <c r="E58" s="2104"/>
      <c r="F58" s="2071"/>
      <c r="I58" s="2185" t="s">
        <v>1229</v>
      </c>
      <c r="J58" s="2187" t="e">
        <f ca="1">IF(J55&lt;0.4,0.4,J55)</f>
        <v>#DIV/0!</v>
      </c>
      <c r="K58" s="2169" t="s">
        <v>1426</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IF(项目基本情况!B11="自然人","——",ROUND(C48*F60/(1+'数据-取费表'!C42),0))</f>
        <v>0</v>
      </c>
      <c r="D60" s="2106" t="s">
        <v>1119</v>
      </c>
      <c r="E60" s="2098" t="s">
        <v>1104</v>
      </c>
      <c r="F60" s="2017">
        <f t="shared" ref="F60:F66" si="0">F32</f>
        <v>5.6000000000000001E-2</v>
      </c>
      <c r="I60" s="2188" t="s">
        <v>1234</v>
      </c>
      <c r="J60" s="2189" t="e">
        <f ca="1">IF(OR(M47="住宅",J51&lt;L48,J56="是"),"0",ROUND(J59/(1+J52)^J53,0))</f>
        <v>#DIV/0!</v>
      </c>
      <c r="K60" s="2190" t="s">
        <v>1235</v>
      </c>
      <c r="L60" s="2189" t="e">
        <f ca="1">IF(OR(M47="住宅",L48&lt;J51),0,ROUND(L57*(L58/L59-1),0))</f>
        <v>#DIV/0!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IF(项目基本情况!B11="自然人","——",IF(D61="按租金收入计税",ROUND(C49*F61/(1+'数据-取费表'!C42),0),IF(D61="按房产原值计税",ROUND(C57*F61*0.7,0),INDIRECT("'数据-取费表'!Aj"&amp;$G$1))))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IF(项目基本情况!B11="自然人","——",ROUND(F62*F63,0))</f>
        <v>0</v>
      </c>
      <c r="D62" s="2108" t="s">
        <v>1127</v>
      </c>
      <c r="E62" s="2098" t="s">
        <v>1128</v>
      </c>
      <c r="F62" s="2016">
        <f t="shared" si="0"/>
        <v>0</v>
      </c>
      <c r="I62" s="2191" t="s">
        <v>1239</v>
      </c>
      <c r="J62" s="2192" t="s">
        <v>1240</v>
      </c>
      <c r="K62" s="2192" t="s">
        <v>1241</v>
      </c>
      <c r="L62" s="2192" t="s">
        <v>1242</v>
      </c>
      <c r="M62" s="2193" t="s">
        <v>1243</v>
      </c>
      <c r="O62" s="2156" t="s">
        <v>1216</v>
      </c>
      <c r="P62" s="2157" t="s">
        <v>1217</v>
      </c>
      <c r="Q62" s="2196" t="e">
        <f ca="1">Q56+Q57</f>
        <v>#DIV/0!</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ROUND(C57*F64,0)</f>
        <v>0</v>
      </c>
      <c r="D64" s="2106" t="s">
        <v>1168</v>
      </c>
      <c r="E64" s="2098" t="s">
        <v>1104</v>
      </c>
      <c r="F64" s="2038">
        <f t="shared" ca="1" si="0"/>
        <v>0</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ROUND(C56*F65,0)</f>
        <v>0</v>
      </c>
      <c r="D65" s="2106" t="s">
        <v>1139</v>
      </c>
      <c r="E65" s="2098" t="s">
        <v>1104</v>
      </c>
      <c r="F65" s="2039">
        <f t="shared" ca="1" si="0"/>
        <v>0</v>
      </c>
      <c r="I65" s="2191" t="s">
        <v>1247</v>
      </c>
      <c r="J65" s="2192">
        <v>40</v>
      </c>
      <c r="K65" s="2192">
        <v>30</v>
      </c>
      <c r="L65" s="2192">
        <v>50</v>
      </c>
      <c r="M65" s="2194">
        <v>0.02</v>
      </c>
      <c r="O65" s="2156" t="s">
        <v>1183</v>
      </c>
      <c r="P65" s="2157" t="s">
        <v>1184</v>
      </c>
      <c r="Q65" s="2196" t="e">
        <f ca="1">C40+J29</f>
        <v>#DIV/0!</v>
      </c>
      <c r="R65" s="2196" t="s">
        <v>1185</v>
      </c>
    </row>
    <row r="66" spans="1:18" s="761" customFormat="1" ht="15.75">
      <c r="A66" s="2001" t="s">
        <v>951</v>
      </c>
      <c r="B66" s="2098" t="s">
        <v>1124</v>
      </c>
      <c r="C66" s="1003">
        <f ca="1">ROUND(C48*F66,0)</f>
        <v>0</v>
      </c>
      <c r="D66" s="2106" t="s">
        <v>1142</v>
      </c>
      <c r="E66" s="2098" t="s">
        <v>1104</v>
      </c>
      <c r="F66" s="1980">
        <f t="shared" ca="1" si="0"/>
        <v>0</v>
      </c>
      <c r="O66" s="2156" t="s">
        <v>1190</v>
      </c>
      <c r="P66" s="2157" t="s">
        <v>1227</v>
      </c>
      <c r="Q66" s="2196" t="e">
        <f ca="1">L60</f>
        <v>#DIV/0!</v>
      </c>
      <c r="R66" s="2196" t="s">
        <v>1228</v>
      </c>
    </row>
    <row r="67" spans="1:18" s="761" customFormat="1" ht="15.75">
      <c r="A67" s="2093" t="s">
        <v>1145</v>
      </c>
      <c r="B67" s="2198" t="s">
        <v>1146</v>
      </c>
      <c r="C67" s="1002">
        <f ca="1">C48-C58</f>
        <v>0</v>
      </c>
      <c r="D67" s="2105" t="s">
        <v>1147</v>
      </c>
      <c r="E67" s="2199"/>
      <c r="F67" s="2200"/>
      <c r="O67" s="2164" t="s">
        <v>1198</v>
      </c>
      <c r="P67" s="2157" t="s">
        <v>1231</v>
      </c>
      <c r="Q67" s="2220">
        <f ca="1">L51</f>
        <v>0</v>
      </c>
      <c r="R67" s="2196" t="s">
        <v>1248</v>
      </c>
    </row>
    <row r="68" spans="1:18" s="761" customFormat="1" ht="15.75">
      <c r="A68" s="2201" t="s">
        <v>1151</v>
      </c>
      <c r="B68" s="2202" t="s">
        <v>1169</v>
      </c>
      <c r="C68" s="2044" t="e">
        <f ca="1">ROUND(C67*(1-((1+F70)/(1+F68))^F69)/(F68-F70),0)</f>
        <v>#DIV/0!</v>
      </c>
      <c r="D68" s="2108" t="s">
        <v>1153</v>
      </c>
      <c r="E68" s="2098" t="s">
        <v>1154</v>
      </c>
      <c r="F68" s="1980">
        <f ca="1">F40</f>
        <v>0</v>
      </c>
      <c r="O68" s="2164" t="s">
        <v>1202</v>
      </c>
      <c r="P68" s="2219" t="s">
        <v>1249</v>
      </c>
      <c r="Q68" s="2196">
        <f ca="1">ROUND(Q69-Q70*Q71,0)</f>
        <v>0</v>
      </c>
      <c r="R68" s="2196" t="s">
        <v>1250</v>
      </c>
    </row>
    <row r="69" spans="1:18" s="761" customFormat="1">
      <c r="A69" s="2203"/>
      <c r="B69" s="2204"/>
      <c r="C69" s="1979"/>
      <c r="D69" s="2205" t="s">
        <v>1157</v>
      </c>
      <c r="E69" s="2098" t="s">
        <v>1158</v>
      </c>
      <c r="F69" s="2048">
        <f ca="1">F41</f>
        <v>0</v>
      </c>
      <c r="O69" s="2164" t="s">
        <v>1251</v>
      </c>
      <c r="P69" s="2219" t="s">
        <v>1252</v>
      </c>
      <c r="Q69" s="2196">
        <f ca="1">C39</f>
        <v>0</v>
      </c>
      <c r="R69" s="2196" t="s">
        <v>1185</v>
      </c>
    </row>
    <row r="70" spans="1:18" s="761" customFormat="1">
      <c r="A70" s="2206"/>
      <c r="B70" s="2207"/>
      <c r="C70" s="1998"/>
      <c r="D70" s="2110"/>
      <c r="E70" s="2098" t="s">
        <v>1161</v>
      </c>
      <c r="F70" s="2088"/>
      <c r="O70" s="2164" t="s">
        <v>1253</v>
      </c>
      <c r="P70" s="2219" t="s">
        <v>1254</v>
      </c>
      <c r="Q70" s="2196">
        <f ca="1">C13</f>
        <v>0</v>
      </c>
      <c r="R70" s="2196" t="s">
        <v>1185</v>
      </c>
    </row>
    <row r="71" spans="1:18" s="761" customFormat="1">
      <c r="A71" s="2208" t="s">
        <v>1164</v>
      </c>
      <c r="B71" s="2209" t="s">
        <v>1170</v>
      </c>
      <c r="C71" s="2052" t="e">
        <f ca="1">ROUND(C68/F71,0)</f>
        <v>#DIV/0!</v>
      </c>
      <c r="D71" s="2210" t="s">
        <v>1171</v>
      </c>
      <c r="E71" s="2211" t="s">
        <v>1172</v>
      </c>
      <c r="F71" s="2055">
        <f ca="1">F43</f>
        <v>0</v>
      </c>
      <c r="O71" s="2164" t="s">
        <v>1255</v>
      </c>
      <c r="P71" s="2219" t="s">
        <v>1256</v>
      </c>
      <c r="Q71" s="2197">
        <f ca="1">C76</f>
        <v>0</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0</v>
      </c>
      <c r="D75" s="761"/>
      <c r="E75" s="761"/>
      <c r="F75" s="761"/>
      <c r="K75" s="2143"/>
      <c r="L75" s="761"/>
      <c r="O75" s="2156" t="s">
        <v>1216</v>
      </c>
      <c r="P75" s="2157" t="s">
        <v>1217</v>
      </c>
      <c r="Q75" s="2196" t="e">
        <f ca="1">Q65+Q66</f>
        <v>#DIV/0!</v>
      </c>
      <c r="R75" s="2196" t="s">
        <v>1218</v>
      </c>
    </row>
    <row r="76" spans="1:18">
      <c r="B76" s="546" t="s">
        <v>1260</v>
      </c>
      <c r="C76" s="2215">
        <f ca="1">INDIRECT("'数据-取费表'!j"&amp;$G$1)</f>
        <v>0</v>
      </c>
      <c r="I76" s="761"/>
      <c r="J76" s="761"/>
      <c r="K76" s="2143"/>
      <c r="L76" s="761"/>
    </row>
    <row r="77" spans="1:18">
      <c r="B77" s="2216" t="s">
        <v>1261</v>
      </c>
      <c r="C77" s="2217"/>
      <c r="I77" s="761"/>
      <c r="J77" s="761"/>
      <c r="K77" s="2143"/>
      <c r="L77" s="761"/>
    </row>
    <row r="78" spans="1:18">
      <c r="B78" s="454" t="s">
        <v>1262</v>
      </c>
      <c r="C78" s="2218"/>
    </row>
    <row r="79" spans="1:18">
      <c r="B79" s="2213" t="s">
        <v>1263</v>
      </c>
      <c r="C79" s="457" t="e">
        <f ca="1">1-C80</f>
        <v>#DIV/0!</v>
      </c>
    </row>
    <row r="80" spans="1:18">
      <c r="B80" s="2213" t="s">
        <v>1264</v>
      </c>
      <c r="C80" s="457" t="e">
        <f ca="1">ROUND(C75/C39,3)</f>
        <v>#DIV/0!</v>
      </c>
    </row>
    <row r="81" spans="2:3">
      <c r="B81" s="454" t="s">
        <v>1265</v>
      </c>
      <c r="C81" s="424"/>
    </row>
    <row r="82" spans="2:3">
      <c r="B82" s="456" t="s">
        <v>1266</v>
      </c>
      <c r="C82" s="458" t="e">
        <f ca="1">1-C83</f>
        <v>#DIV/0!</v>
      </c>
    </row>
    <row r="83" spans="2:3">
      <c r="B83" s="456" t="s">
        <v>1267</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1427</v>
      </c>
      <c r="B1" s="1770"/>
      <c r="C1" s="1771"/>
      <c r="D1" s="1771"/>
      <c r="E1" s="1772"/>
      <c r="F1" s="1773"/>
      <c r="G1" s="1774"/>
      <c r="J1" s="1876" t="s">
        <v>1428</v>
      </c>
      <c r="K1" s="1877"/>
      <c r="L1" s="1877"/>
      <c r="M1" s="1877"/>
      <c r="N1" s="1877"/>
      <c r="O1" s="1877"/>
      <c r="P1" s="1877"/>
      <c r="Q1" s="1877"/>
      <c r="R1" s="1916"/>
      <c r="S1" s="1917"/>
      <c r="T1" s="1917"/>
      <c r="U1" s="1917"/>
    </row>
    <row r="2" spans="1:22" s="1762" customFormat="1" ht="13.15" customHeight="1">
      <c r="A2" s="1775" t="s">
        <v>1070</v>
      </c>
      <c r="B2" s="1776" t="e">
        <f>IF(D2="——",C40,C40+E2)</f>
        <v>#DIV/0!</v>
      </c>
      <c r="C2" s="1771" t="s">
        <v>1071</v>
      </c>
      <c r="D2" s="1777" t="s">
        <v>1429</v>
      </c>
      <c r="E2" s="1778"/>
      <c r="F2" s="1779"/>
      <c r="G2" s="1780"/>
      <c r="H2" s="1781"/>
      <c r="I2" s="1878"/>
      <c r="J2" s="3682" t="s">
        <v>1430</v>
      </c>
      <c r="K2" s="3683"/>
      <c r="L2" s="1879" t="s">
        <v>1431</v>
      </c>
      <c r="M2" s="1879" t="s">
        <v>1432</v>
      </c>
      <c r="N2" s="1879" t="s">
        <v>1433</v>
      </c>
      <c r="O2" s="1879" t="s">
        <v>1434</v>
      </c>
      <c r="P2" s="1879" t="s">
        <v>1435</v>
      </c>
      <c r="Q2" s="1918" t="s">
        <v>1436</v>
      </c>
      <c r="R2" s="1919" t="s">
        <v>1437</v>
      </c>
      <c r="S2" s="1917"/>
      <c r="T2" s="1917"/>
      <c r="U2" s="1917"/>
      <c r="V2" s="1878"/>
    </row>
    <row r="3" spans="1:22" s="1762" customFormat="1" ht="13.15" customHeight="1">
      <c r="A3" s="1782" t="s">
        <v>1072</v>
      </c>
      <c r="B3" s="1783" t="e">
        <f>ROUND(B2*10000/B4,0)</f>
        <v>#DIV/0!</v>
      </c>
      <c r="C3" s="1771" t="s">
        <v>1073</v>
      </c>
      <c r="D3" s="1771"/>
      <c r="E3" s="1784"/>
      <c r="F3" s="1779"/>
      <c r="G3" s="1780"/>
      <c r="H3" s="1781"/>
      <c r="I3" s="1878"/>
      <c r="J3" s="3684" t="s">
        <v>1438</v>
      </c>
      <c r="K3" s="3685"/>
      <c r="L3" s="1880"/>
      <c r="M3" s="1880"/>
      <c r="N3" s="1880"/>
      <c r="O3" s="1880"/>
      <c r="P3" s="1880"/>
      <c r="Q3" s="1920"/>
      <c r="R3" s="1921">
        <f>SUM(L3:Q3)</f>
        <v>0</v>
      </c>
      <c r="S3" s="1917"/>
      <c r="T3" s="1917"/>
      <c r="U3" s="1917"/>
      <c r="V3" s="1878"/>
    </row>
    <row r="4" spans="1:22" s="1762" customFormat="1" ht="13.15" customHeight="1">
      <c r="A4" s="1785" t="s">
        <v>1439</v>
      </c>
      <c r="B4" s="1786"/>
      <c r="C4" s="1771"/>
      <c r="D4" s="1771"/>
      <c r="E4" s="1784"/>
      <c r="F4" s="1779"/>
      <c r="G4" s="1780"/>
      <c r="H4" s="1781"/>
      <c r="I4" s="1878"/>
      <c r="J4" s="3684" t="s">
        <v>1440</v>
      </c>
      <c r="K4" s="3685"/>
      <c r="L4" s="1881"/>
      <c r="M4" s="1881"/>
      <c r="N4" s="1881"/>
      <c r="O4" s="1881"/>
      <c r="P4" s="1881"/>
      <c r="Q4" s="1922"/>
      <c r="R4" s="1923">
        <f>SUM(L4:Q4)</f>
        <v>0</v>
      </c>
      <c r="S4" s="1917"/>
      <c r="T4" s="1917"/>
      <c r="U4" s="1917"/>
      <c r="V4" s="1878"/>
    </row>
    <row r="5" spans="1:22" s="1762" customFormat="1" ht="13.15" customHeight="1">
      <c r="A5" s="1787" t="s">
        <v>1441</v>
      </c>
      <c r="B5" s="1788"/>
      <c r="C5" s="1771"/>
      <c r="D5" s="1789"/>
      <c r="E5" s="1779"/>
      <c r="F5" s="1779"/>
      <c r="G5" s="1780"/>
      <c r="H5" s="1781"/>
      <c r="I5" s="1878"/>
      <c r="J5" s="1882" t="s">
        <v>1442</v>
      </c>
      <c r="K5" s="1883"/>
      <c r="L5" s="1883"/>
      <c r="M5" s="1884"/>
      <c r="N5" s="1884"/>
      <c r="O5" s="1884"/>
      <c r="P5" s="1884"/>
      <c r="Q5" s="1884"/>
      <c r="R5" s="1919">
        <f>SUM(R14,R19,R24,R25,R27,R28)</f>
        <v>0</v>
      </c>
      <c r="S5" s="1917"/>
      <c r="T5" s="1917" t="s">
        <v>1443</v>
      </c>
      <c r="U5" s="1917" t="e">
        <f>ROUND(R5*10000/365/R3,1)</f>
        <v>#DIV/0!</v>
      </c>
      <c r="V5" s="1878"/>
    </row>
    <row r="6" spans="1:22" s="1762" customFormat="1" ht="13.15" customHeight="1">
      <c r="A6" s="3686" t="s">
        <v>1444</v>
      </c>
      <c r="B6" s="3687"/>
      <c r="C6" s="3688"/>
      <c r="D6" s="1790"/>
      <c r="E6" s="1791"/>
      <c r="F6" s="1792"/>
      <c r="G6" s="1793"/>
      <c r="H6" s="1781"/>
      <c r="I6" s="1878"/>
      <c r="J6" s="3695">
        <v>1</v>
      </c>
      <c r="K6" s="3698" t="s">
        <v>1445</v>
      </c>
      <c r="L6" s="1886" t="s">
        <v>1446</v>
      </c>
      <c r="M6" s="1887" t="s">
        <v>1447</v>
      </c>
      <c r="N6" s="1887" t="s">
        <v>1448</v>
      </c>
      <c r="O6" s="1887" t="s">
        <v>1449</v>
      </c>
      <c r="P6" s="1887" t="s">
        <v>1450</v>
      </c>
      <c r="Q6" s="1887" t="s">
        <v>1451</v>
      </c>
      <c r="R6" s="1921" t="s">
        <v>1452</v>
      </c>
      <c r="S6" s="1917"/>
      <c r="T6" s="1917" t="s">
        <v>1453</v>
      </c>
      <c r="U6" s="1917"/>
      <c r="V6" s="1878"/>
    </row>
    <row r="7" spans="1:22" s="1762" customFormat="1" ht="13.15" customHeight="1">
      <c r="A7" s="1794" t="s">
        <v>1454</v>
      </c>
      <c r="B7" s="1795"/>
      <c r="C7" s="1796"/>
      <c r="D7" s="1797">
        <f>SUM(D9,D10,D11,D17,0)</f>
        <v>0</v>
      </c>
      <c r="E7" s="1798" t="e">
        <f>E9+E10+E11+E17</f>
        <v>#DIV/0!</v>
      </c>
      <c r="F7" s="1799"/>
      <c r="G7" s="1800"/>
      <c r="H7" s="1781"/>
      <c r="I7" s="1878"/>
      <c r="J7" s="3695"/>
      <c r="K7" s="3699"/>
      <c r="L7" s="1888" t="s">
        <v>1455</v>
      </c>
      <c r="M7" s="1889"/>
      <c r="N7" s="1786"/>
      <c r="O7" s="1890"/>
      <c r="P7" s="1890"/>
      <c r="Q7" s="1819">
        <v>365</v>
      </c>
      <c r="R7" s="1924">
        <f>ROUND(M7*N7*O7*P7*Q7/10000,0)</f>
        <v>0</v>
      </c>
      <c r="S7" s="1917"/>
      <c r="T7" s="1917" t="s">
        <v>1456</v>
      </c>
      <c r="U7" s="1917"/>
      <c r="V7" s="1878"/>
    </row>
    <row r="8" spans="1:22" s="1762" customFormat="1" ht="13.15" customHeight="1">
      <c r="A8" s="1801" t="s">
        <v>1457</v>
      </c>
      <c r="B8" s="3689" t="s">
        <v>1458</v>
      </c>
      <c r="C8" s="3690"/>
      <c r="D8" s="1804" t="s">
        <v>1459</v>
      </c>
      <c r="E8" s="1805" t="s">
        <v>1460</v>
      </c>
      <c r="F8" s="1806" t="s">
        <v>1461</v>
      </c>
      <c r="G8" s="1807"/>
      <c r="H8" s="1781"/>
      <c r="I8" s="1878"/>
      <c r="J8" s="3695"/>
      <c r="K8" s="3699"/>
      <c r="L8" s="1888" t="s">
        <v>1462</v>
      </c>
      <c r="M8" s="1889"/>
      <c r="N8" s="1786"/>
      <c r="O8" s="1890"/>
      <c r="P8" s="1890"/>
      <c r="Q8" s="1819">
        <v>365</v>
      </c>
      <c r="R8" s="1924">
        <f t="shared" ref="R8:R13" si="0">ROUND(M8*N8*O8*P8*Q8/10000,0)</f>
        <v>0</v>
      </c>
      <c r="S8" s="1917"/>
      <c r="T8" s="1917" t="s">
        <v>1463</v>
      </c>
      <c r="U8" s="1917"/>
      <c r="V8" s="1878"/>
    </row>
    <row r="9" spans="1:22" s="1762" customFormat="1" ht="13.15" customHeight="1">
      <c r="A9" s="1801">
        <v>1</v>
      </c>
      <c r="B9" s="3689" t="s">
        <v>1464</v>
      </c>
      <c r="C9" s="3690"/>
      <c r="D9" s="1804">
        <f>ROUND(D6*E9,0)</f>
        <v>0</v>
      </c>
      <c r="E9" s="1808"/>
      <c r="F9" s="1809" t="s">
        <v>1465</v>
      </c>
      <c r="G9" s="1793"/>
      <c r="H9" s="1781"/>
      <c r="I9" s="1878"/>
      <c r="J9" s="3695"/>
      <c r="K9" s="3699"/>
      <c r="L9" s="1888" t="s">
        <v>1466</v>
      </c>
      <c r="M9" s="1889"/>
      <c r="N9" s="1786"/>
      <c r="O9" s="1890"/>
      <c r="P9" s="1890"/>
      <c r="Q9" s="1819">
        <v>365</v>
      </c>
      <c r="R9" s="1924">
        <f t="shared" si="0"/>
        <v>0</v>
      </c>
      <c r="S9" s="1917"/>
      <c r="T9" s="1917"/>
      <c r="U9" s="1917"/>
      <c r="V9" s="1878"/>
    </row>
    <row r="10" spans="1:22" s="1762" customFormat="1" ht="13.15" customHeight="1">
      <c r="A10" s="1801">
        <v>2</v>
      </c>
      <c r="B10" s="3689" t="s">
        <v>1467</v>
      </c>
      <c r="C10" s="3690"/>
      <c r="D10" s="1804">
        <f>ROUND(D6*E10,0)</f>
        <v>0</v>
      </c>
      <c r="E10" s="1808"/>
      <c r="F10" s="1809" t="s">
        <v>1468</v>
      </c>
      <c r="G10" s="1793"/>
      <c r="H10" s="1781"/>
      <c r="I10" s="1878"/>
      <c r="J10" s="3695"/>
      <c r="K10" s="3699"/>
      <c r="L10" s="1888" t="s">
        <v>1469</v>
      </c>
      <c r="M10" s="1889"/>
      <c r="N10" s="1786"/>
      <c r="O10" s="1890"/>
      <c r="P10" s="1890"/>
      <c r="Q10" s="1819">
        <v>365</v>
      </c>
      <c r="R10" s="1924">
        <f t="shared" si="0"/>
        <v>0</v>
      </c>
      <c r="S10" s="1917"/>
      <c r="T10" s="1917"/>
      <c r="U10" s="1917"/>
      <c r="V10" s="1878"/>
    </row>
    <row r="11" spans="1:22" s="1762" customFormat="1" ht="13.15" customHeight="1">
      <c r="A11" s="1801">
        <v>3</v>
      </c>
      <c r="B11" s="3689" t="s">
        <v>1470</v>
      </c>
      <c r="C11" s="3690"/>
      <c r="D11" s="1804">
        <f>D12+D14+D15+D16</f>
        <v>0</v>
      </c>
      <c r="E11" s="1810" t="e">
        <f>D11/D6</f>
        <v>#DIV/0!</v>
      </c>
      <c r="F11" s="1806"/>
      <c r="G11" s="1807"/>
      <c r="H11" s="1781"/>
      <c r="I11" s="1878"/>
      <c r="J11" s="3695"/>
      <c r="K11" s="3699"/>
      <c r="L11" s="1888" t="s">
        <v>1471</v>
      </c>
      <c r="M11" s="1889"/>
      <c r="N11" s="1786"/>
      <c r="O11" s="1890"/>
      <c r="P11" s="1890"/>
      <c r="Q11" s="1819">
        <v>365</v>
      </c>
      <c r="R11" s="1924">
        <f t="shared" si="0"/>
        <v>0</v>
      </c>
      <c r="S11" s="1917"/>
      <c r="T11" s="1917"/>
      <c r="U11" s="1917"/>
      <c r="V11" s="1878"/>
    </row>
    <row r="12" spans="1:22" s="1762" customFormat="1" ht="13.15" customHeight="1">
      <c r="A12" s="1811" t="s">
        <v>1472</v>
      </c>
      <c r="B12" s="3691" t="s">
        <v>1473</v>
      </c>
      <c r="C12" s="3692"/>
      <c r="D12" s="1814">
        <f>ROUND(D13*1.2%*(1-30%),0)</f>
        <v>0</v>
      </c>
      <c r="E12" s="1815">
        <v>1.2E-2</v>
      </c>
      <c r="F12" s="1806" t="s">
        <v>1474</v>
      </c>
      <c r="G12" s="1807"/>
      <c r="H12" s="1781"/>
      <c r="I12" s="1878"/>
      <c r="J12" s="3695"/>
      <c r="K12" s="3699"/>
      <c r="L12" s="1888" t="s">
        <v>1475</v>
      </c>
      <c r="M12" s="1889"/>
      <c r="N12" s="1786"/>
      <c r="O12" s="1890"/>
      <c r="P12" s="1890"/>
      <c r="Q12" s="1819">
        <v>365</v>
      </c>
      <c r="R12" s="1924">
        <f t="shared" si="0"/>
        <v>0</v>
      </c>
      <c r="S12" s="1917"/>
      <c r="T12" s="1917"/>
      <c r="U12" s="1917"/>
      <c r="V12" s="1878"/>
    </row>
    <row r="13" spans="1:22" s="1762" customFormat="1" ht="13.15" customHeight="1">
      <c r="A13" s="1811"/>
      <c r="B13" s="1812"/>
      <c r="C13" s="1816" t="s">
        <v>1476</v>
      </c>
      <c r="D13" s="1817"/>
      <c r="E13" s="1818"/>
      <c r="F13" s="1806"/>
      <c r="G13" s="1807"/>
      <c r="H13" s="1781"/>
      <c r="I13" s="1878"/>
      <c r="J13" s="3695"/>
      <c r="K13" s="3699"/>
      <c r="L13" s="1888" t="s">
        <v>1477</v>
      </c>
      <c r="M13" s="1889"/>
      <c r="N13" s="1786"/>
      <c r="O13" s="1890"/>
      <c r="P13" s="1890"/>
      <c r="Q13" s="1819">
        <v>365</v>
      </c>
      <c r="R13" s="1924">
        <f t="shared" si="0"/>
        <v>0</v>
      </c>
      <c r="S13" s="1917"/>
      <c r="T13" s="1917"/>
      <c r="U13" s="1917"/>
      <c r="V13" s="1878"/>
    </row>
    <row r="14" spans="1:22" s="1762" customFormat="1" ht="13.15" customHeight="1">
      <c r="A14" s="1811" t="s">
        <v>1478</v>
      </c>
      <c r="B14" s="3691" t="s">
        <v>1479</v>
      </c>
      <c r="C14" s="3692"/>
      <c r="D14" s="1814">
        <f>ROUND(E14*B5/10000,0)</f>
        <v>0</v>
      </c>
      <c r="E14" s="1819"/>
      <c r="F14" s="1806" t="s">
        <v>1480</v>
      </c>
      <c r="G14" s="1807"/>
      <c r="H14" s="1781"/>
      <c r="I14" s="1878"/>
      <c r="J14" s="3695"/>
      <c r="K14" s="3700"/>
      <c r="L14" s="1891" t="s">
        <v>1481</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1482</v>
      </c>
      <c r="B15" s="3691" t="s">
        <v>1483</v>
      </c>
      <c r="C15" s="3692"/>
      <c r="D15" s="1814">
        <f>ROUND(D6*E15,0)</f>
        <v>0</v>
      </c>
      <c r="E15" s="1815">
        <v>5.5E-2</v>
      </c>
      <c r="F15" s="1806" t="s">
        <v>1484</v>
      </c>
      <c r="G15" s="1793"/>
      <c r="H15" s="1781"/>
      <c r="I15" s="1878"/>
      <c r="J15" s="3695">
        <v>2</v>
      </c>
      <c r="K15" s="3698" t="s">
        <v>1485</v>
      </c>
      <c r="L15" s="1888" t="s">
        <v>1486</v>
      </c>
      <c r="M15" s="1889" t="s">
        <v>1487</v>
      </c>
      <c r="N15" s="1889" t="s">
        <v>1488</v>
      </c>
      <c r="O15" s="1890" t="s">
        <v>1489</v>
      </c>
      <c r="P15" s="1890" t="s">
        <v>1451</v>
      </c>
      <c r="Q15" s="1786" t="s">
        <v>124</v>
      </c>
      <c r="R15" s="1926" t="s">
        <v>1452</v>
      </c>
      <c r="S15" s="1917"/>
      <c r="T15" s="1917"/>
      <c r="U15" s="1917"/>
      <c r="V15" s="1878"/>
    </row>
    <row r="16" spans="1:22" s="1762" customFormat="1" ht="13.15" customHeight="1">
      <c r="A16" s="1811" t="s">
        <v>1490</v>
      </c>
      <c r="B16" s="3691" t="s">
        <v>1491</v>
      </c>
      <c r="C16" s="3692"/>
      <c r="D16" s="1820">
        <f>D6*E16</f>
        <v>0</v>
      </c>
      <c r="E16" s="1821"/>
      <c r="F16" s="1809" t="s">
        <v>1492</v>
      </c>
      <c r="G16" s="1793"/>
      <c r="H16" s="1781"/>
      <c r="I16" s="1878"/>
      <c r="J16" s="3695"/>
      <c r="K16" s="3699"/>
      <c r="L16" s="1888" t="s">
        <v>1493</v>
      </c>
      <c r="M16" s="1889"/>
      <c r="N16" s="1889"/>
      <c r="O16" s="1890"/>
      <c r="P16" s="1819">
        <v>365</v>
      </c>
      <c r="Q16" s="1786"/>
      <c r="R16" s="1926">
        <f>ROUND(M16*N16*O16*P16/10000,0)</f>
        <v>0</v>
      </c>
      <c r="S16" s="1917"/>
      <c r="T16" s="1917"/>
      <c r="U16" s="1917"/>
      <c r="V16" s="1878"/>
    </row>
    <row r="17" spans="1:22" s="1762" customFormat="1" ht="13.15" customHeight="1">
      <c r="A17" s="1822">
        <v>4</v>
      </c>
      <c r="B17" s="3693" t="s">
        <v>1494</v>
      </c>
      <c r="C17" s="3694"/>
      <c r="D17" s="1823">
        <f>ROUND(D6*E17,0)</f>
        <v>0</v>
      </c>
      <c r="E17" s="1824"/>
      <c r="F17" s="1825" t="s">
        <v>1495</v>
      </c>
      <c r="G17" s="1793"/>
      <c r="H17" s="1781"/>
      <c r="I17" s="1878"/>
      <c r="J17" s="3695"/>
      <c r="K17" s="3699"/>
      <c r="L17" s="1888" t="s">
        <v>1496</v>
      </c>
      <c r="M17" s="1889"/>
      <c r="N17" s="1889"/>
      <c r="O17" s="1890"/>
      <c r="P17" s="1819">
        <v>365</v>
      </c>
      <c r="Q17" s="1786"/>
      <c r="R17" s="1926">
        <f>ROUND(M17*N17*O17*P17/10000,0)</f>
        <v>0</v>
      </c>
      <c r="S17" s="1917"/>
      <c r="T17" s="1917"/>
      <c r="U17" s="1917"/>
      <c r="V17" s="1878"/>
    </row>
    <row r="18" spans="1:22" s="1762" customFormat="1" ht="13.15" customHeight="1">
      <c r="A18" s="1794" t="s">
        <v>1497</v>
      </c>
      <c r="B18" s="1795"/>
      <c r="C18" s="1795"/>
      <c r="D18" s="1826">
        <f>ROUND(D6*E18,0)</f>
        <v>0</v>
      </c>
      <c r="E18" s="1827"/>
      <c r="F18" s="1828" t="s">
        <v>1498</v>
      </c>
      <c r="G18" s="1793"/>
      <c r="H18" s="1781"/>
      <c r="I18" s="1878"/>
      <c r="J18" s="3695"/>
      <c r="K18" s="3699"/>
      <c r="L18" s="1888" t="s">
        <v>1499</v>
      </c>
      <c r="M18" s="1889"/>
      <c r="N18" s="1889"/>
      <c r="O18" s="1890"/>
      <c r="P18" s="1819">
        <v>365</v>
      </c>
      <c r="Q18" s="1786"/>
      <c r="R18" s="1926">
        <f>ROUND(M18*N18*O18*P18/10000,0)</f>
        <v>0</v>
      </c>
      <c r="S18" s="1917"/>
      <c r="T18" s="1917"/>
      <c r="U18" s="1917"/>
      <c r="V18" s="1878"/>
    </row>
    <row r="19" spans="1:22" s="1762" customFormat="1" ht="13.15" customHeight="1">
      <c r="A19" s="1829" t="s">
        <v>1500</v>
      </c>
      <c r="B19" s="1791"/>
      <c r="C19" s="1791"/>
      <c r="D19" s="1791"/>
      <c r="E19" s="1791"/>
      <c r="F19" s="1792"/>
      <c r="G19" s="1807"/>
      <c r="H19" s="1781"/>
      <c r="I19" s="1878"/>
      <c r="J19" s="3695"/>
      <c r="K19" s="3700"/>
      <c r="L19" s="1891" t="s">
        <v>1481</v>
      </c>
      <c r="M19" s="1892"/>
      <c r="N19" s="1892">
        <f>SUM(N16:N18)</f>
        <v>0</v>
      </c>
      <c r="O19" s="1893"/>
      <c r="P19" s="1894" t="s">
        <v>1501</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95">
        <v>3</v>
      </c>
      <c r="K20" s="3698" t="s">
        <v>1502</v>
      </c>
      <c r="L20" s="1888" t="s">
        <v>1503</v>
      </c>
      <c r="M20" s="1889" t="s">
        <v>1504</v>
      </c>
      <c r="N20" s="1895" t="s">
        <v>1505</v>
      </c>
      <c r="O20" s="1890" t="s">
        <v>1506</v>
      </c>
      <c r="P20" s="1819" t="s">
        <v>1451</v>
      </c>
      <c r="Q20" s="1786" t="s">
        <v>124</v>
      </c>
      <c r="R20" s="1926" t="s">
        <v>1452</v>
      </c>
      <c r="S20" s="1914"/>
      <c r="T20" s="1914"/>
      <c r="U20" s="1914"/>
      <c r="V20" s="1878"/>
    </row>
    <row r="21" spans="1:22" s="1762" customFormat="1" ht="13.15" customHeight="1">
      <c r="A21" s="1794"/>
      <c r="B21" s="1795"/>
      <c r="C21" s="1802" t="s">
        <v>1507</v>
      </c>
      <c r="D21" s="1831" t="s">
        <v>1508</v>
      </c>
      <c r="E21" s="1803" t="s">
        <v>1509</v>
      </c>
      <c r="F21" s="1830"/>
      <c r="G21" s="1807"/>
      <c r="H21" s="1781"/>
      <c r="I21" s="1878"/>
      <c r="J21" s="3695"/>
      <c r="K21" s="3699"/>
      <c r="L21" s="1888" t="s">
        <v>1510</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1511</v>
      </c>
      <c r="D22" s="1833" t="s">
        <v>1512</v>
      </c>
      <c r="E22" s="1834" t="s">
        <v>1513</v>
      </c>
      <c r="F22" s="1830"/>
      <c r="G22" s="1835"/>
      <c r="H22" s="1781"/>
      <c r="I22" s="1878"/>
      <c r="J22" s="3695"/>
      <c r="K22" s="3699"/>
      <c r="L22" s="1888" t="s">
        <v>1514</v>
      </c>
      <c r="M22" s="1889"/>
      <c r="N22" s="1889"/>
      <c r="O22" s="1890"/>
      <c r="P22" s="1819">
        <v>365</v>
      </c>
      <c r="Q22" s="1786"/>
      <c r="R22" s="1928">
        <f>ROUND(M22*N22*O22*P22/10000,0)</f>
        <v>0</v>
      </c>
      <c r="S22" s="1914"/>
      <c r="T22" s="1914"/>
      <c r="U22" s="1914"/>
      <c r="V22" s="1878"/>
    </row>
    <row r="23" spans="1:22" s="1762" customFormat="1" ht="13.15" customHeight="1">
      <c r="A23" s="1836">
        <v>1</v>
      </c>
      <c r="B23" s="1837" t="s">
        <v>1515</v>
      </c>
      <c r="C23" s="1838">
        <f>D6</f>
        <v>0</v>
      </c>
      <c r="D23" s="1839">
        <f>C23*(1+D24)</f>
        <v>0</v>
      </c>
      <c r="E23" s="1840">
        <f>D23*(1+E24)</f>
        <v>0</v>
      </c>
      <c r="F23" s="1841"/>
      <c r="G23" s="1842"/>
      <c r="H23" s="1781"/>
      <c r="I23" s="1878"/>
      <c r="J23" s="3695"/>
      <c r="K23" s="3699"/>
      <c r="L23" s="1888" t="s">
        <v>1516</v>
      </c>
      <c r="M23" s="1889"/>
      <c r="N23" s="1889"/>
      <c r="O23" s="1890"/>
      <c r="P23" s="1819">
        <v>365</v>
      </c>
      <c r="Q23" s="1786"/>
      <c r="R23" s="1928">
        <f>ROUND(M23*N23*O23*P23/10000,0)</f>
        <v>0</v>
      </c>
      <c r="S23" s="1917"/>
      <c r="T23" s="1917"/>
      <c r="U23" s="1917"/>
      <c r="V23" s="1878"/>
    </row>
    <row r="24" spans="1:22" s="1762" customFormat="1" ht="13.15" customHeight="1">
      <c r="A24" s="1843"/>
      <c r="B24" s="1844" t="s">
        <v>1517</v>
      </c>
      <c r="C24" s="1845"/>
      <c r="D24" s="1846"/>
      <c r="E24" s="1847"/>
      <c r="F24" s="1848"/>
      <c r="G24" s="1842"/>
      <c r="H24" s="1781"/>
      <c r="I24" s="1878"/>
      <c r="J24" s="3695"/>
      <c r="K24" s="3700"/>
      <c r="L24" s="1891" t="s">
        <v>1481</v>
      </c>
      <c r="M24" s="1892">
        <f>SUM(M21:M23)</f>
        <v>0</v>
      </c>
      <c r="N24" s="1892"/>
      <c r="O24" s="1893"/>
      <c r="P24" s="1894" t="s">
        <v>1501</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1518</v>
      </c>
      <c r="L25" s="1897"/>
      <c r="M25" s="1897"/>
      <c r="N25" s="1897"/>
      <c r="O25" s="1897"/>
      <c r="P25" s="1898"/>
      <c r="Q25" s="1929">
        <v>0</v>
      </c>
      <c r="R25" s="1927">
        <f>ROUND(R14*Q25,0)</f>
        <v>0</v>
      </c>
      <c r="S25" s="1917"/>
      <c r="T25" s="1917"/>
      <c r="U25" s="1917"/>
      <c r="V25" s="1904"/>
    </row>
    <row r="26" spans="1:22" s="1763" customFormat="1" ht="13.15" customHeight="1">
      <c r="A26" s="1836">
        <v>2</v>
      </c>
      <c r="B26" s="1837" t="s">
        <v>1519</v>
      </c>
      <c r="C26" s="1838">
        <f>D7</f>
        <v>0</v>
      </c>
      <c r="D26" s="1839">
        <f>D23*D27</f>
        <v>0</v>
      </c>
      <c r="E26" s="1840">
        <f>E23*E27</f>
        <v>0</v>
      </c>
      <c r="F26" s="1841"/>
      <c r="G26" s="1842"/>
      <c r="H26" s="1781"/>
      <c r="I26" s="1878"/>
      <c r="J26" s="3696">
        <v>5</v>
      </c>
      <c r="K26" s="1899" t="s">
        <v>1520</v>
      </c>
      <c r="L26" s="1900"/>
      <c r="M26" s="1901"/>
      <c r="N26" s="1902" t="s">
        <v>456</v>
      </c>
      <c r="O26" s="1902" t="s">
        <v>1521</v>
      </c>
      <c r="P26" s="1903" t="s">
        <v>1522</v>
      </c>
      <c r="Q26" s="1903" t="s">
        <v>1523</v>
      </c>
      <c r="R26" s="1921" t="s">
        <v>1452</v>
      </c>
      <c r="S26" s="1930"/>
      <c r="T26" s="1930"/>
      <c r="U26" s="1930"/>
      <c r="V26" s="1904"/>
    </row>
    <row r="27" spans="1:22" s="1762" customFormat="1" ht="13.15" customHeight="1">
      <c r="A27" s="1843"/>
      <c r="B27" s="1844" t="s">
        <v>1524</v>
      </c>
      <c r="C27" s="1849" t="e">
        <f>E7</f>
        <v>#DIV/0!</v>
      </c>
      <c r="D27" s="1846"/>
      <c r="E27" s="1847"/>
      <c r="F27" s="1848"/>
      <c r="G27" s="1842"/>
      <c r="H27" s="1850"/>
      <c r="I27" s="1904"/>
      <c r="J27" s="3697"/>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1525</v>
      </c>
      <c r="F28" s="1848"/>
      <c r="G28" s="1835"/>
      <c r="H28" s="1850"/>
      <c r="I28" s="1904"/>
      <c r="J28" s="1909">
        <v>6</v>
      </c>
      <c r="K28" s="1910" t="s">
        <v>1526</v>
      </c>
      <c r="L28" s="1911" t="s">
        <v>1527</v>
      </c>
      <c r="M28" s="1912"/>
      <c r="N28" s="1911" t="s">
        <v>1528</v>
      </c>
      <c r="O28" s="1913"/>
      <c r="P28" s="1911" t="s">
        <v>1529</v>
      </c>
      <c r="Q28" s="1932">
        <v>1.4999999999999999E-2</v>
      </c>
      <c r="R28" s="1933"/>
      <c r="S28" s="1914"/>
      <c r="T28" s="1914"/>
      <c r="U28" s="1914"/>
      <c r="V28" s="1904"/>
    </row>
    <row r="29" spans="1:22" s="1763" customFormat="1" ht="13.15" customHeight="1">
      <c r="A29" s="1836">
        <v>3</v>
      </c>
      <c r="B29" s="1837" t="s">
        <v>1530</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1524</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1531</v>
      </c>
      <c r="K31" s="1877"/>
      <c r="L31" s="1877"/>
      <c r="M31" s="1877"/>
      <c r="N31" s="1877"/>
      <c r="O31" s="1877"/>
      <c r="P31" s="1877"/>
      <c r="Q31" s="1877"/>
      <c r="R31" s="1916"/>
      <c r="S31" s="1914"/>
      <c r="T31" s="1917"/>
      <c r="U31" s="1917"/>
      <c r="V31" s="1904"/>
    </row>
    <row r="32" spans="1:22" s="1763" customFormat="1" ht="13.15" customHeight="1">
      <c r="A32" s="1836">
        <v>4</v>
      </c>
      <c r="B32" s="1837" t="s">
        <v>1532</v>
      </c>
      <c r="C32" s="1838">
        <f>C23-C26-C29</f>
        <v>0</v>
      </c>
      <c r="D32" s="1839">
        <f>D23-D26-D29</f>
        <v>0</v>
      </c>
      <c r="E32" s="1840">
        <f>E23-E26-E29</f>
        <v>0</v>
      </c>
      <c r="F32" s="1841"/>
      <c r="G32" s="1835"/>
      <c r="H32" s="1781"/>
      <c r="I32" s="1878"/>
      <c r="J32" s="3682" t="s">
        <v>1430</v>
      </c>
      <c r="K32" s="3683"/>
      <c r="L32" s="1879" t="s">
        <v>1431</v>
      </c>
      <c r="M32" s="1879" t="s">
        <v>1432</v>
      </c>
      <c r="N32" s="1879" t="s">
        <v>1433</v>
      </c>
      <c r="O32" s="1879" t="s">
        <v>1434</v>
      </c>
      <c r="P32" s="1879" t="s">
        <v>1435</v>
      </c>
      <c r="Q32" s="1918" t="s">
        <v>1436</v>
      </c>
      <c r="R32" s="1934" t="s">
        <v>1437</v>
      </c>
      <c r="S32" s="1914"/>
      <c r="T32" s="1917"/>
      <c r="U32" s="1917"/>
      <c r="V32" s="1904"/>
    </row>
    <row r="33" spans="1:23" s="1762" customFormat="1" ht="13.15" customHeight="1">
      <c r="A33" s="1836"/>
      <c r="B33" s="1837"/>
      <c r="C33" s="1838"/>
      <c r="D33" s="1853"/>
      <c r="E33" s="1813"/>
      <c r="F33" s="1841"/>
      <c r="G33" s="1835"/>
      <c r="H33" s="1850"/>
      <c r="I33" s="1904"/>
      <c r="J33" s="3684" t="s">
        <v>1438</v>
      </c>
      <c r="K33" s="3685"/>
      <c r="L33" s="1880"/>
      <c r="M33" s="1880"/>
      <c r="N33" s="1880"/>
      <c r="O33" s="1880"/>
      <c r="P33" s="1880"/>
      <c r="Q33" s="1920"/>
      <c r="R33" s="1935">
        <f>SUM(L33:Q33)</f>
        <v>0</v>
      </c>
      <c r="S33" s="1914"/>
      <c r="T33" s="1917"/>
      <c r="U33" s="1917"/>
      <c r="V33" s="1878"/>
    </row>
    <row r="34" spans="1:23" s="1762" customFormat="1" ht="13.15" customHeight="1">
      <c r="A34" s="1836">
        <v>5</v>
      </c>
      <c r="B34" s="1837" t="s">
        <v>1533</v>
      </c>
      <c r="C34" s="1854"/>
      <c r="D34" s="1855"/>
      <c r="E34" s="1856"/>
      <c r="F34" s="1841"/>
      <c r="G34" s="1835"/>
      <c r="H34" s="1850"/>
      <c r="I34" s="1904"/>
      <c r="J34" s="3684" t="s">
        <v>1440</v>
      </c>
      <c r="K34" s="3685"/>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1534</v>
      </c>
      <c r="C35" s="1857"/>
      <c r="D35" s="1858"/>
      <c r="E35" s="1859"/>
      <c r="F35" s="1841"/>
      <c r="G35" s="1860"/>
      <c r="H35" s="1781"/>
      <c r="I35" s="1904"/>
      <c r="J35" s="1882" t="s">
        <v>1442</v>
      </c>
      <c r="K35" s="1883"/>
      <c r="L35" s="1883"/>
      <c r="M35" s="1884"/>
      <c r="N35" s="1884"/>
      <c r="O35" s="1884"/>
      <c r="P35" s="1884"/>
      <c r="Q35" s="1884"/>
      <c r="R35" s="1937">
        <f>R40+R41+R43</f>
        <v>0</v>
      </c>
      <c r="S35" s="1914"/>
      <c r="T35" s="1917" t="s">
        <v>1443</v>
      </c>
      <c r="U35" s="1917"/>
      <c r="V35" s="1878"/>
    </row>
    <row r="36" spans="1:23" s="1762" customFormat="1" ht="13.15" customHeight="1">
      <c r="A36" s="1836">
        <v>7</v>
      </c>
      <c r="B36" s="1861" t="s">
        <v>1535</v>
      </c>
      <c r="C36" s="1862"/>
      <c r="D36" s="1863"/>
      <c r="E36" s="1864"/>
      <c r="F36" s="1865">
        <f>C36+D36+E36</f>
        <v>0</v>
      </c>
      <c r="G36" s="1835"/>
      <c r="H36" s="1781"/>
      <c r="I36" s="1878"/>
      <c r="J36" s="3695">
        <v>1</v>
      </c>
      <c r="K36" s="3698" t="s">
        <v>1536</v>
      </c>
      <c r="L36" s="1886"/>
      <c r="M36" s="1887"/>
      <c r="N36" s="1887"/>
      <c r="O36" s="1887"/>
      <c r="P36" s="1887"/>
      <c r="Q36" s="1887"/>
      <c r="R36" s="1921" t="s">
        <v>1452</v>
      </c>
      <c r="S36" s="1914"/>
      <c r="T36" s="1917" t="s">
        <v>1453</v>
      </c>
      <c r="U36" s="1917"/>
      <c r="V36" s="1878"/>
    </row>
    <row r="37" spans="1:23" s="1762" customFormat="1" ht="13.15" customHeight="1">
      <c r="A37" s="1836"/>
      <c r="B37" s="1837"/>
      <c r="C37" s="1837"/>
      <c r="D37" s="1837"/>
      <c r="E37" s="1837"/>
      <c r="F37" s="1841"/>
      <c r="G37" s="1835"/>
      <c r="H37" s="1781"/>
      <c r="I37" s="1878"/>
      <c r="J37" s="3695"/>
      <c r="K37" s="3699"/>
      <c r="L37" s="1888"/>
      <c r="M37" s="1889"/>
      <c r="N37" s="1786"/>
      <c r="O37" s="1890"/>
      <c r="P37" s="1890"/>
      <c r="Q37" s="1819"/>
      <c r="R37" s="1924"/>
      <c r="S37" s="1914"/>
      <c r="T37" s="1917" t="s">
        <v>1456</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95"/>
      <c r="K38" s="3699"/>
      <c r="L38" s="1888"/>
      <c r="M38" s="1889"/>
      <c r="N38" s="1786"/>
      <c r="O38" s="1890"/>
      <c r="P38" s="1890"/>
      <c r="Q38" s="1819"/>
      <c r="R38" s="1924"/>
      <c r="S38" s="1914"/>
      <c r="T38" s="1917" t="s">
        <v>1463</v>
      </c>
      <c r="U38" s="1917"/>
      <c r="V38" s="1878"/>
    </row>
    <row r="39" spans="1:23" s="1762" customFormat="1" ht="13.15" customHeight="1">
      <c r="A39" s="1836">
        <v>9</v>
      </c>
      <c r="B39" s="1837" t="s">
        <v>1537</v>
      </c>
      <c r="C39" s="1814" t="e">
        <f>C38</f>
        <v>#DIV/0!</v>
      </c>
      <c r="D39" s="1837">
        <f>D38/(1+D34)^C36</f>
        <v>0</v>
      </c>
      <c r="E39" s="1837">
        <f>E38/(1+E34)^(C36+D36)</f>
        <v>0</v>
      </c>
      <c r="F39" s="1841"/>
      <c r="G39" s="1866"/>
      <c r="H39" s="1781"/>
      <c r="I39" s="1878"/>
      <c r="J39" s="3695"/>
      <c r="K39" s="3699"/>
      <c r="L39" s="1888"/>
      <c r="M39" s="1889"/>
      <c r="N39" s="1786"/>
      <c r="O39" s="1890"/>
      <c r="P39" s="1890"/>
      <c r="Q39" s="1819"/>
      <c r="R39" s="1924"/>
      <c r="S39" s="1914"/>
      <c r="T39" s="1917"/>
      <c r="U39" s="1917"/>
      <c r="V39" s="1878"/>
    </row>
    <row r="40" spans="1:23" s="1762" customFormat="1" ht="13.15" customHeight="1">
      <c r="A40" s="1867">
        <v>10</v>
      </c>
      <c r="B40" s="1837" t="s">
        <v>1538</v>
      </c>
      <c r="C40" s="1868" t="e">
        <f>C39+D39+E39</f>
        <v>#DIV/0!</v>
      </c>
      <c r="D40" s="1869"/>
      <c r="E40" s="1869"/>
      <c r="F40" s="1870"/>
      <c r="G40" s="1835"/>
      <c r="H40" s="1781"/>
      <c r="I40" s="1878"/>
      <c r="J40" s="3695"/>
      <c r="K40" s="3700"/>
      <c r="L40" s="1891" t="s">
        <v>1481</v>
      </c>
      <c r="M40" s="1892"/>
      <c r="N40" s="1892"/>
      <c r="O40" s="1893"/>
      <c r="P40" s="1893"/>
      <c r="Q40" s="1925"/>
      <c r="R40" s="1919">
        <f>SUM(R37:R39)</f>
        <v>0</v>
      </c>
      <c r="S40" s="1914"/>
      <c r="T40" s="1917"/>
      <c r="U40" s="1917"/>
      <c r="V40" s="1878"/>
    </row>
    <row r="41" spans="1:23" s="1762" customFormat="1" ht="13.15" customHeight="1">
      <c r="A41" s="1871">
        <v>11</v>
      </c>
      <c r="B41" s="1872" t="s">
        <v>1539</v>
      </c>
      <c r="C41" s="1872" t="e">
        <f>ROUND(C40*10000/B4,0)</f>
        <v>#DIV/0!</v>
      </c>
      <c r="D41" s="1873"/>
      <c r="E41" s="1873"/>
      <c r="F41" s="1874"/>
      <c r="G41" s="1875"/>
      <c r="H41" s="1781"/>
      <c r="I41" s="1878"/>
      <c r="J41" s="1885">
        <v>2</v>
      </c>
      <c r="K41" s="1896" t="s">
        <v>1518</v>
      </c>
      <c r="L41" s="1897"/>
      <c r="M41" s="1897"/>
      <c r="N41" s="1897"/>
      <c r="O41" s="1897"/>
      <c r="P41" s="1898"/>
      <c r="Q41" s="1929"/>
      <c r="R41" s="1927">
        <f>ROUND(R40*Q41,0)</f>
        <v>0</v>
      </c>
      <c r="S41" s="1914"/>
      <c r="T41" s="1917"/>
      <c r="U41" s="1930"/>
      <c r="V41" s="1878"/>
    </row>
    <row r="42" spans="1:23" s="1762" customFormat="1" ht="13.15" customHeight="1">
      <c r="G42" s="1875"/>
      <c r="H42" s="1781"/>
      <c r="I42" s="1878"/>
      <c r="J42" s="3696">
        <v>3</v>
      </c>
      <c r="K42" s="1899" t="s">
        <v>1520</v>
      </c>
      <c r="L42" s="1900"/>
      <c r="M42" s="1901"/>
      <c r="N42" s="1902" t="s">
        <v>456</v>
      </c>
      <c r="O42" s="1902" t="s">
        <v>1521</v>
      </c>
      <c r="P42" s="1903" t="s">
        <v>1522</v>
      </c>
      <c r="Q42" s="1903" t="s">
        <v>1523</v>
      </c>
      <c r="R42" s="1921" t="s">
        <v>1452</v>
      </c>
      <c r="S42" s="1930"/>
      <c r="T42" s="1930"/>
      <c r="U42" s="1917"/>
      <c r="V42" s="1878"/>
    </row>
    <row r="43" spans="1:23" ht="13.15" customHeight="1">
      <c r="A43" s="1762"/>
      <c r="B43" s="1762"/>
      <c r="C43" s="1762"/>
      <c r="D43" s="1762"/>
      <c r="E43" s="1762"/>
      <c r="F43" s="1762"/>
      <c r="I43" s="1766"/>
      <c r="J43" s="3697"/>
      <c r="K43" s="1905"/>
      <c r="L43" s="1906"/>
      <c r="M43" s="1907"/>
      <c r="N43" s="1889"/>
      <c r="O43" s="1889"/>
      <c r="P43" s="1889"/>
      <c r="Q43" s="1929"/>
      <c r="R43" s="1927">
        <f>ROUND(O43*N43*P43*(1-Q43)/10000,0)</f>
        <v>0</v>
      </c>
      <c r="S43" s="1914"/>
      <c r="T43" s="1917"/>
      <c r="V43" s="1768"/>
      <c r="W43" s="1938"/>
    </row>
    <row r="44" spans="1:23" ht="13.15" customHeight="1">
      <c r="J44" s="1909">
        <v>6</v>
      </c>
      <c r="K44" s="1910" t="s">
        <v>1526</v>
      </c>
      <c r="L44" s="1915" t="s">
        <v>1527</v>
      </c>
      <c r="M44" s="1912"/>
      <c r="N44" s="1915" t="s">
        <v>1528</v>
      </c>
      <c r="O44" s="1912"/>
      <c r="P44" s="1915" t="s">
        <v>1529</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1540</v>
      </c>
      <c r="B1" s="1739"/>
      <c r="C1" s="1739"/>
      <c r="D1" s="1739"/>
      <c r="E1" s="1740"/>
      <c r="F1" s="1741"/>
      <c r="G1" s="1742"/>
      <c r="H1" s="1742"/>
      <c r="I1" s="1742"/>
      <c r="J1" s="1742"/>
      <c r="K1" s="1742"/>
      <c r="L1" s="1742"/>
      <c r="M1" s="1742"/>
      <c r="N1" s="1742"/>
      <c r="O1" s="1742"/>
      <c r="P1" s="1742"/>
      <c r="Q1" s="1742"/>
      <c r="R1" s="1742"/>
      <c r="S1" s="1742"/>
    </row>
    <row r="2" spans="1:22" ht="15.75">
      <c r="A2" s="1743" t="s">
        <v>994</v>
      </c>
      <c r="B2" s="1744">
        <f ca="1">SUMIF(B6:B13,"&lt;&gt;#ref!",B6:B13)</f>
        <v>34403</v>
      </c>
      <c r="C2" s="1745" t="s">
        <v>1541</v>
      </c>
      <c r="D2" s="1746" t="s">
        <v>1542</v>
      </c>
      <c r="E2" s="1747">
        <f>SUM(E6:E13)</f>
        <v>20276.490000000002</v>
      </c>
      <c r="F2" s="1741"/>
      <c r="G2" s="1742"/>
      <c r="H2" s="1742"/>
      <c r="I2" s="1742"/>
      <c r="J2" s="1742"/>
      <c r="K2" s="1742"/>
      <c r="L2" s="1742"/>
      <c r="M2" s="1742"/>
      <c r="N2" s="1742"/>
      <c r="O2" s="1742"/>
      <c r="P2" s="1742"/>
      <c r="Q2" s="1742"/>
      <c r="R2" s="1742"/>
      <c r="S2" s="1742"/>
    </row>
    <row r="3" spans="1:22" ht="15.75">
      <c r="A3" s="1743" t="s">
        <v>996</v>
      </c>
      <c r="B3" s="1748">
        <f ca="1">ROUND(B2*10000/E2,0)</f>
        <v>16967</v>
      </c>
      <c r="C3" s="1745" t="s">
        <v>1543</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1544</v>
      </c>
      <c r="B5" s="3701" t="s">
        <v>1545</v>
      </c>
      <c r="C5" s="3702"/>
      <c r="D5" s="1753"/>
      <c r="E5" s="1754" t="s">
        <v>1546</v>
      </c>
      <c r="F5" s="1755" t="s">
        <v>1547</v>
      </c>
      <c r="G5" s="1742"/>
      <c r="H5" s="1742"/>
      <c r="I5" s="1742"/>
      <c r="J5" s="1742"/>
      <c r="K5" s="1742"/>
      <c r="L5" s="1742"/>
      <c r="M5" s="1742"/>
      <c r="N5" s="1742"/>
      <c r="O5" s="1742"/>
      <c r="P5" s="1742"/>
      <c r="Q5" s="1742"/>
      <c r="R5" s="1742"/>
      <c r="S5" s="1742"/>
    </row>
    <row r="6" spans="1:22">
      <c r="A6" s="1756" t="str">
        <f>'数据-取费表'!AN6</f>
        <v>收益法</v>
      </c>
      <c r="B6" s="934">
        <f ca="1">IF(F6="是",'数据-取费表'!AO6,0)</f>
        <v>34403</v>
      </c>
      <c r="C6" s="1745" t="s">
        <v>1541</v>
      </c>
      <c r="D6" s="1749"/>
      <c r="E6" s="1757">
        <f>IF(OR(A6=0,F6="否"),0,'数据-取费表'!K6+'数据-取费表'!S6)</f>
        <v>20276.490000000002</v>
      </c>
      <c r="F6" s="1758" t="s">
        <v>1548</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1541</v>
      </c>
      <c r="D7" s="1749"/>
      <c r="E7" s="1757">
        <f>IF(OR(A7=0,F7="否"),0,'数据-取费表'!K7+'数据-取费表'!S7)</f>
        <v>0</v>
      </c>
      <c r="F7" s="1758" t="s">
        <v>1548</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1541</v>
      </c>
      <c r="D8" s="1749"/>
      <c r="E8" s="1757">
        <f>IF(OR(A8=0,F8="否"),0,'数据-取费表'!K8+'数据-取费表'!S8)</f>
        <v>0</v>
      </c>
      <c r="F8" s="1758" t="s">
        <v>1548</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1541</v>
      </c>
      <c r="D9" s="1749"/>
      <c r="E9" s="1757">
        <f>IF(OR(A9=0,F9="否"),0,'数据-取费表'!K9+'数据-取费表'!S9)</f>
        <v>0</v>
      </c>
      <c r="F9" s="1758" t="s">
        <v>1548</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1541</v>
      </c>
      <c r="D10" s="1749"/>
      <c r="E10" s="1757">
        <f>IF(OR(A10=0,F10="否"),0,'数据-取费表'!K10+'数据-取费表'!S10)</f>
        <v>0</v>
      </c>
      <c r="F10" s="1758" t="s">
        <v>1548</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1541</v>
      </c>
      <c r="D11" s="1749"/>
      <c r="E11" s="1757">
        <f>IF(OR(A11=0,F11="否"),0,'数据-取费表'!K11+'数据-取费表'!S11)</f>
        <v>0</v>
      </c>
      <c r="F11" s="1758" t="s">
        <v>1548</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1541</v>
      </c>
      <c r="D12" s="1749"/>
      <c r="E12" s="1757">
        <f>IF(OR(A12=0,F12="否"),0,'数据-取费表'!K12+'数据-取费表'!S12)</f>
        <v>0</v>
      </c>
      <c r="F12" s="1758" t="s">
        <v>1548</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1541</v>
      </c>
      <c r="D13" s="1761"/>
      <c r="E13" s="1757">
        <f>IF(OR(A13=0,F13="否"),0,'数据-取费表'!K13+'数据-取费表'!S13)</f>
        <v>0</v>
      </c>
      <c r="F13" s="1758" t="s">
        <v>1548</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1549</v>
      </c>
      <c r="C1" s="1507" t="s">
        <v>990</v>
      </c>
      <c r="D1" s="1450"/>
      <c r="E1" s="1627"/>
      <c r="F1" s="1452"/>
      <c r="G1" s="1453" t="s">
        <v>993</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994</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414"/>
      <c r="H2" s="1414"/>
      <c r="I2" s="1414"/>
      <c r="J2" s="1414"/>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996</v>
      </c>
      <c r="B3" s="1461">
        <f>IF(C2="——",C49,ROUND(B2*10000/D3,0))</f>
        <v>0</v>
      </c>
      <c r="C3" s="1460" t="s">
        <v>997</v>
      </c>
      <c r="D3" s="1461">
        <f>IF(D1="",'数据-汇总表'!E3,SUMIF('数据-汇总表'!$C19:$C33,D1,'数据-汇总表'!$E19:$E33))</f>
        <v>20276.490000000002</v>
      </c>
      <c r="E3" s="1414"/>
      <c r="F3" s="1656"/>
      <c r="G3" s="1414"/>
      <c r="H3" s="1414"/>
      <c r="I3" s="1414"/>
      <c r="J3" s="1414"/>
      <c r="K3" s="1667"/>
      <c r="L3" s="1668"/>
      <c r="M3" s="1669"/>
      <c r="N3" s="1669"/>
      <c r="O3" s="1669"/>
      <c r="P3" s="1670"/>
      <c r="Q3" s="1688"/>
      <c r="R3" s="1688"/>
      <c r="S3" s="1688"/>
      <c r="T3" s="1688"/>
      <c r="U3" s="1688"/>
      <c r="V3" s="1688"/>
      <c r="W3" s="1688"/>
      <c r="X3" s="1688"/>
      <c r="Y3" s="1688"/>
      <c r="Z3" s="1688"/>
      <c r="AA3" s="1688"/>
      <c r="AB3" s="1688"/>
      <c r="AC3" s="1690"/>
    </row>
    <row r="4" spans="1:29" ht="15">
      <c r="A4" s="1088" t="s">
        <v>998</v>
      </c>
      <c r="B4" s="1089"/>
      <c r="C4" s="3623" t="s">
        <v>999</v>
      </c>
      <c r="D4" s="3624"/>
      <c r="E4" s="3625" t="s">
        <v>1000</v>
      </c>
      <c r="F4" s="3626"/>
      <c r="G4" s="3623" t="s">
        <v>1001</v>
      </c>
      <c r="H4" s="3624"/>
      <c r="I4" s="3623" t="s">
        <v>1002</v>
      </c>
      <c r="J4" s="3624"/>
      <c r="K4" s="1671"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706" t="s">
        <v>1001</v>
      </c>
      <c r="AC4" s="3706" t="s">
        <v>1002</v>
      </c>
    </row>
    <row r="5" spans="1:29" ht="15">
      <c r="A5" s="1090"/>
      <c r="B5" s="1091"/>
      <c r="C5" s="3627" t="s">
        <v>1005</v>
      </c>
      <c r="D5" s="3628"/>
      <c r="E5" s="3629" t="s">
        <v>1006</v>
      </c>
      <c r="F5" s="3630"/>
      <c r="G5" s="3627" t="s">
        <v>1007</v>
      </c>
      <c r="H5" s="3628"/>
      <c r="I5" s="3627" t="s">
        <v>1008</v>
      </c>
      <c r="J5" s="3628"/>
      <c r="K5" s="1672"/>
      <c r="L5" s="1236"/>
      <c r="M5" s="1237"/>
      <c r="N5" s="1237"/>
      <c r="O5" s="1237"/>
      <c r="P5" s="3709"/>
      <c r="Q5" s="3663"/>
      <c r="R5" s="3668"/>
      <c r="S5" s="3669"/>
      <c r="T5" s="3668"/>
      <c r="U5" s="3669"/>
      <c r="V5" s="3673"/>
      <c r="W5" s="3673"/>
      <c r="X5" s="1279"/>
      <c r="Y5" s="3668"/>
      <c r="Z5" s="3669"/>
      <c r="AA5" s="3655"/>
      <c r="AB5" s="3655"/>
      <c r="AC5" s="3655"/>
    </row>
    <row r="6" spans="1:29" ht="15">
      <c r="A6" s="1092"/>
      <c r="B6" s="1093"/>
      <c r="C6" s="3631" t="s">
        <v>1009</v>
      </c>
      <c r="D6" s="3632"/>
      <c r="E6" s="3633" t="s">
        <v>1009</v>
      </c>
      <c r="F6" s="3634"/>
      <c r="G6" s="3631" t="s">
        <v>1009</v>
      </c>
      <c r="H6" s="3632"/>
      <c r="I6" s="3631" t="s">
        <v>1009</v>
      </c>
      <c r="J6" s="3632"/>
      <c r="K6" s="1672" t="s">
        <v>1010</v>
      </c>
      <c r="L6" s="1236"/>
      <c r="M6" s="1237"/>
      <c r="N6" s="1237"/>
      <c r="O6" s="1237"/>
      <c r="P6" s="3710"/>
      <c r="Q6" s="3665"/>
      <c r="R6" s="3668"/>
      <c r="S6" s="3669"/>
      <c r="T6" s="3670"/>
      <c r="U6" s="3671"/>
      <c r="V6" s="3673"/>
      <c r="W6" s="3673"/>
      <c r="X6" s="1279"/>
      <c r="Y6" s="3670"/>
      <c r="Z6" s="3671"/>
      <c r="AA6" s="3656"/>
      <c r="AB6" s="3656"/>
      <c r="AC6" s="3656"/>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673"/>
      <c r="L7" s="1239"/>
      <c r="M7" s="1240"/>
      <c r="N7" s="1240"/>
      <c r="O7" s="1240"/>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5">
      <c r="A8" s="1094" t="s">
        <v>1014</v>
      </c>
      <c r="B8" s="1095"/>
      <c r="C8" s="1101"/>
      <c r="D8" s="1097">
        <v>100</v>
      </c>
      <c r="E8" s="1657"/>
      <c r="F8" s="1099">
        <f>SUMIF(61:61,E8,62:62)-SUMIF(61:61,C8,62:62)+100</f>
        <v>100</v>
      </c>
      <c r="G8" s="1101"/>
      <c r="H8" s="1097">
        <f>SUMIF(61:61,G8,62:62)-SUMIF(61:61,C8,62:62)+100</f>
        <v>100</v>
      </c>
      <c r="I8" s="1657"/>
      <c r="J8" s="1097">
        <f>SUMIF(61:61,I8,62:62)-SUMIF(61:61,C8,62:62)+100</f>
        <v>100</v>
      </c>
      <c r="K8" s="1673"/>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19" si="3">D8/F8</f>
        <v>1</v>
      </c>
      <c r="AB8" s="1294">
        <f t="shared" ref="AB8:AB19" si="4">D8/H8</f>
        <v>1</v>
      </c>
      <c r="AC8" s="1294">
        <f t="shared" ref="AC8:AC19" si="5">D8/J8</f>
        <v>1</v>
      </c>
    </row>
    <row r="9" spans="1:29" s="1069" customFormat="1">
      <c r="A9" s="1102" t="s">
        <v>1016</v>
      </c>
      <c r="B9" s="1103" t="s">
        <v>1017</v>
      </c>
      <c r="C9" s="1462"/>
      <c r="D9" s="1105">
        <v>100</v>
      </c>
      <c r="E9" s="1531"/>
      <c r="F9" s="1464">
        <f>SUMIF(63:63,E9,64:64)-SUMIF(63:63,C9,64:64)+100</f>
        <v>100</v>
      </c>
      <c r="G9" s="1463"/>
      <c r="H9" s="1105">
        <f>SUMIF(63:63,G9,64:64)-SUMIF(63:63,C9,64:64)+100</f>
        <v>100</v>
      </c>
      <c r="I9" s="1463"/>
      <c r="J9" s="1105">
        <f>SUMIF(63:63,I9,64:64)-SUMIF(63:63,C9,64:64)+100</f>
        <v>100</v>
      </c>
      <c r="K9" s="1673"/>
      <c r="L9" s="1239"/>
      <c r="M9" s="1240"/>
      <c r="N9" s="1240"/>
      <c r="O9" s="1240"/>
      <c r="P9" s="3639"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673"/>
      <c r="L10" s="1243"/>
      <c r="M10" s="1244"/>
      <c r="N10" s="1244"/>
      <c r="O10" s="1244"/>
      <c r="P10" s="3639"/>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674"/>
      <c r="L11" s="1247"/>
      <c r="M11" s="1237"/>
      <c r="N11" s="1237"/>
      <c r="O11" s="1237"/>
      <c r="P11" s="3639"/>
      <c r="Q11" s="1284" t="str">
        <f t="shared" si="6"/>
        <v>容积率</v>
      </c>
      <c r="R11" s="1280" t="s">
        <v>1013</v>
      </c>
      <c r="S11" s="1281" t="e">
        <f t="shared" si="0"/>
        <v>#N/A</v>
      </c>
      <c r="T11" s="1280" t="s">
        <v>1013</v>
      </c>
      <c r="U11" s="1281" t="e">
        <f t="shared" si="1"/>
        <v>#N/A</v>
      </c>
      <c r="V11" s="1280" t="s">
        <v>1013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6">
        <f>SUMIF(70:70,E12,71:71)-SUMIF(70:70,C12,71:71)+100</f>
        <v>100</v>
      </c>
      <c r="G12" s="1108"/>
      <c r="H12" s="1109">
        <f>SUMIF(70:70,G12,71:71)-SUMIF(70:70,C12,71:71)+100</f>
        <v>100</v>
      </c>
      <c r="I12" s="1108"/>
      <c r="J12" s="1109">
        <f>SUMIF(70:70,I12,71:71)-SUMIF(70:70,C12,71:71)+100</f>
        <v>100</v>
      </c>
      <c r="K12" s="1675"/>
      <c r="L12" s="1239"/>
      <c r="M12" s="1240"/>
      <c r="N12" s="1240"/>
      <c r="O12" s="1240"/>
      <c r="P12" s="3639"/>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675"/>
      <c r="L13" s="1249"/>
      <c r="M13" s="1237"/>
      <c r="N13" s="1237"/>
      <c r="O13" s="1237"/>
      <c r="P13" s="3639"/>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486">
        <f>SUMIF(74:74,E14,75:75)-SUMIF(74:74,C14,75:75)+100</f>
        <v>100</v>
      </c>
      <c r="G14" s="1122"/>
      <c r="H14" s="1123">
        <f>SUMIF(74:74,G14,75:75)-SUMIF(74:74,C14,75:75)+100</f>
        <v>100</v>
      </c>
      <c r="I14" s="1122"/>
      <c r="J14" s="1123">
        <f>SUMIF(74:74,I14,75:75)-SUMIF(74:74,C14,75:75)+100</f>
        <v>100</v>
      </c>
      <c r="K14" s="1675"/>
      <c r="L14" s="1249"/>
      <c r="M14" s="1237"/>
      <c r="N14" s="1237"/>
      <c r="O14" s="1237"/>
      <c r="P14" s="3639"/>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85.5">
      <c r="A15" s="1124" t="s">
        <v>1022</v>
      </c>
      <c r="B15" s="1417" t="s">
        <v>1550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6"/>
      <c r="L15" s="1249"/>
      <c r="M15" s="1237"/>
      <c r="N15" s="1237"/>
      <c r="O15" s="1237"/>
      <c r="P15" s="3642" t="s">
        <v>1024</v>
      </c>
      <c r="Q15" s="664" t="str">
        <f t="shared" si="6"/>
        <v>居住社区成熟度</v>
      </c>
      <c r="R15" s="1285" t="s">
        <v>1013</v>
      </c>
      <c r="S15" s="1286">
        <f t="shared" si="0"/>
        <v>100</v>
      </c>
      <c r="T15" s="1285" t="s">
        <v>1013</v>
      </c>
      <c r="U15" s="1286">
        <f t="shared" si="1"/>
        <v>100</v>
      </c>
      <c r="V15" s="1285" t="s">
        <v>1013</v>
      </c>
      <c r="W15" s="1286">
        <f t="shared" si="2"/>
        <v>100</v>
      </c>
      <c r="X15" s="1279"/>
      <c r="Y15" s="3647" t="s">
        <v>1024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7"/>
      <c r="L16" s="1249"/>
      <c r="M16" s="1237"/>
      <c r="N16" s="1237"/>
      <c r="O16" s="1237"/>
      <c r="P16" s="3643"/>
      <c r="Q16" s="664"/>
      <c r="R16" s="1285"/>
      <c r="S16" s="1286"/>
      <c r="T16" s="1285"/>
      <c r="U16" s="1286"/>
      <c r="V16" s="1285"/>
      <c r="W16" s="1286"/>
      <c r="X16" s="1279"/>
      <c r="Y16" s="3648"/>
      <c r="Z16" s="1269"/>
      <c r="AA16" s="1296">
        <v>1</v>
      </c>
      <c r="AB16" s="1296">
        <v>1</v>
      </c>
      <c r="AC16" s="1296">
        <v>1</v>
      </c>
    </row>
    <row r="17" spans="1:29" ht="71.25">
      <c r="A17" s="1110"/>
      <c r="B17" s="1420" t="s">
        <v>1025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6"/>
      <c r="L17" s="1249"/>
      <c r="M17" s="1237"/>
      <c r="N17" s="1237"/>
      <c r="O17" s="1237"/>
      <c r="P17" s="3643"/>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7"/>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1026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6"/>
      <c r="L19" s="1249"/>
      <c r="M19" s="1237"/>
      <c r="N19" s="1237"/>
      <c r="O19" s="1237"/>
      <c r="P19" s="3643"/>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7"/>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1027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6"/>
      <c r="L21" s="1249"/>
      <c r="M21" s="1237"/>
      <c r="N21" s="1237"/>
      <c r="O21" s="1237"/>
      <c r="P21" s="3643"/>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8"/>
      <c r="L22" s="1249"/>
      <c r="M22" s="1237"/>
      <c r="N22" s="1237"/>
      <c r="O22" s="1237"/>
      <c r="P22" s="3643"/>
      <c r="Q22" s="664"/>
      <c r="R22" s="1285"/>
      <c r="S22" s="1286"/>
      <c r="T22" s="1285"/>
      <c r="U22" s="1286"/>
      <c r="V22" s="1285"/>
      <c r="W22" s="1286"/>
      <c r="X22" s="1279"/>
      <c r="Y22" s="3648"/>
      <c r="Z22" s="1269"/>
      <c r="AA22" s="1296">
        <v>1</v>
      </c>
      <c r="AB22" s="1296">
        <v>1</v>
      </c>
      <c r="AC22" s="1296">
        <v>1</v>
      </c>
    </row>
    <row r="23" spans="1:29" ht="42.75">
      <c r="A23" s="1110"/>
      <c r="B23" s="1420" t="s">
        <v>1551</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6"/>
      <c r="L23" s="1249"/>
      <c r="M23" s="1237"/>
      <c r="N23" s="1237"/>
      <c r="O23" s="1237"/>
      <c r="P23" s="3643"/>
      <c r="Q23" s="664" t="str">
        <f>B23</f>
        <v>自然及人文环境</v>
      </c>
      <c r="R23" s="1285" t="s">
        <v>1013</v>
      </c>
      <c r="S23" s="1286">
        <f>F23</f>
        <v>100</v>
      </c>
      <c r="T23" s="1285" t="s">
        <v>1013</v>
      </c>
      <c r="U23" s="1286">
        <f>H23</f>
        <v>100</v>
      </c>
      <c r="V23" s="1285" t="s">
        <v>1013</v>
      </c>
      <c r="W23" s="1286">
        <f>J23</f>
        <v>100</v>
      </c>
      <c r="X23" s="1279"/>
      <c r="Y23" s="364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7"/>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1552</v>
      </c>
      <c r="C25" s="1483"/>
      <c r="D25" s="1119">
        <v>100</v>
      </c>
      <c r="E25" s="1162"/>
      <c r="F25" s="1119">
        <f>SUMIF(86:86,E25,87:87)-SUMIF(86:86,C25,87:87)+100</f>
        <v>100</v>
      </c>
      <c r="G25" s="1658"/>
      <c r="H25" s="1119">
        <f>SUMIF(86:86,G25,87:87)-SUMIF(86:86,C25,87:87)+100</f>
        <v>100</v>
      </c>
      <c r="I25" s="1658"/>
      <c r="J25" s="1119">
        <f>SUMIF(86:86,I25,87:87)-SUMIF(86:86,C25,87:87)+100</f>
        <v>100</v>
      </c>
      <c r="K25" s="1674"/>
      <c r="L25" s="1249"/>
      <c r="M25" s="1237"/>
      <c r="N25" s="1237"/>
      <c r="O25" s="1237"/>
      <c r="P25" s="3643"/>
      <c r="Q25" s="664" t="str">
        <f t="shared" ref="Q25:Q46" si="11">B25</f>
        <v>楼层-1</v>
      </c>
      <c r="R25" s="1285" t="s">
        <v>1013</v>
      </c>
      <c r="S25" s="1286">
        <f t="shared" ref="S25:S46" si="12">F25</f>
        <v>100</v>
      </c>
      <c r="T25" s="1285" t="s">
        <v>1013</v>
      </c>
      <c r="U25" s="1286">
        <f t="shared" ref="U25:U46" si="13">H25</f>
        <v>100</v>
      </c>
      <c r="V25" s="1285" t="s">
        <v>1013</v>
      </c>
      <c r="W25" s="1286">
        <f t="shared" ref="W25:W46" si="14">J25</f>
        <v>100</v>
      </c>
      <c r="X25" s="1279"/>
      <c r="Y25" s="3648"/>
      <c r="Z25" s="1269" t="str">
        <f>Q25</f>
        <v>楼层-1</v>
      </c>
      <c r="AA25" s="1296">
        <f t="shared" ref="AA25:AA46" si="15">D25/F25</f>
        <v>1</v>
      </c>
      <c r="AB25" s="1296">
        <f t="shared" ref="AB25:AB46" si="16">D25/H25</f>
        <v>1</v>
      </c>
      <c r="AC25" s="1296">
        <f t="shared" ref="AC25:AC46" si="17">D25/J25</f>
        <v>1</v>
      </c>
    </row>
    <row r="26" spans="1:29" ht="15">
      <c r="A26" s="1110"/>
      <c r="B26" s="1107" t="s">
        <v>1031</v>
      </c>
      <c r="C26" s="1483"/>
      <c r="D26" s="1119">
        <v>100</v>
      </c>
      <c r="E26" s="1162"/>
      <c r="F26" s="1119">
        <f>SUMIF(88:88,E26,89:89)-SUMIF(88:88,C26,89:89)+100</f>
        <v>100</v>
      </c>
      <c r="G26" s="1658"/>
      <c r="H26" s="1119">
        <f>SUMIF(88:88,G26,89:89)-SUMIF(88:88,C26,89:89)+100</f>
        <v>100</v>
      </c>
      <c r="I26" s="1658"/>
      <c r="J26" s="1119">
        <f>SUMIF(88:88,I26,89:89)-SUMIF(88:88,C26,89:89)+100</f>
        <v>100</v>
      </c>
      <c r="K26" s="1674"/>
      <c r="L26" s="1249"/>
      <c r="M26" s="1237"/>
      <c r="N26" s="1237"/>
      <c r="O26" s="1237"/>
      <c r="P26" s="3643"/>
      <c r="Q26" s="664" t="str">
        <f t="shared" si="11"/>
        <v>朝向</v>
      </c>
      <c r="R26" s="1285" t="s">
        <v>1013</v>
      </c>
      <c r="S26" s="1286">
        <f t="shared" si="12"/>
        <v>100</v>
      </c>
      <c r="T26" s="1285" t="s">
        <v>1013</v>
      </c>
      <c r="U26" s="1286">
        <f t="shared" si="13"/>
        <v>100</v>
      </c>
      <c r="V26" s="1285" t="s">
        <v>1013</v>
      </c>
      <c r="W26" s="1286">
        <f t="shared" si="14"/>
        <v>100</v>
      </c>
      <c r="X26" s="1279"/>
      <c r="Y26" s="3648"/>
      <c r="Z26" s="1269" t="str">
        <f>Q26</f>
        <v>朝向</v>
      </c>
      <c r="AA26" s="1296">
        <f t="shared" si="15"/>
        <v>1</v>
      </c>
      <c r="AB26" s="1296">
        <f t="shared" si="16"/>
        <v>1</v>
      </c>
      <c r="AC26" s="1296">
        <f t="shared" si="17"/>
        <v>1</v>
      </c>
    </row>
    <row r="27" spans="1:29" s="1069" customFormat="1" ht="15">
      <c r="A27" s="1113"/>
      <c r="B27" s="1425">
        <v>111</v>
      </c>
      <c r="C27" s="1108"/>
      <c r="D27" s="1585">
        <v>100</v>
      </c>
      <c r="E27" s="1415"/>
      <c r="F27" s="1585">
        <f>SUMIF(90:90,E27,91:91)-SUMIF(90:90,C27,91:91)+100</f>
        <v>100</v>
      </c>
      <c r="G27" s="1416"/>
      <c r="H27" s="1585">
        <f>SUMIF(90:90,G27,91:91)-SUMIF(90:90,C27,91:91)+100</f>
        <v>100</v>
      </c>
      <c r="I27" s="1416"/>
      <c r="J27" s="1585">
        <f>SUMIF(90:90,I27,91:91)-SUMIF(90:90,C27,91:91)+100</f>
        <v>100</v>
      </c>
      <c r="K27" s="1675"/>
      <c r="L27" s="1239"/>
      <c r="M27" s="1240"/>
      <c r="N27" s="1240"/>
      <c r="O27" s="1240"/>
      <c r="P27" s="3643"/>
      <c r="Q27" s="1284">
        <f t="shared" si="11"/>
        <v>111</v>
      </c>
      <c r="R27" s="1280" t="s">
        <v>1013</v>
      </c>
      <c r="S27" s="1281">
        <f t="shared" si="12"/>
        <v>100</v>
      </c>
      <c r="T27" s="1280" t="s">
        <v>1013</v>
      </c>
      <c r="U27" s="1281">
        <f t="shared" si="13"/>
        <v>100</v>
      </c>
      <c r="V27" s="1280" t="s">
        <v>1013</v>
      </c>
      <c r="W27" s="1281">
        <f t="shared" si="14"/>
        <v>100</v>
      </c>
      <c r="X27" s="1282"/>
      <c r="Y27" s="364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59"/>
      <c r="H28" s="1119">
        <f>SUMIF(92:92,G28,93:93)-SUMIF(92:92,C28,93:93)+100</f>
        <v>100</v>
      </c>
      <c r="I28" s="1118"/>
      <c r="J28" s="1119">
        <f>SUMIF(92:92,I28,93:93)-SUMIF(92:92,C28,93:93)+100</f>
        <v>100</v>
      </c>
      <c r="K28" s="1675"/>
      <c r="L28" s="1249"/>
      <c r="M28" s="1237"/>
      <c r="N28" s="1237"/>
      <c r="O28" s="1237"/>
      <c r="P28" s="3643"/>
      <c r="Q28" s="664">
        <f t="shared" si="11"/>
        <v>111</v>
      </c>
      <c r="R28" s="1285" t="s">
        <v>1013</v>
      </c>
      <c r="S28" s="1286">
        <f t="shared" si="12"/>
        <v>100</v>
      </c>
      <c r="T28" s="1285" t="s">
        <v>1013</v>
      </c>
      <c r="U28" s="1286">
        <f t="shared" si="13"/>
        <v>100</v>
      </c>
      <c r="V28" s="1285" t="s">
        <v>1013</v>
      </c>
      <c r="W28" s="1286">
        <f t="shared" si="14"/>
        <v>100</v>
      </c>
      <c r="X28" s="1279"/>
      <c r="Y28" s="364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59"/>
      <c r="H29" s="1119">
        <f>SUMIF(94:94,G29,95:95)-SUMIF(94:94,C29,95:95)+100</f>
        <v>100</v>
      </c>
      <c r="I29" s="1118"/>
      <c r="J29" s="1119">
        <f>SUMIF(94:94,I29,95:95)-SUMIF(94:94,C29,95:95)+100</f>
        <v>100</v>
      </c>
      <c r="K29" s="1675"/>
      <c r="L29" s="1249"/>
      <c r="M29" s="1237"/>
      <c r="N29" s="1237"/>
      <c r="O29" s="1237"/>
      <c r="P29" s="3643"/>
      <c r="Q29" s="664">
        <f t="shared" si="11"/>
        <v>111</v>
      </c>
      <c r="R29" s="1285" t="s">
        <v>1013</v>
      </c>
      <c r="S29" s="1286">
        <f t="shared" si="12"/>
        <v>100</v>
      </c>
      <c r="T29" s="1285" t="s">
        <v>1013</v>
      </c>
      <c r="U29" s="1286">
        <f t="shared" si="13"/>
        <v>100</v>
      </c>
      <c r="V29" s="1285" t="s">
        <v>1013</v>
      </c>
      <c r="W29" s="1286">
        <f t="shared" si="14"/>
        <v>100</v>
      </c>
      <c r="X29" s="1279"/>
      <c r="Y29" s="364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59"/>
      <c r="H30" s="1119">
        <f>SUMIF(96:96,G30,97:97)-SUMIF(96:96,C30,97:97)+100</f>
        <v>100</v>
      </c>
      <c r="I30" s="1118"/>
      <c r="J30" s="1119">
        <f>SUMIF(96:96,I30,97:97)-SUMIF(96:96,C30,97:97)+100</f>
        <v>100</v>
      </c>
      <c r="K30" s="1675"/>
      <c r="L30" s="1249"/>
      <c r="M30" s="1237"/>
      <c r="N30" s="1237"/>
      <c r="O30" s="1237"/>
      <c r="P30" s="3643"/>
      <c r="Q30" s="664">
        <f t="shared" si="11"/>
        <v>111</v>
      </c>
      <c r="R30" s="1285" t="s">
        <v>1013</v>
      </c>
      <c r="S30" s="1286">
        <f t="shared" si="12"/>
        <v>100</v>
      </c>
      <c r="T30" s="1285" t="s">
        <v>1013</v>
      </c>
      <c r="U30" s="1286">
        <f t="shared" si="13"/>
        <v>100</v>
      </c>
      <c r="V30" s="1285" t="s">
        <v>1013</v>
      </c>
      <c r="W30" s="1286">
        <f t="shared" si="14"/>
        <v>100</v>
      </c>
      <c r="X30" s="1279"/>
      <c r="Y30" s="364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0"/>
      <c r="H31" s="1123">
        <f>SUMIF(98:98,G31,99:99)-SUMIF(98:98,C31,99:99)+100</f>
        <v>100</v>
      </c>
      <c r="I31" s="1122"/>
      <c r="J31" s="1123">
        <f>SUMIF(98:98,I31,99:99)-SUMIF(98:98,C31,99:99)+100</f>
        <v>100</v>
      </c>
      <c r="K31" s="1675"/>
      <c r="L31" s="1249"/>
      <c r="M31" s="1237"/>
      <c r="N31" s="1237"/>
      <c r="O31" s="1237"/>
      <c r="P31" s="3643"/>
      <c r="Q31" s="664">
        <f t="shared" si="11"/>
        <v>111</v>
      </c>
      <c r="R31" s="1285" t="s">
        <v>1013</v>
      </c>
      <c r="S31" s="1286">
        <f t="shared" si="12"/>
        <v>100</v>
      </c>
      <c r="T31" s="1285" t="s">
        <v>1013</v>
      </c>
      <c r="U31" s="1286">
        <f t="shared" si="13"/>
        <v>100</v>
      </c>
      <c r="V31" s="1285" t="s">
        <v>1013</v>
      </c>
      <c r="W31" s="1286">
        <f t="shared" si="14"/>
        <v>100</v>
      </c>
      <c r="X31" s="1279"/>
      <c r="Y31" s="3648"/>
      <c r="Z31" s="1269">
        <f t="shared" si="18"/>
        <v>111</v>
      </c>
      <c r="AA31" s="1296">
        <f t="shared" si="15"/>
        <v>1</v>
      </c>
      <c r="AB31" s="1296">
        <f t="shared" si="16"/>
        <v>1</v>
      </c>
      <c r="AC31" s="1296">
        <f t="shared" si="17"/>
        <v>1</v>
      </c>
    </row>
    <row r="32" spans="1:29" ht="15">
      <c r="A32" s="1124" t="s">
        <v>1032</v>
      </c>
      <c r="B32" s="1103" t="s">
        <v>1033</v>
      </c>
      <c r="C32" s="1631"/>
      <c r="D32" s="1160">
        <v>100</v>
      </c>
      <c r="E32" s="1661"/>
      <c r="F32" s="1473">
        <f>SUMIF(100:100,E32,101:101)-SUMIF(100:100,C32,101:101)+100</f>
        <v>100</v>
      </c>
      <c r="G32" s="1631"/>
      <c r="H32" s="1160">
        <f>SUMIF(100:100,G32,101:101)-SUMIF(100:100,C32,101:101)+100</f>
        <v>100</v>
      </c>
      <c r="I32" s="1661"/>
      <c r="J32" s="1119">
        <f>SUMIF(100:100,I32,101:101)-SUMIF(100:100,C32,101:101)+100</f>
        <v>100</v>
      </c>
      <c r="K32" s="1674"/>
      <c r="L32" s="1249"/>
      <c r="M32" s="1237"/>
      <c r="N32" s="1237"/>
      <c r="O32" s="1237"/>
      <c r="P32" s="3644" t="s">
        <v>1034</v>
      </c>
      <c r="Q32" s="664" t="str">
        <f t="shared" si="11"/>
        <v>建筑类型</v>
      </c>
      <c r="R32" s="1285" t="s">
        <v>1013</v>
      </c>
      <c r="S32" s="1286">
        <f t="shared" si="12"/>
        <v>100</v>
      </c>
      <c r="T32" s="1285" t="s">
        <v>1013</v>
      </c>
      <c r="U32" s="1286">
        <f t="shared" si="13"/>
        <v>100</v>
      </c>
      <c r="V32" s="1285" t="s">
        <v>1013</v>
      </c>
      <c r="W32" s="1286">
        <f t="shared" si="14"/>
        <v>100</v>
      </c>
      <c r="X32" s="1279"/>
      <c r="Y32" s="3649" t="s">
        <v>1034</v>
      </c>
      <c r="Z32" s="1269" t="str">
        <f t="shared" si="18"/>
        <v>建筑类型</v>
      </c>
      <c r="AA32" s="1296">
        <f t="shared" si="15"/>
        <v>1</v>
      </c>
      <c r="AB32" s="1296">
        <f t="shared" si="16"/>
        <v>1</v>
      </c>
      <c r="AC32" s="1296">
        <f t="shared" si="17"/>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2"/>
      <c r="J33" s="1109" t="e">
        <f>LOOKUP(I33,103:103,104:104)-LOOKUP(C33,103:103,104:104)+100</f>
        <v>#N/A</v>
      </c>
      <c r="K33" s="1675"/>
      <c r="L33" s="1247"/>
      <c r="M33" s="1256"/>
      <c r="N33" s="1256"/>
      <c r="O33" s="1256"/>
      <c r="P33" s="3645"/>
      <c r="Q33" s="1512" t="str">
        <f t="shared" si="11"/>
        <v>项目建筑规模</v>
      </c>
      <c r="R33" s="1287" t="s">
        <v>1013</v>
      </c>
      <c r="S33" s="1288" t="e">
        <f t="shared" si="12"/>
        <v>#N/A</v>
      </c>
      <c r="T33" s="1287" t="s">
        <v>1013</v>
      </c>
      <c r="U33" s="1288" t="e">
        <f t="shared" si="13"/>
        <v>#N/A</v>
      </c>
      <c r="V33" s="1287" t="s">
        <v>1013</v>
      </c>
      <c r="W33" s="1288" t="e">
        <f t="shared" si="14"/>
        <v>#N/A</v>
      </c>
      <c r="X33" s="1289"/>
      <c r="Y33" s="3649"/>
      <c r="Z33" s="1297" t="str">
        <f t="shared" si="18"/>
        <v>项目建筑规模</v>
      </c>
      <c r="AA33" s="1296" t="e">
        <f t="shared" si="15"/>
        <v>#N/A</v>
      </c>
      <c r="AB33" s="1296" t="e">
        <f t="shared" si="16"/>
        <v>#N/A</v>
      </c>
      <c r="AC33" s="1296" t="e">
        <f t="shared" si="17"/>
        <v>#N/A</v>
      </c>
    </row>
    <row r="34" spans="1:29" ht="15">
      <c r="A34" s="1161"/>
      <c r="B34" s="1107" t="s">
        <v>1036</v>
      </c>
      <c r="C34" s="1632"/>
      <c r="D34" s="1119">
        <v>100</v>
      </c>
      <c r="E34" s="1662"/>
      <c r="F34" s="1473">
        <f>SUMIF(105:105,E34,106:106)-SUMIF(105:105,C34,106:106)+100</f>
        <v>100</v>
      </c>
      <c r="G34" s="1632"/>
      <c r="H34" s="1119">
        <f>SUMIF(105:105,G34,106:106)-SUMIF(105:105,C34,106:106)+100</f>
        <v>100</v>
      </c>
      <c r="I34" s="1662"/>
      <c r="J34" s="1119">
        <f>SUMIF(105:105,I34,106:106)-SUMIF(105:105,C34,106:106)+100</f>
        <v>100</v>
      </c>
      <c r="K34" s="1674"/>
      <c r="L34" s="1249"/>
      <c r="M34" s="1237"/>
      <c r="N34" s="1237"/>
      <c r="O34" s="1237"/>
      <c r="P34" s="3645"/>
      <c r="Q34" s="664" t="str">
        <f t="shared" si="11"/>
        <v>建筑结构</v>
      </c>
      <c r="R34" s="1285" t="s">
        <v>1013</v>
      </c>
      <c r="S34" s="1286">
        <f t="shared" si="12"/>
        <v>100</v>
      </c>
      <c r="T34" s="1285" t="s">
        <v>1013</v>
      </c>
      <c r="U34" s="1286">
        <f t="shared" si="13"/>
        <v>100</v>
      </c>
      <c r="V34" s="1285" t="s">
        <v>1013</v>
      </c>
      <c r="W34" s="1286">
        <f t="shared" si="14"/>
        <v>100</v>
      </c>
      <c r="X34" s="1279"/>
      <c r="Y34" s="3649"/>
      <c r="Z34" s="1269" t="str">
        <f t="shared" si="18"/>
        <v>建筑结构</v>
      </c>
      <c r="AA34" s="1296">
        <f t="shared" si="15"/>
        <v>1</v>
      </c>
      <c r="AB34" s="1296">
        <f t="shared" si="16"/>
        <v>1</v>
      </c>
      <c r="AC34" s="1296">
        <f t="shared" si="17"/>
        <v>1</v>
      </c>
    </row>
    <row r="35" spans="1:29" ht="15">
      <c r="A35" s="1161"/>
      <c r="B35" s="1107" t="s">
        <v>1553</v>
      </c>
      <c r="C35" s="1162"/>
      <c r="D35" s="1119">
        <v>100</v>
      </c>
      <c r="E35" s="1658"/>
      <c r="F35" s="1473">
        <f>SUMIF(107:107,E35,108:108)-SUMIF(107:107,C35,108:108)+100</f>
        <v>100</v>
      </c>
      <c r="G35" s="1162"/>
      <c r="H35" s="1119">
        <f>SUMIF(107:107,G35,108:108)-SUMIF(107:107,C35,108:108)+100</f>
        <v>100</v>
      </c>
      <c r="I35" s="1658"/>
      <c r="J35" s="1119">
        <f>SUMIF(107:107,I35,108:108)-SUMIF(107:107,C35,108:108)+100</f>
        <v>100</v>
      </c>
      <c r="K35" s="1674"/>
      <c r="L35" s="1249"/>
      <c r="M35" s="1237"/>
      <c r="N35" s="1237"/>
      <c r="O35" s="1237"/>
      <c r="P35" s="3645"/>
      <c r="Q35" s="664" t="str">
        <f t="shared" si="11"/>
        <v>建筑品质</v>
      </c>
      <c r="R35" s="1285" t="s">
        <v>1013</v>
      </c>
      <c r="S35" s="1286">
        <f t="shared" si="12"/>
        <v>100</v>
      </c>
      <c r="T35" s="1285" t="s">
        <v>1013</v>
      </c>
      <c r="U35" s="1286">
        <f t="shared" si="13"/>
        <v>100</v>
      </c>
      <c r="V35" s="1285" t="s">
        <v>1013</v>
      </c>
      <c r="W35" s="1286">
        <f t="shared" si="14"/>
        <v>100</v>
      </c>
      <c r="X35" s="1279"/>
      <c r="Y35" s="3649"/>
      <c r="Z35" s="1269" t="str">
        <f t="shared" si="18"/>
        <v>建筑品质</v>
      </c>
      <c r="AA35" s="1296">
        <f t="shared" si="15"/>
        <v>1</v>
      </c>
      <c r="AB35" s="1296">
        <f t="shared" si="16"/>
        <v>1</v>
      </c>
      <c r="AC35" s="1296">
        <f t="shared" si="17"/>
        <v>1</v>
      </c>
    </row>
    <row r="36" spans="1:29" ht="15">
      <c r="A36" s="1161"/>
      <c r="B36" s="1107" t="s">
        <v>1037</v>
      </c>
      <c r="C36" s="1162"/>
      <c r="D36" s="1119">
        <v>100</v>
      </c>
      <c r="E36" s="1658"/>
      <c r="F36" s="1473">
        <f>SUMIF(109:109,E36,110:110)-SUMIF(109:109,C36,110:110)+100</f>
        <v>100</v>
      </c>
      <c r="G36" s="1162"/>
      <c r="H36" s="1119">
        <f>SUMIF(109:109,G36,110:110)-SUMIF(109:109,C36,110:110)+100</f>
        <v>100</v>
      </c>
      <c r="I36" s="1658"/>
      <c r="J36" s="1119">
        <f>SUMIF(109:109,I36,110:110)-SUMIF(109:109,C36,110:110)+100</f>
        <v>100</v>
      </c>
      <c r="K36" s="1674"/>
      <c r="L36" s="1249"/>
      <c r="M36" s="1237"/>
      <c r="N36" s="1237"/>
      <c r="O36" s="1237"/>
      <c r="P36" s="3645"/>
      <c r="Q36" s="664" t="str">
        <f t="shared" si="11"/>
        <v>公共部分装修</v>
      </c>
      <c r="R36" s="1285" t="s">
        <v>1013</v>
      </c>
      <c r="S36" s="1286">
        <f t="shared" si="12"/>
        <v>100</v>
      </c>
      <c r="T36" s="1285" t="s">
        <v>1013</v>
      </c>
      <c r="U36" s="1286">
        <f t="shared" si="13"/>
        <v>100</v>
      </c>
      <c r="V36" s="1285" t="s">
        <v>1013</v>
      </c>
      <c r="W36" s="1286">
        <f t="shared" si="14"/>
        <v>100</v>
      </c>
      <c r="X36" s="1279"/>
      <c r="Y36" s="3649"/>
      <c r="Z36" s="1269" t="str">
        <f t="shared" si="18"/>
        <v>公共部分装修</v>
      </c>
      <c r="AA36" s="1296">
        <f t="shared" si="15"/>
        <v>1</v>
      </c>
      <c r="AB36" s="1296">
        <f t="shared" si="16"/>
        <v>1</v>
      </c>
      <c r="AC36" s="1296">
        <f t="shared" si="17"/>
        <v>1</v>
      </c>
    </row>
    <row r="37" spans="1:29" s="1069" customFormat="1" ht="15">
      <c r="A37" s="1163"/>
      <c r="B37" s="1107" t="s">
        <v>635</v>
      </c>
      <c r="C37" s="1480"/>
      <c r="D37" s="1109">
        <v>100</v>
      </c>
      <c r="E37" s="1480"/>
      <c r="F37" s="1466" t="e">
        <f>LOOKUP(E37,112:112,113:113)-LOOKUP(C37,112:112,113:113)+100</f>
        <v>#N/A</v>
      </c>
      <c r="G37" s="1482"/>
      <c r="H37" s="1109" t="e">
        <f>LOOKUP(G37,112:112,113:113)-LOOKUP(C37,112:112,113:113)+100</f>
        <v>#N/A</v>
      </c>
      <c r="I37" s="1481"/>
      <c r="J37" s="1109" t="e">
        <f>LOOKUP(I37,112:112,113:113)-LOOKUP(C37,112:112,113:113)+100</f>
        <v>#N/A</v>
      </c>
      <c r="K37" s="1674"/>
      <c r="L37" s="1239"/>
      <c r="M37" s="1240"/>
      <c r="N37" s="1240"/>
      <c r="O37" s="1240"/>
      <c r="P37" s="3645"/>
      <c r="Q37" s="1284" t="str">
        <f t="shared" si="11"/>
        <v>成新度</v>
      </c>
      <c r="R37" s="1280" t="s">
        <v>1013</v>
      </c>
      <c r="S37" s="1281" t="e">
        <f t="shared" si="12"/>
        <v>#N/A</v>
      </c>
      <c r="T37" s="1280" t="s">
        <v>1013</v>
      </c>
      <c r="U37" s="1281" t="e">
        <f t="shared" si="13"/>
        <v>#N/A</v>
      </c>
      <c r="V37" s="1280" t="s">
        <v>1013</v>
      </c>
      <c r="W37" s="1281" t="e">
        <f t="shared" si="14"/>
        <v>#N/A</v>
      </c>
      <c r="X37" s="1282"/>
      <c r="Y37" s="3649"/>
      <c r="Z37" s="1295" t="str">
        <f t="shared" si="18"/>
        <v>成新度</v>
      </c>
      <c r="AA37" s="1294" t="e">
        <f t="shared" si="15"/>
        <v>#N/A</v>
      </c>
      <c r="AB37" s="1294" t="e">
        <f t="shared" si="16"/>
        <v>#N/A</v>
      </c>
      <c r="AC37" s="1294" t="e">
        <f t="shared" si="17"/>
        <v>#N/A</v>
      </c>
    </row>
    <row r="38" spans="1:29" ht="15">
      <c r="A38" s="1161"/>
      <c r="B38" s="1107" t="s">
        <v>1039</v>
      </c>
      <c r="C38" s="1162"/>
      <c r="D38" s="1119">
        <v>100</v>
      </c>
      <c r="E38" s="1658"/>
      <c r="F38" s="1473">
        <f>SUMIF(114:114,E38,115:115)-SUMIF(114:114,C38,115:115)+100</f>
        <v>100</v>
      </c>
      <c r="G38" s="1162"/>
      <c r="H38" s="1119">
        <f>SUMIF(114:114,G38,115:115)-SUMIF(114:114,C38,115:115)+100</f>
        <v>100</v>
      </c>
      <c r="I38" s="1658"/>
      <c r="J38" s="1119">
        <f>SUMIF(114:114,I38,115:115)-SUMIF(114:114,C38,115:115)+100</f>
        <v>100</v>
      </c>
      <c r="K38" s="1674"/>
      <c r="L38" s="1249"/>
      <c r="M38" s="1237"/>
      <c r="N38" s="1237"/>
      <c r="O38" s="1237"/>
      <c r="P38" s="3645" t="s">
        <v>1034</v>
      </c>
      <c r="Q38" s="664" t="str">
        <f t="shared" si="11"/>
        <v>物业管理</v>
      </c>
      <c r="R38" s="1285" t="s">
        <v>1013</v>
      </c>
      <c r="S38" s="1286">
        <f t="shared" si="12"/>
        <v>100</v>
      </c>
      <c r="T38" s="1285" t="s">
        <v>1013</v>
      </c>
      <c r="U38" s="1286">
        <f t="shared" si="13"/>
        <v>100</v>
      </c>
      <c r="V38" s="1285" t="s">
        <v>1013</v>
      </c>
      <c r="W38" s="1286">
        <f t="shared" si="14"/>
        <v>100</v>
      </c>
      <c r="X38" s="1279"/>
      <c r="Y38" s="3649" t="s">
        <v>1034</v>
      </c>
      <c r="Z38" s="1269" t="str">
        <f t="shared" si="18"/>
        <v>物业管理</v>
      </c>
      <c r="AA38" s="1296">
        <f t="shared" si="15"/>
        <v>1</v>
      </c>
      <c r="AB38" s="1296">
        <f t="shared" si="16"/>
        <v>1</v>
      </c>
      <c r="AC38" s="1296">
        <f t="shared" si="17"/>
        <v>1</v>
      </c>
    </row>
    <row r="39" spans="1:29" ht="15">
      <c r="A39" s="1161"/>
      <c r="B39" s="1107" t="s">
        <v>1040</v>
      </c>
      <c r="C39" s="1162"/>
      <c r="D39" s="1119">
        <v>100</v>
      </c>
      <c r="E39" s="1658"/>
      <c r="F39" s="1473">
        <f>SUMIF(116:116,E39,117:117)-SUMIF(116:116,C39,117:117)+100</f>
        <v>100</v>
      </c>
      <c r="G39" s="1162"/>
      <c r="H39" s="1119">
        <f>SUMIF(116:116,G39,117:117)-SUMIF(116:116,C39,117:117)+100</f>
        <v>100</v>
      </c>
      <c r="I39" s="1658"/>
      <c r="J39" s="1119">
        <f>SUMIF(116:116,I39,117:117)-SUMIF(116:116,C39,117:117)+100</f>
        <v>100</v>
      </c>
      <c r="K39" s="1674"/>
      <c r="L39" s="1249"/>
      <c r="M39" s="1237"/>
      <c r="N39" s="1237"/>
      <c r="O39" s="1237"/>
      <c r="P39" s="3645"/>
      <c r="Q39" s="664" t="str">
        <f t="shared" si="11"/>
        <v>市政基础设施</v>
      </c>
      <c r="R39" s="1285" t="s">
        <v>1013</v>
      </c>
      <c r="S39" s="1286">
        <f t="shared" si="12"/>
        <v>100</v>
      </c>
      <c r="T39" s="1285" t="s">
        <v>1013</v>
      </c>
      <c r="U39" s="1286">
        <f t="shared" si="13"/>
        <v>100</v>
      </c>
      <c r="V39" s="1285" t="s">
        <v>1013</v>
      </c>
      <c r="W39" s="1286">
        <f t="shared" si="14"/>
        <v>100</v>
      </c>
      <c r="X39" s="1279"/>
      <c r="Y39" s="3649"/>
      <c r="Z39" s="1269" t="str">
        <f t="shared" si="18"/>
        <v>市政基础设施</v>
      </c>
      <c r="AA39" s="1296">
        <f t="shared" si="15"/>
        <v>1</v>
      </c>
      <c r="AB39" s="1296">
        <f t="shared" si="16"/>
        <v>1</v>
      </c>
      <c r="AC39" s="1296">
        <f t="shared" si="17"/>
        <v>1</v>
      </c>
    </row>
    <row r="40" spans="1:29" ht="15">
      <c r="A40" s="1161"/>
      <c r="B40" s="1107" t="s">
        <v>1554</v>
      </c>
      <c r="C40" s="1162"/>
      <c r="D40" s="1119">
        <v>100</v>
      </c>
      <c r="E40" s="1658"/>
      <c r="F40" s="1473">
        <f>SUMIF(118:118,E40,119:119)-SUMIF(118:118,C40,119:119)+100</f>
        <v>100</v>
      </c>
      <c r="G40" s="1162"/>
      <c r="H40" s="1119">
        <f>SUMIF(118:118,G40,119:119)-SUMIF(118:118,C40,119:119)+100</f>
        <v>100</v>
      </c>
      <c r="I40" s="1658"/>
      <c r="J40" s="1119">
        <f>SUMIF(118:118,I40,119:119)-SUMIF(118:118,C40,119:119)+100</f>
        <v>100</v>
      </c>
      <c r="K40" s="1674"/>
      <c r="L40" s="1249"/>
      <c r="M40" s="1237"/>
      <c r="N40" s="1237"/>
      <c r="O40" s="1237"/>
      <c r="P40" s="3645"/>
      <c r="Q40" s="664" t="str">
        <f t="shared" si="11"/>
        <v>房型</v>
      </c>
      <c r="R40" s="1285" t="s">
        <v>1013</v>
      </c>
      <c r="S40" s="1286">
        <f t="shared" si="12"/>
        <v>100</v>
      </c>
      <c r="T40" s="1285" t="s">
        <v>1013</v>
      </c>
      <c r="U40" s="1286">
        <f t="shared" si="13"/>
        <v>100</v>
      </c>
      <c r="V40" s="1285" t="s">
        <v>1013</v>
      </c>
      <c r="W40" s="1286">
        <f t="shared" si="14"/>
        <v>100</v>
      </c>
      <c r="X40" s="1279"/>
      <c r="Y40" s="3649"/>
      <c r="Z40" s="1269" t="str">
        <f t="shared" si="18"/>
        <v>房型</v>
      </c>
      <c r="AA40" s="1296">
        <f t="shared" si="15"/>
        <v>1</v>
      </c>
      <c r="AB40" s="1296">
        <f t="shared" si="16"/>
        <v>1</v>
      </c>
      <c r="AC40" s="1296">
        <f t="shared" si="17"/>
        <v>1</v>
      </c>
    </row>
    <row r="41" spans="1:29" s="1071" customFormat="1" ht="28.5">
      <c r="A41" s="1166"/>
      <c r="B41" s="1107" t="s">
        <v>1555</v>
      </c>
      <c r="C41" s="1467"/>
      <c r="D41" s="1109">
        <v>100</v>
      </c>
      <c r="E41" s="1112"/>
      <c r="F41" s="1466">
        <f>SUMIF(120:120,E41,121:121)-SUMIF(120:120,C41,121:121)+100</f>
        <v>100</v>
      </c>
      <c r="G41" s="1111"/>
      <c r="H41" s="1109">
        <f>SUMIF(120:120,G41,121:121)-SUMIF(120:120,C41,121:121)+100</f>
        <v>100</v>
      </c>
      <c r="I41" s="1150"/>
      <c r="J41" s="1119">
        <f>SUMIF(120:120,I41,121:121)-SUMIF(120:120,C41,121:121)+100</f>
        <v>100</v>
      </c>
      <c r="K41" s="1675"/>
      <c r="L41" s="1247"/>
      <c r="M41" s="1256"/>
      <c r="N41" s="1256"/>
      <c r="O41" s="1256"/>
      <c r="P41" s="3645"/>
      <c r="Q41" s="1512" t="str">
        <f t="shared" si="11"/>
        <v>单套/主力户型建筑面积</v>
      </c>
      <c r="R41" s="1287" t="s">
        <v>1013</v>
      </c>
      <c r="S41" s="1288">
        <f t="shared" si="12"/>
        <v>100</v>
      </c>
      <c r="T41" s="1287" t="s">
        <v>1013</v>
      </c>
      <c r="U41" s="1288">
        <f t="shared" si="13"/>
        <v>100</v>
      </c>
      <c r="V41" s="1287" t="s">
        <v>1013</v>
      </c>
      <c r="W41" s="1288">
        <f t="shared" si="14"/>
        <v>100</v>
      </c>
      <c r="X41" s="1289"/>
      <c r="Y41" s="3649"/>
      <c r="Z41" s="1297" t="str">
        <f t="shared" si="18"/>
        <v>单套/主力户型建筑面积</v>
      </c>
      <c r="AA41" s="1296">
        <f t="shared" si="15"/>
        <v>1</v>
      </c>
      <c r="AB41" s="1296">
        <f t="shared" si="16"/>
        <v>1</v>
      </c>
      <c r="AC41" s="1296">
        <f t="shared" si="17"/>
        <v>1</v>
      </c>
    </row>
    <row r="42" spans="1:29" ht="15">
      <c r="A42" s="1161"/>
      <c r="B42" s="1107" t="s">
        <v>1043</v>
      </c>
      <c r="C42" s="1162"/>
      <c r="D42" s="1119">
        <v>100</v>
      </c>
      <c r="E42" s="1658"/>
      <c r="F42" s="1473">
        <f>SUMIF(122:122,E42,123:123)-SUMIF(122:122,C42,123:123)+100</f>
        <v>100</v>
      </c>
      <c r="G42" s="1162"/>
      <c r="H42" s="1119">
        <f>SUMIF(122:122,G42,123:123)-SUMIF(122:122,C42,123:123)+100</f>
        <v>100</v>
      </c>
      <c r="I42" s="1658"/>
      <c r="J42" s="1119">
        <f>SUMIF(122:122,I42,123:123)-SUMIF(122:122,C42,123:123)+100</f>
        <v>100</v>
      </c>
      <c r="K42" s="1674"/>
      <c r="L42" s="1249"/>
      <c r="M42" s="1237"/>
      <c r="N42" s="1237"/>
      <c r="O42" s="1237"/>
      <c r="P42" s="3645"/>
      <c r="Q42" s="664" t="str">
        <f t="shared" si="11"/>
        <v>内部装修</v>
      </c>
      <c r="R42" s="1285" t="s">
        <v>1013</v>
      </c>
      <c r="S42" s="1286">
        <f t="shared" si="12"/>
        <v>100</v>
      </c>
      <c r="T42" s="1285" t="s">
        <v>1013</v>
      </c>
      <c r="U42" s="1286">
        <f t="shared" si="13"/>
        <v>100</v>
      </c>
      <c r="V42" s="1285" t="s">
        <v>1013</v>
      </c>
      <c r="W42" s="1286">
        <f t="shared" si="14"/>
        <v>100</v>
      </c>
      <c r="X42" s="1279"/>
      <c r="Y42" s="3649"/>
      <c r="Z42" s="1269" t="str">
        <f t="shared" si="18"/>
        <v>内部装修</v>
      </c>
      <c r="AA42" s="1296">
        <f t="shared" si="15"/>
        <v>1</v>
      </c>
      <c r="AB42" s="1296">
        <f t="shared" si="16"/>
        <v>1</v>
      </c>
      <c r="AC42" s="1296">
        <f t="shared" si="17"/>
        <v>1</v>
      </c>
    </row>
    <row r="43" spans="1:29" ht="15">
      <c r="A43" s="1161"/>
      <c r="B43" s="1107" t="s">
        <v>1044</v>
      </c>
      <c r="C43" s="1162"/>
      <c r="D43" s="1119">
        <v>100</v>
      </c>
      <c r="E43" s="1658"/>
      <c r="F43" s="1473">
        <f>SUMIF(124:124,E43,125:125)-SUMIF(124:124,C43,125:125)+100</f>
        <v>100</v>
      </c>
      <c r="G43" s="1162"/>
      <c r="H43" s="1119">
        <f>SUMIF(124:124,G43,125:125)-SUMIF(124:124,C43,125:125)+100</f>
        <v>100</v>
      </c>
      <c r="I43" s="1658"/>
      <c r="J43" s="1119">
        <f>SUMIF(124:124,I43,125:125)-SUMIF(124:124,C43,125:125)+100</f>
        <v>100</v>
      </c>
      <c r="K43" s="1674"/>
      <c r="L43" s="1249"/>
      <c r="M43" s="1237"/>
      <c r="N43" s="1237"/>
      <c r="O43" s="1237"/>
      <c r="P43" s="3645"/>
      <c r="Q43" s="664" t="str">
        <f t="shared" si="11"/>
        <v>内部装修维护情况</v>
      </c>
      <c r="R43" s="1285" t="s">
        <v>1013</v>
      </c>
      <c r="S43" s="1286">
        <f t="shared" si="12"/>
        <v>100</v>
      </c>
      <c r="T43" s="1285" t="s">
        <v>1013</v>
      </c>
      <c r="U43" s="1286">
        <f t="shared" si="13"/>
        <v>100</v>
      </c>
      <c r="V43" s="1285" t="s">
        <v>1013</v>
      </c>
      <c r="W43" s="1286">
        <f t="shared" si="14"/>
        <v>100</v>
      </c>
      <c r="X43" s="1279"/>
      <c r="Y43" s="3649"/>
      <c r="Z43" s="1269" t="str">
        <f t="shared" si="18"/>
        <v>内部装修维护情况</v>
      </c>
      <c r="AA43" s="1296">
        <f t="shared" si="15"/>
        <v>1</v>
      </c>
      <c r="AB43" s="1296">
        <f t="shared" si="16"/>
        <v>1</v>
      </c>
      <c r="AC43" s="1296">
        <f t="shared" si="17"/>
        <v>1</v>
      </c>
    </row>
    <row r="44" spans="1:29" s="1069" customFormat="1" ht="15">
      <c r="A44" s="1163"/>
      <c r="B44" s="1425">
        <v>111</v>
      </c>
      <c r="C44" s="1467"/>
      <c r="D44" s="1109">
        <v>100</v>
      </c>
      <c r="E44" s="1467"/>
      <c r="F44" s="1466">
        <f>SUMIF(126:126,E44,127:127)-SUMIF(126:126,C44,127:127)+100</f>
        <v>100</v>
      </c>
      <c r="G44" s="1467"/>
      <c r="H44" s="1109">
        <f>SUMIF(126:126,G44,127:127)-SUMIF(126:126,C44,127:127)+100</f>
        <v>100</v>
      </c>
      <c r="I44" s="1467"/>
      <c r="J44" s="1109">
        <f>SUMIF(126:126,I44,127:127)-SUMIF(126:126,C44,127:127)+100</f>
        <v>100</v>
      </c>
      <c r="K44" s="1675"/>
      <c r="L44" s="1239"/>
      <c r="M44" s="1240"/>
      <c r="N44" s="1240"/>
      <c r="O44" s="1240"/>
      <c r="P44" s="3645"/>
      <c r="Q44" s="1284">
        <f t="shared" si="11"/>
        <v>111</v>
      </c>
      <c r="R44" s="1280" t="s">
        <v>1013</v>
      </c>
      <c r="S44" s="1281">
        <f t="shared" si="12"/>
        <v>100</v>
      </c>
      <c r="T44" s="1280" t="s">
        <v>1013</v>
      </c>
      <c r="U44" s="1281">
        <f t="shared" si="13"/>
        <v>100</v>
      </c>
      <c r="V44" s="1280" t="s">
        <v>1013</v>
      </c>
      <c r="W44" s="1281">
        <f t="shared" si="14"/>
        <v>100</v>
      </c>
      <c r="X44" s="1282"/>
      <c r="Y44" s="3649"/>
      <c r="Z44" s="1295">
        <f t="shared" si="18"/>
        <v>111</v>
      </c>
      <c r="AA44" s="1294">
        <f t="shared" si="15"/>
        <v>1</v>
      </c>
      <c r="AB44" s="1294">
        <f t="shared" si="16"/>
        <v>1</v>
      </c>
      <c r="AC44" s="1294">
        <f t="shared" si="17"/>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675"/>
      <c r="L45" s="1249"/>
      <c r="M45" s="1237"/>
      <c r="N45" s="1237"/>
      <c r="O45" s="1237"/>
      <c r="P45" s="3645"/>
      <c r="Q45" s="664">
        <f t="shared" si="11"/>
        <v>111</v>
      </c>
      <c r="R45" s="1285" t="s">
        <v>1013</v>
      </c>
      <c r="S45" s="1286">
        <f t="shared" si="12"/>
        <v>100</v>
      </c>
      <c r="T45" s="1285" t="s">
        <v>1013</v>
      </c>
      <c r="U45" s="1286">
        <f t="shared" si="13"/>
        <v>100</v>
      </c>
      <c r="V45" s="1285" t="s">
        <v>1013</v>
      </c>
      <c r="W45" s="1286">
        <f t="shared" si="14"/>
        <v>100</v>
      </c>
      <c r="X45" s="1279"/>
      <c r="Y45" s="3649"/>
      <c r="Z45" s="1269">
        <f t="shared" si="18"/>
        <v>111</v>
      </c>
      <c r="AA45" s="1296">
        <f t="shared" si="15"/>
        <v>1</v>
      </c>
      <c r="AB45" s="1296">
        <f t="shared" si="16"/>
        <v>1</v>
      </c>
      <c r="AC45" s="1296">
        <f t="shared" si="17"/>
        <v>1</v>
      </c>
    </row>
    <row r="46" spans="1:29" ht="15">
      <c r="A46" s="1485"/>
      <c r="B46" s="1121">
        <v>111</v>
      </c>
      <c r="C46" s="1122"/>
      <c r="D46" s="1123">
        <v>100</v>
      </c>
      <c r="E46" s="1122"/>
      <c r="F46" s="1486">
        <f>SUMIF(130:130,E46,131:131)-SUMIF(130:130,C46,131:131)+100</f>
        <v>100</v>
      </c>
      <c r="G46" s="1122"/>
      <c r="H46" s="1123">
        <f>SUMIF(130:130,G46,131:131)-SUMIF(130:130,C46,131:131)+100</f>
        <v>100</v>
      </c>
      <c r="I46" s="1122"/>
      <c r="J46" s="1123">
        <f>SUMIF(130:130,I46,131:131)-SUMIF(130:130,C46,131:131)+100</f>
        <v>100</v>
      </c>
      <c r="K46" s="1675"/>
      <c r="L46" s="1249"/>
      <c r="M46" s="1237"/>
      <c r="N46" s="1237"/>
      <c r="O46" s="1237"/>
      <c r="P46" s="3646"/>
      <c r="Q46" s="664">
        <f t="shared" si="11"/>
        <v>111</v>
      </c>
      <c r="R46" s="1285" t="s">
        <v>1013</v>
      </c>
      <c r="S46" s="1286">
        <f t="shared" si="12"/>
        <v>100</v>
      </c>
      <c r="T46" s="1285" t="s">
        <v>1013</v>
      </c>
      <c r="U46" s="1286">
        <f t="shared" si="13"/>
        <v>100</v>
      </c>
      <c r="V46" s="1285" t="s">
        <v>1013</v>
      </c>
      <c r="W46" s="1286">
        <f t="shared" si="14"/>
        <v>100</v>
      </c>
      <c r="X46" s="1279"/>
      <c r="Y46" s="3650"/>
      <c r="Z46" s="1269">
        <f t="shared" si="18"/>
        <v>111</v>
      </c>
      <c r="AA46" s="1296">
        <f t="shared" si="15"/>
        <v>1</v>
      </c>
      <c r="AB46" s="1296">
        <f t="shared" si="16"/>
        <v>1</v>
      </c>
      <c r="AC46" s="1296">
        <f t="shared" si="17"/>
        <v>1</v>
      </c>
    </row>
    <row r="47" spans="1:29" ht="15">
      <c r="A47" s="1168" t="s">
        <v>1045</v>
      </c>
      <c r="B47" s="1487"/>
      <c r="C47" s="1488" t="s">
        <v>124</v>
      </c>
      <c r="D47" s="1489"/>
      <c r="E47" s="1490"/>
      <c r="F47" s="1491"/>
      <c r="G47" s="1492"/>
      <c r="H47" s="1493"/>
      <c r="I47" s="1490"/>
      <c r="J47" s="1493"/>
      <c r="K47" s="1679"/>
      <c r="L47" s="1261"/>
      <c r="M47" s="1185"/>
      <c r="N47" s="1237"/>
      <c r="O47" s="1185"/>
      <c r="P47" s="3640" t="str">
        <f>A47</f>
        <v>成交单价（元/平方米）</v>
      </c>
      <c r="Q47" s="3640"/>
      <c r="R47" s="3641">
        <f>E47</f>
        <v>0</v>
      </c>
      <c r="S47" s="3641"/>
      <c r="T47" s="3641">
        <f>G47</f>
        <v>0</v>
      </c>
      <c r="U47" s="3641"/>
      <c r="V47" s="3641">
        <f>I47</f>
        <v>0</v>
      </c>
      <c r="W47" s="3641"/>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680">
        <f>F48+H48+J48</f>
        <v>0</v>
      </c>
      <c r="L48" s="1261"/>
      <c r="M48" s="1185"/>
      <c r="N48" s="1185"/>
      <c r="O48" s="118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5"/>
      <c r="Y48" s="1225"/>
      <c r="Z48" s="1225"/>
      <c r="AA48" s="1225"/>
      <c r="AB48" s="1225"/>
      <c r="AC48" s="1225"/>
    </row>
    <row r="49" spans="1:29" ht="15">
      <c r="A49" s="1182" t="s">
        <v>1048</v>
      </c>
      <c r="B49" s="1183"/>
      <c r="C49" s="1663" t="e">
        <f>R49</f>
        <v>#DIV/0!</v>
      </c>
      <c r="D49" s="1497"/>
      <c r="E49" s="1497"/>
      <c r="F49" s="1497"/>
      <c r="G49" s="1497"/>
      <c r="H49" s="1497"/>
      <c r="I49" s="1497"/>
      <c r="J49" s="1497"/>
      <c r="K49" s="1681"/>
      <c r="L49" s="1261"/>
      <c r="M49" s="1185"/>
      <c r="N49" s="1185"/>
      <c r="O49" s="118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2"/>
    </row>
    <row r="55" spans="1:29" s="1072" customFormat="1">
      <c r="A55" s="1190"/>
      <c r="B55" s="1191"/>
      <c r="C55" s="1498"/>
      <c r="D55" s="1190"/>
      <c r="E55" s="1190"/>
      <c r="F55" s="1190"/>
      <c r="G55" s="1190"/>
      <c r="H55" s="1190"/>
      <c r="I55" s="1190"/>
      <c r="J55" s="1190"/>
      <c r="K55" s="1267"/>
      <c r="L55" s="1268"/>
      <c r="M55" s="1190"/>
      <c r="N55" s="1190"/>
      <c r="O55" s="1190"/>
      <c r="P55" s="1682"/>
    </row>
    <row r="56" spans="1:29">
      <c r="A56" s="1185"/>
      <c r="B56" s="1191"/>
      <c r="C56" s="1498"/>
      <c r="D56" s="1185"/>
      <c r="E56" s="1185"/>
      <c r="F56" s="1185"/>
      <c r="G56" s="1185"/>
      <c r="H56" s="1185"/>
      <c r="I56" s="1185"/>
      <c r="J56" s="1185"/>
      <c r="K56" s="1265"/>
      <c r="L56" s="1266"/>
      <c r="M56" s="1185"/>
      <c r="N56" s="1185"/>
      <c r="O56" s="1185"/>
    </row>
    <row r="57" spans="1:29" ht="21">
      <c r="A57" s="1224" t="s">
        <v>1052</v>
      </c>
      <c r="B57" s="1225"/>
      <c r="C57" s="1226"/>
      <c r="D57" s="1226"/>
      <c r="E57" s="1226"/>
      <c r="F57" s="1227"/>
      <c r="G57" s="1227"/>
      <c r="H57" s="1226"/>
      <c r="I57" s="1226"/>
      <c r="J57" s="1226"/>
      <c r="K57" s="1443"/>
      <c r="L57" s="1444"/>
      <c r="M57" s="1277"/>
      <c r="N57" s="1277"/>
      <c r="O57" s="1277"/>
      <c r="P57" s="1683"/>
      <c r="Q57" s="1607"/>
    </row>
    <row r="58" spans="1:29" s="1074" customFormat="1" ht="15">
      <c r="A58" s="1499" t="s">
        <v>1011</v>
      </c>
      <c r="B58" s="1500"/>
      <c r="C58" s="1664" t="str">
        <f>YEAR(C7)&amp;"-"&amp;MONTH(C7)</f>
        <v>2023-6</v>
      </c>
      <c r="D58" s="1502">
        <f>EDATE(C58,-1)</f>
        <v>45047</v>
      </c>
      <c r="E58" s="1502">
        <f>EDATE(D58,-1)</f>
        <v>45017</v>
      </c>
      <c r="F58" s="1502">
        <f t="shared" ref="F58:O58" si="19">EDATE(E58,-1)</f>
        <v>44986</v>
      </c>
      <c r="G58" s="1502">
        <f t="shared" si="19"/>
        <v>44958</v>
      </c>
      <c r="H58" s="1502">
        <f t="shared" si="19"/>
        <v>44927</v>
      </c>
      <c r="I58" s="1502">
        <f t="shared" si="19"/>
        <v>44896</v>
      </c>
      <c r="J58" s="1502">
        <f t="shared" si="19"/>
        <v>44866</v>
      </c>
      <c r="K58" s="1502">
        <f t="shared" si="19"/>
        <v>44835</v>
      </c>
      <c r="L58" s="1502">
        <f t="shared" si="19"/>
        <v>44805</v>
      </c>
      <c r="M58" s="1502">
        <f t="shared" si="19"/>
        <v>44774</v>
      </c>
      <c r="N58" s="1502">
        <f t="shared" si="19"/>
        <v>44743</v>
      </c>
      <c r="O58" s="1502">
        <f t="shared" si="19"/>
        <v>44713</v>
      </c>
      <c r="P58" s="1684"/>
    </row>
    <row r="59" spans="1:29" s="1069" customFormat="1" ht="15">
      <c r="A59" s="1503"/>
      <c r="B59" s="1665"/>
      <c r="C59" s="1504">
        <v>100</v>
      </c>
      <c r="D59" s="1635"/>
      <c r="E59" s="1314"/>
      <c r="F59" s="1314"/>
      <c r="G59" s="1314"/>
      <c r="H59" s="1314"/>
      <c r="I59" s="1314"/>
      <c r="J59" s="1314"/>
      <c r="K59" s="1314"/>
      <c r="L59" s="1314"/>
      <c r="M59" s="1511"/>
      <c r="N59" s="1314"/>
      <c r="O59" s="1511"/>
      <c r="P59" s="1685"/>
    </row>
    <row r="60" spans="1:29" s="1069" customFormat="1" ht="15">
      <c r="A60" s="1305" t="s">
        <v>1053</v>
      </c>
      <c r="B60" s="1306"/>
      <c r="C60" s="1307"/>
      <c r="D60" s="1308"/>
      <c r="E60" s="1308"/>
      <c r="F60" s="1308"/>
      <c r="G60" s="1308"/>
      <c r="H60" s="1308"/>
      <c r="I60" s="1308"/>
      <c r="J60" s="1308"/>
      <c r="K60" s="1308"/>
      <c r="L60" s="1308"/>
      <c r="M60" s="1356"/>
      <c r="N60" s="1308"/>
      <c r="O60" s="1356"/>
      <c r="P60" s="1685"/>
      <c r="Q60" s="1607"/>
    </row>
    <row r="61" spans="1:29" s="1069" customFormat="1" ht="15">
      <c r="A61" s="1309" t="s">
        <v>1014</v>
      </c>
      <c r="B61" s="1310"/>
      <c r="C61" s="1311" t="s">
        <v>1054</v>
      </c>
      <c r="D61" s="1312"/>
      <c r="E61" s="1312"/>
      <c r="F61" s="1312"/>
      <c r="G61" s="1312"/>
      <c r="H61" s="1312"/>
      <c r="I61" s="1312"/>
      <c r="J61" s="1312"/>
      <c r="K61" s="1312"/>
      <c r="L61" s="1358"/>
      <c r="M61" s="1359"/>
      <c r="N61" s="1610"/>
      <c r="O61" s="1610"/>
      <c r="P61" s="1686"/>
      <c r="Q61" s="1607"/>
    </row>
    <row r="62" spans="1:29" s="1069" customFormat="1" ht="15">
      <c r="A62" s="1309"/>
      <c r="B62" s="1310"/>
      <c r="C62" s="1635">
        <v>100</v>
      </c>
      <c r="D62" s="1314"/>
      <c r="E62" s="1314"/>
      <c r="F62" s="1314"/>
      <c r="G62" s="1314"/>
      <c r="H62" s="1314"/>
      <c r="I62" s="1314"/>
      <c r="J62" s="1314"/>
      <c r="K62" s="1314"/>
      <c r="L62" s="1314"/>
      <c r="M62" s="1362"/>
      <c r="N62" s="1610"/>
      <c r="O62" s="1610"/>
      <c r="P62" s="1685"/>
      <c r="Q62" s="1607"/>
    </row>
    <row r="63" spans="1:29">
      <c r="A63" s="1315" t="s">
        <v>1055</v>
      </c>
      <c r="B63" s="1316" t="s">
        <v>1017</v>
      </c>
      <c r="C63" s="1338">
        <f>C9</f>
        <v>0</v>
      </c>
      <c r="D63" s="1258"/>
      <c r="E63" s="1258"/>
      <c r="F63" s="1258"/>
      <c r="G63" s="1258"/>
      <c r="H63" s="1258"/>
      <c r="I63" s="1258"/>
      <c r="J63" s="1258"/>
      <c r="K63" s="1363"/>
      <c r="L63" s="1364"/>
      <c r="M63" s="1365"/>
      <c r="N63" s="1612"/>
      <c r="O63" s="1612"/>
      <c r="P63" s="1687"/>
      <c r="Q63" s="1607"/>
    </row>
    <row r="64" spans="1:29" ht="15">
      <c r="A64" s="1317"/>
      <c r="B64" s="1318"/>
      <c r="C64" s="1319">
        <v>100</v>
      </c>
      <c r="D64" s="1319"/>
      <c r="E64" s="1319"/>
      <c r="F64" s="1319"/>
      <c r="G64" s="1319"/>
      <c r="H64" s="1319"/>
      <c r="I64" s="1319"/>
      <c r="J64" s="1319"/>
      <c r="K64" s="1319"/>
      <c r="L64" s="1319"/>
      <c r="M64" s="1368"/>
      <c r="N64" s="1614"/>
      <c r="O64" s="1614"/>
      <c r="P64" s="1687"/>
      <c r="Q64" s="1607"/>
    </row>
    <row r="65" spans="1:17" ht="27">
      <c r="A65" s="1317"/>
      <c r="B65" s="1320" t="s">
        <v>1020</v>
      </c>
      <c r="C65" s="1345"/>
      <c r="D65" s="1345"/>
      <c r="E65" s="1345"/>
      <c r="F65" s="1345"/>
      <c r="G65" s="1345"/>
      <c r="H65" s="1345"/>
      <c r="I65" s="1345"/>
      <c r="J65" s="1345"/>
      <c r="K65" s="1345"/>
      <c r="L65" s="1345"/>
      <c r="M65" s="1345"/>
      <c r="N65" s="1614"/>
      <c r="O65" s="1614"/>
      <c r="P65" s="1687"/>
      <c r="Q65" s="1607"/>
    </row>
    <row r="66" spans="1:17" ht="15">
      <c r="A66" s="1317"/>
      <c r="B66" s="1322"/>
      <c r="C66" s="1319"/>
      <c r="D66" s="1319"/>
      <c r="E66" s="1319"/>
      <c r="F66" s="1319"/>
      <c r="G66" s="1319"/>
      <c r="H66" s="1319"/>
      <c r="I66" s="1319"/>
      <c r="J66" s="1319"/>
      <c r="K66" s="1319"/>
      <c r="L66" s="1319"/>
      <c r="M66" s="1368"/>
      <c r="N66" s="1614"/>
      <c r="O66" s="1614"/>
      <c r="P66" s="1687"/>
      <c r="Q66" s="1607"/>
    </row>
    <row r="67" spans="1:17" ht="15">
      <c r="A67" s="1317"/>
      <c r="B67" s="1324" t="s">
        <v>1021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687"/>
      <c r="Q67" s="1607"/>
    </row>
    <row r="68" spans="1:17" ht="15">
      <c r="A68" s="1317"/>
      <c r="B68" s="1326"/>
      <c r="C68" s="1116"/>
      <c r="D68" s="1116"/>
      <c r="E68" s="1116"/>
      <c r="F68" s="1116"/>
      <c r="G68" s="1116"/>
      <c r="H68" s="1116"/>
      <c r="I68" s="1116"/>
      <c r="J68" s="1116"/>
      <c r="K68" s="1374"/>
      <c r="L68" s="1375"/>
      <c r="M68" s="1376"/>
      <c r="N68" s="1612"/>
      <c r="O68" s="1612"/>
      <c r="P68" s="1687"/>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687"/>
      <c r="Q69" s="1607"/>
    </row>
    <row r="70" spans="1:17" s="1071" customFormat="1" ht="15">
      <c r="A70" s="1327"/>
      <c r="B70" s="1320">
        <f>B12</f>
        <v>111</v>
      </c>
      <c r="C70" s="1328"/>
      <c r="D70" s="1328"/>
      <c r="E70" s="1328"/>
      <c r="F70" s="1328"/>
      <c r="G70" s="1328"/>
      <c r="H70" s="1329"/>
      <c r="I70" s="1329"/>
      <c r="J70" s="1329"/>
      <c r="K70" s="1329"/>
      <c r="L70" s="1377"/>
      <c r="M70" s="1378"/>
      <c r="N70" s="1615"/>
      <c r="O70" s="1615"/>
      <c r="P70" s="1691"/>
      <c r="Q70" s="1617"/>
    </row>
    <row r="71" spans="1:17" s="1071" customFormat="1" ht="15">
      <c r="A71" s="1327"/>
      <c r="B71" s="1322"/>
      <c r="C71" s="1330"/>
      <c r="D71" s="1319"/>
      <c r="E71" s="1319"/>
      <c r="F71" s="1319"/>
      <c r="G71" s="1319"/>
      <c r="H71" s="1319"/>
      <c r="I71" s="1319"/>
      <c r="J71" s="1319"/>
      <c r="K71" s="1319"/>
      <c r="L71" s="1319"/>
      <c r="M71" s="1368"/>
      <c r="N71" s="1614"/>
      <c r="O71" s="1614"/>
      <c r="P71" s="1691"/>
      <c r="Q71" s="1617"/>
    </row>
    <row r="72" spans="1:17" s="1071" customFormat="1" ht="15">
      <c r="A72" s="1327"/>
      <c r="B72" s="1320">
        <f>B13</f>
        <v>111</v>
      </c>
      <c r="C72" s="1328"/>
      <c r="D72" s="1328"/>
      <c r="E72" s="1328"/>
      <c r="F72" s="1328"/>
      <c r="G72" s="1328"/>
      <c r="H72" s="1329"/>
      <c r="I72" s="1329"/>
      <c r="J72" s="1329"/>
      <c r="K72" s="1329"/>
      <c r="L72" s="1377"/>
      <c r="M72" s="1378"/>
      <c r="N72" s="1615"/>
      <c r="O72" s="1615"/>
      <c r="P72" s="1692"/>
      <c r="Q72" s="1623"/>
    </row>
    <row r="73" spans="1:17" s="1071" customFormat="1" ht="15">
      <c r="A73" s="1327"/>
      <c r="B73" s="1322"/>
      <c r="C73" s="1330"/>
      <c r="D73" s="1330"/>
      <c r="E73" s="1330"/>
      <c r="F73" s="1330"/>
      <c r="G73" s="1330"/>
      <c r="H73" s="1331"/>
      <c r="I73" s="1331"/>
      <c r="J73" s="1331"/>
      <c r="K73" s="1331"/>
      <c r="L73" s="1331"/>
      <c r="M73" s="1381"/>
      <c r="N73" s="1615"/>
      <c r="O73" s="1615"/>
      <c r="P73" s="1691"/>
      <c r="Q73" s="1617"/>
    </row>
    <row r="74" spans="1:17" s="1071" customFormat="1" ht="15">
      <c r="A74" s="1327"/>
      <c r="B74" s="1324">
        <f>B14</f>
        <v>111</v>
      </c>
      <c r="C74" s="1328"/>
      <c r="D74" s="1328"/>
      <c r="E74" s="1328"/>
      <c r="F74" s="1328"/>
      <c r="G74" s="1312"/>
      <c r="H74" s="1332"/>
      <c r="I74" s="1332"/>
      <c r="J74" s="1332"/>
      <c r="K74" s="1332"/>
      <c r="L74" s="1382"/>
      <c r="M74" s="1383"/>
      <c r="N74" s="1615"/>
      <c r="O74" s="1615"/>
      <c r="P74" s="1693"/>
      <c r="Q74" s="1617"/>
    </row>
    <row r="75" spans="1:17" s="1071" customFormat="1" ht="15">
      <c r="A75" s="1333"/>
      <c r="B75" s="1334"/>
      <c r="C75" s="1335"/>
      <c r="D75" s="1335"/>
      <c r="E75" s="1335"/>
      <c r="F75" s="1335"/>
      <c r="G75" s="1335"/>
      <c r="H75" s="1336"/>
      <c r="I75" s="1336"/>
      <c r="J75" s="1336"/>
      <c r="K75" s="1336"/>
      <c r="L75" s="1336"/>
      <c r="M75" s="1385"/>
      <c r="N75" s="1615"/>
      <c r="O75" s="1615"/>
      <c r="P75" s="1691"/>
      <c r="Q75" s="1617"/>
    </row>
    <row r="76" spans="1:17">
      <c r="A76" s="1315" t="s">
        <v>1022</v>
      </c>
      <c r="B76" s="1316" t="s">
        <v>1550</v>
      </c>
      <c r="C76" s="1337" t="s">
        <v>1056</v>
      </c>
      <c r="D76" s="1337" t="s">
        <v>1057</v>
      </c>
      <c r="E76" s="1337" t="s">
        <v>1058</v>
      </c>
      <c r="F76" s="1337" t="s">
        <v>1059</v>
      </c>
      <c r="G76" s="1337" t="s">
        <v>1060</v>
      </c>
      <c r="H76" s="1338"/>
      <c r="I76" s="1338"/>
      <c r="J76" s="1338"/>
      <c r="K76" s="1386"/>
      <c r="L76" s="1387"/>
      <c r="M76" s="1388"/>
      <c r="N76" s="1612"/>
      <c r="O76" s="1612"/>
      <c r="P76" s="1694"/>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687"/>
      <c r="Q77" s="1607"/>
    </row>
    <row r="78" spans="1:17" ht="15">
      <c r="A78" s="1317"/>
      <c r="B78" s="1320" t="s">
        <v>1025</v>
      </c>
      <c r="C78" s="1339" t="s">
        <v>1056</v>
      </c>
      <c r="D78" s="1339" t="s">
        <v>1057</v>
      </c>
      <c r="E78" s="1339" t="s">
        <v>1058</v>
      </c>
      <c r="F78" s="1339" t="s">
        <v>1059</v>
      </c>
      <c r="G78" s="1339" t="s">
        <v>1060</v>
      </c>
      <c r="H78" s="1321"/>
      <c r="I78" s="1321"/>
      <c r="J78" s="1321"/>
      <c r="K78" s="1370"/>
      <c r="L78" s="1371"/>
      <c r="M78" s="1372"/>
      <c r="N78" s="1612"/>
      <c r="O78" s="1612"/>
      <c r="P78" s="1687"/>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687"/>
      <c r="Q79" s="1607"/>
    </row>
    <row r="80" spans="1:17" ht="15">
      <c r="A80" s="1317"/>
      <c r="B80" s="1320" t="s">
        <v>1026</v>
      </c>
      <c r="C80" s="1339" t="s">
        <v>1056</v>
      </c>
      <c r="D80" s="1339" t="s">
        <v>1057</v>
      </c>
      <c r="E80" s="1339" t="s">
        <v>1058</v>
      </c>
      <c r="F80" s="1339" t="s">
        <v>1059</v>
      </c>
      <c r="G80" s="1339" t="s">
        <v>1060</v>
      </c>
      <c r="H80" s="1321"/>
      <c r="I80" s="1321"/>
      <c r="J80" s="1321"/>
      <c r="K80" s="1370"/>
      <c r="L80" s="1371"/>
      <c r="M80" s="1372"/>
      <c r="N80" s="1612"/>
      <c r="O80" s="1612"/>
      <c r="P80" s="1687"/>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687"/>
      <c r="Q81" s="1607"/>
    </row>
    <row r="82" spans="1:17" ht="15">
      <c r="A82" s="1317"/>
      <c r="B82" s="1324" t="s">
        <v>1027</v>
      </c>
      <c r="C82" s="1321" t="s">
        <v>1061</v>
      </c>
      <c r="D82" s="1321" t="s">
        <v>1062</v>
      </c>
      <c r="E82" s="1321" t="s">
        <v>1063</v>
      </c>
      <c r="F82" s="1321" t="s">
        <v>1064</v>
      </c>
      <c r="G82" s="1321" t="s">
        <v>1065</v>
      </c>
      <c r="H82" s="1321"/>
      <c r="I82" s="1321"/>
      <c r="J82" s="1321"/>
      <c r="K82" s="1321"/>
      <c r="L82" s="1321"/>
      <c r="M82" s="1516"/>
      <c r="N82" s="1614"/>
      <c r="O82" s="1614"/>
      <c r="P82" s="1687"/>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687"/>
      <c r="Q83" s="1607"/>
    </row>
    <row r="84" spans="1:17" ht="15">
      <c r="A84" s="1317"/>
      <c r="B84" s="1320" t="s">
        <v>1551</v>
      </c>
      <c r="C84" s="1339" t="s">
        <v>1056</v>
      </c>
      <c r="D84" s="1339" t="s">
        <v>1057</v>
      </c>
      <c r="E84" s="1339" t="s">
        <v>1058</v>
      </c>
      <c r="F84" s="1339" t="s">
        <v>1059</v>
      </c>
      <c r="G84" s="1339" t="s">
        <v>1060</v>
      </c>
      <c r="H84" s="1321"/>
      <c r="I84" s="1321"/>
      <c r="J84" s="1321"/>
      <c r="K84" s="1370"/>
      <c r="L84" s="1371"/>
      <c r="M84" s="1372"/>
      <c r="N84" s="1612"/>
      <c r="O84" s="1612"/>
      <c r="P84" s="1687"/>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687"/>
      <c r="Q85" s="1607"/>
    </row>
    <row r="86" spans="1:17" s="1069" customFormat="1" ht="15">
      <c r="A86" s="1340"/>
      <c r="B86" s="1320" t="s">
        <v>1552</v>
      </c>
      <c r="C86" s="1328"/>
      <c r="D86" s="1328"/>
      <c r="E86" s="1328"/>
      <c r="F86" s="1328"/>
      <c r="G86" s="1328"/>
      <c r="H86" s="1328"/>
      <c r="I86" s="1328"/>
      <c r="J86" s="1328"/>
      <c r="K86" s="1328"/>
      <c r="L86" s="1517"/>
      <c r="M86" s="1518"/>
      <c r="N86" s="1610"/>
      <c r="O86" s="1610"/>
      <c r="P86" s="1687"/>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69" customFormat="1" ht="15">
      <c r="A88" s="1340"/>
      <c r="B88" s="1320" t="s">
        <v>1031</v>
      </c>
      <c r="C88" s="1328"/>
      <c r="D88" s="1328"/>
      <c r="E88" s="1328"/>
      <c r="F88" s="1648"/>
      <c r="G88" s="1328"/>
      <c r="H88" s="1328"/>
      <c r="I88" s="1328"/>
      <c r="J88" s="1328"/>
      <c r="K88" s="1328"/>
      <c r="L88" s="1328"/>
      <c r="M88" s="1518"/>
      <c r="N88" s="1610"/>
      <c r="O88" s="1610"/>
      <c r="P88" s="1687"/>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1" customFormat="1" ht="15">
      <c r="A90" s="1327"/>
      <c r="B90" s="1320">
        <f>B27</f>
        <v>111</v>
      </c>
      <c r="C90" s="1328"/>
      <c r="D90" s="1328"/>
      <c r="E90" s="1328"/>
      <c r="F90" s="1328"/>
      <c r="G90" s="1328"/>
      <c r="H90" s="1329"/>
      <c r="I90" s="1329"/>
      <c r="J90" s="1329"/>
      <c r="K90" s="1329"/>
      <c r="L90" s="1377"/>
      <c r="M90" s="1378"/>
      <c r="N90" s="1615"/>
      <c r="O90" s="1615"/>
      <c r="P90" s="1691"/>
      <c r="Q90" s="1617"/>
    </row>
    <row r="91" spans="1:17" s="1071" customFormat="1" ht="15">
      <c r="A91" s="1327"/>
      <c r="B91" s="1322"/>
      <c r="C91" s="1330"/>
      <c r="D91" s="1330"/>
      <c r="E91" s="1330"/>
      <c r="F91" s="1330"/>
      <c r="G91" s="1330"/>
      <c r="H91" s="1331"/>
      <c r="I91" s="1331"/>
      <c r="J91" s="1331"/>
      <c r="K91" s="1331"/>
      <c r="L91" s="1331"/>
      <c r="M91" s="1381"/>
      <c r="N91" s="1615"/>
      <c r="O91" s="1615"/>
      <c r="P91" s="1691"/>
      <c r="Q91" s="1617"/>
    </row>
    <row r="92" spans="1:17" ht="15">
      <c r="A92" s="1317"/>
      <c r="B92" s="1320">
        <f>B28</f>
        <v>111</v>
      </c>
      <c r="C92" s="1328"/>
      <c r="D92" s="1328"/>
      <c r="E92" s="1328"/>
      <c r="F92" s="1328"/>
      <c r="G92" s="1345"/>
      <c r="H92" s="1345"/>
      <c r="I92" s="1345"/>
      <c r="J92" s="1345"/>
      <c r="K92" s="1396"/>
      <c r="L92" s="1397"/>
      <c r="M92" s="1398"/>
      <c r="N92" s="1612"/>
      <c r="O92" s="1612"/>
      <c r="P92" s="1687"/>
      <c r="Q92" s="1607"/>
    </row>
    <row r="93" spans="1:17" ht="15">
      <c r="A93" s="1317"/>
      <c r="B93" s="1322"/>
      <c r="C93" s="1330"/>
      <c r="D93" s="1319"/>
      <c r="E93" s="1319"/>
      <c r="F93" s="1319"/>
      <c r="G93" s="1319"/>
      <c r="H93" s="1319"/>
      <c r="I93" s="1319"/>
      <c r="J93" s="1319"/>
      <c r="K93" s="1319"/>
      <c r="L93" s="1319"/>
      <c r="M93" s="1368"/>
      <c r="N93" s="1614"/>
      <c r="O93" s="1614"/>
      <c r="P93" s="1687"/>
      <c r="Q93" s="1607"/>
    </row>
    <row r="94" spans="1:17" ht="15">
      <c r="A94" s="1317"/>
      <c r="B94" s="1320">
        <f>B29</f>
        <v>111</v>
      </c>
      <c r="C94" s="1328"/>
      <c r="D94" s="1328"/>
      <c r="E94" s="1328"/>
      <c r="F94" s="1328"/>
      <c r="G94" s="1345"/>
      <c r="H94" s="1345"/>
      <c r="I94" s="1345"/>
      <c r="J94" s="1345"/>
      <c r="K94" s="1396"/>
      <c r="L94" s="1397"/>
      <c r="M94" s="1398"/>
      <c r="N94" s="1612"/>
      <c r="O94" s="1612"/>
      <c r="P94" s="1687"/>
      <c r="Q94" s="1607"/>
    </row>
    <row r="95" spans="1:17" ht="15">
      <c r="A95" s="1317"/>
      <c r="B95" s="1322"/>
      <c r="C95" s="1330"/>
      <c r="D95" s="1330"/>
      <c r="E95" s="1330"/>
      <c r="F95" s="1330"/>
      <c r="G95" s="1319"/>
      <c r="H95" s="1319"/>
      <c r="I95" s="1319"/>
      <c r="J95" s="1319"/>
      <c r="K95" s="1319"/>
      <c r="L95" s="1319"/>
      <c r="M95" s="1368"/>
      <c r="N95" s="1614"/>
      <c r="O95" s="1614"/>
      <c r="P95" s="1687"/>
      <c r="Q95" s="1607"/>
    </row>
    <row r="96" spans="1:17" ht="15">
      <c r="A96" s="1317"/>
      <c r="B96" s="1320">
        <f>B30</f>
        <v>111</v>
      </c>
      <c r="C96" s="1328"/>
      <c r="D96" s="1328"/>
      <c r="E96" s="1328"/>
      <c r="F96" s="1328"/>
      <c r="G96" s="1345"/>
      <c r="H96" s="1345"/>
      <c r="I96" s="1345"/>
      <c r="J96" s="1345"/>
      <c r="K96" s="1396"/>
      <c r="L96" s="1397"/>
      <c r="M96" s="1398"/>
      <c r="N96" s="1612"/>
      <c r="O96" s="1612"/>
      <c r="P96" s="1687"/>
      <c r="Q96" s="1607"/>
    </row>
    <row r="97" spans="1:17" ht="15">
      <c r="A97" s="1317"/>
      <c r="B97" s="1322"/>
      <c r="C97" s="1335"/>
      <c r="D97" s="1335"/>
      <c r="E97" s="1335"/>
      <c r="F97" s="1335"/>
      <c r="G97" s="1319"/>
      <c r="H97" s="1319"/>
      <c r="I97" s="1319"/>
      <c r="J97" s="1319"/>
      <c r="K97" s="1319"/>
      <c r="L97" s="1319"/>
      <c r="M97" s="1368"/>
      <c r="N97" s="1614"/>
      <c r="O97" s="1614"/>
      <c r="P97" s="1687"/>
      <c r="Q97" s="1607"/>
    </row>
    <row r="98" spans="1:17" ht="15">
      <c r="A98" s="1317"/>
      <c r="B98" s="1324">
        <f>B31</f>
        <v>111</v>
      </c>
      <c r="C98" s="1346"/>
      <c r="D98" s="1346"/>
      <c r="E98" s="1346"/>
      <c r="F98" s="1346"/>
      <c r="G98" s="1346"/>
      <c r="H98" s="1346"/>
      <c r="I98" s="1346"/>
      <c r="J98" s="1346"/>
      <c r="K98" s="1399"/>
      <c r="L98" s="1400"/>
      <c r="M98" s="1401"/>
      <c r="N98" s="1612"/>
      <c r="O98" s="1612"/>
      <c r="P98" s="1687"/>
      <c r="Q98" s="1607"/>
    </row>
    <row r="99" spans="1:17" ht="15">
      <c r="A99" s="1618"/>
      <c r="B99" s="1334"/>
      <c r="C99" s="1347"/>
      <c r="D99" s="1347"/>
      <c r="E99" s="1347"/>
      <c r="F99" s="1347"/>
      <c r="G99" s="1347"/>
      <c r="H99" s="1347"/>
      <c r="I99" s="1347"/>
      <c r="J99" s="1347"/>
      <c r="K99" s="1347"/>
      <c r="L99" s="1347"/>
      <c r="M99" s="1402"/>
      <c r="N99" s="1614"/>
      <c r="O99" s="1614"/>
      <c r="P99" s="1687"/>
      <c r="Q99" s="1607"/>
    </row>
    <row r="100" spans="1:17">
      <c r="A100" s="1315" t="s">
        <v>1032</v>
      </c>
      <c r="B100" s="1316" t="s">
        <v>1033</v>
      </c>
      <c r="C100" s="1258"/>
      <c r="D100" s="1258"/>
      <c r="E100" s="1258"/>
      <c r="F100" s="1258"/>
      <c r="G100" s="1258"/>
      <c r="H100" s="1258"/>
      <c r="I100" s="1258"/>
      <c r="J100" s="1258"/>
      <c r="K100" s="1363"/>
      <c r="L100" s="1364"/>
      <c r="M100" s="1365"/>
      <c r="N100" s="1612"/>
      <c r="O100" s="1612"/>
      <c r="P100" s="1687"/>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7"/>
      <c r="B102" s="1320" t="s">
        <v>1035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687"/>
      <c r="Q102" s="1607"/>
    </row>
    <row r="103" spans="1:17" s="1071" customFormat="1">
      <c r="A103" s="1348"/>
      <c r="B103" s="1349"/>
      <c r="C103" s="1304"/>
      <c r="D103" s="1304"/>
      <c r="E103" s="1304"/>
      <c r="F103" s="1304"/>
      <c r="G103" s="1304"/>
      <c r="H103" s="1304"/>
      <c r="I103" s="1304"/>
      <c r="J103" s="1403"/>
      <c r="K103" s="1403"/>
      <c r="L103" s="1404"/>
      <c r="M103" s="1405"/>
      <c r="N103" s="1615"/>
      <c r="O103" s="1615"/>
      <c r="P103" s="1691"/>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691"/>
      <c r="Q104" s="1617"/>
    </row>
    <row r="105" spans="1:17">
      <c r="A105" s="1351"/>
      <c r="B105" s="1320" t="s">
        <v>1036</v>
      </c>
      <c r="C105" s="1328"/>
      <c r="D105" s="1328"/>
      <c r="E105" s="1345"/>
      <c r="F105" s="1345"/>
      <c r="G105" s="1345"/>
      <c r="H105" s="1345"/>
      <c r="I105" s="1345"/>
      <c r="J105" s="1345"/>
      <c r="K105" s="1396"/>
      <c r="L105" s="1397"/>
      <c r="M105" s="1398"/>
      <c r="N105" s="1612"/>
      <c r="O105" s="1612"/>
      <c r="P105" s="1687"/>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1"/>
      <c r="B107" s="1320" t="s">
        <v>1553</v>
      </c>
      <c r="C107" s="1345"/>
      <c r="D107" s="1345"/>
      <c r="E107" s="1345"/>
      <c r="F107" s="1345"/>
      <c r="G107" s="1345"/>
      <c r="H107" s="1345"/>
      <c r="I107" s="1345"/>
      <c r="J107" s="1345"/>
      <c r="K107" s="1396"/>
      <c r="L107" s="1397"/>
      <c r="M107" s="1398"/>
      <c r="N107" s="1612"/>
      <c r="O107" s="1612"/>
      <c r="P107" s="1687"/>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1"/>
      <c r="B109" s="1320" t="s">
        <v>1037</v>
      </c>
      <c r="C109" s="1328"/>
      <c r="D109" s="1328"/>
      <c r="E109" s="1328"/>
      <c r="F109" s="1345"/>
      <c r="G109" s="1345"/>
      <c r="H109" s="1345"/>
      <c r="I109" s="1345"/>
      <c r="J109" s="1345"/>
      <c r="K109" s="1396"/>
      <c r="L109" s="1397"/>
      <c r="M109" s="1398"/>
      <c r="N109" s="1612"/>
      <c r="O109" s="1612"/>
      <c r="P109" s="1687"/>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691"/>
      <c r="Q111" s="1617"/>
    </row>
    <row r="112" spans="1:17" s="1071" customFormat="1">
      <c r="A112" s="1348"/>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691"/>
      <c r="Q113" s="1617"/>
    </row>
    <row r="114" spans="1:17">
      <c r="A114" s="1351"/>
      <c r="B114" s="1320" t="s">
        <v>1039</v>
      </c>
      <c r="C114" s="1328"/>
      <c r="D114" s="1328"/>
      <c r="E114" s="1345"/>
      <c r="F114" s="1345"/>
      <c r="G114" s="1345"/>
      <c r="H114" s="1345"/>
      <c r="I114" s="1345"/>
      <c r="J114" s="1345"/>
      <c r="K114" s="1396"/>
      <c r="L114" s="1397"/>
      <c r="M114" s="1398"/>
      <c r="N114" s="1612"/>
      <c r="O114" s="1612"/>
      <c r="P114" s="1687"/>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1"/>
      <c r="B116" s="1320" t="s">
        <v>1040</v>
      </c>
      <c r="C116" s="1328"/>
      <c r="D116" s="1328"/>
      <c r="E116" s="1328"/>
      <c r="F116" s="1328"/>
      <c r="G116" s="1328"/>
      <c r="H116" s="1345"/>
      <c r="I116" s="1345"/>
      <c r="J116" s="1345"/>
      <c r="K116" s="1396"/>
      <c r="L116" s="1397"/>
      <c r="M116" s="1398"/>
      <c r="N116" s="1612"/>
      <c r="O116" s="1612"/>
      <c r="P116" s="1687"/>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687"/>
      <c r="Q117" s="1607"/>
    </row>
    <row r="118" spans="1:17">
      <c r="A118" s="1351"/>
      <c r="B118" s="1320" t="s">
        <v>1554</v>
      </c>
      <c r="C118" s="1345"/>
      <c r="D118" s="1345"/>
      <c r="E118" s="1345"/>
      <c r="F118" s="1345"/>
      <c r="G118" s="1345"/>
      <c r="H118" s="1345"/>
      <c r="I118" s="1345"/>
      <c r="J118" s="1345"/>
      <c r="K118" s="1396"/>
      <c r="L118" s="1397"/>
      <c r="M118" s="1398"/>
      <c r="N118" s="1612"/>
      <c r="O118" s="1612"/>
      <c r="P118" s="1687"/>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1" customFormat="1" ht="27.75">
      <c r="A120" s="1348"/>
      <c r="B120" s="1320" t="s">
        <v>1555</v>
      </c>
      <c r="C120" s="1328"/>
      <c r="D120" s="1328"/>
      <c r="E120" s="1328"/>
      <c r="F120" s="1328"/>
      <c r="G120" s="1328"/>
      <c r="H120" s="1328"/>
      <c r="I120" s="1328"/>
      <c r="J120" s="1328"/>
      <c r="K120" s="1328"/>
      <c r="L120" s="1517"/>
      <c r="M120" s="1518"/>
      <c r="N120" s="1615"/>
      <c r="O120" s="1615"/>
      <c r="P120" s="1691"/>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691"/>
      <c r="Q121" s="1617"/>
    </row>
    <row r="122" spans="1:17">
      <c r="A122" s="1351"/>
      <c r="B122" s="1320" t="s">
        <v>1043</v>
      </c>
      <c r="C122" s="1328"/>
      <c r="D122" s="1328"/>
      <c r="E122" s="1328"/>
      <c r="F122" s="1345"/>
      <c r="G122" s="1345"/>
      <c r="H122" s="1345"/>
      <c r="I122" s="1345"/>
      <c r="J122" s="1345"/>
      <c r="K122" s="1396"/>
      <c r="L122" s="1397"/>
      <c r="M122" s="1398"/>
      <c r="N122" s="1612"/>
      <c r="O122" s="1612"/>
      <c r="P122" s="1687"/>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1"/>
      <c r="B124" s="1320" t="s">
        <v>1044</v>
      </c>
      <c r="C124" s="1339" t="s">
        <v>1056</v>
      </c>
      <c r="D124" s="1339" t="s">
        <v>1057</v>
      </c>
      <c r="E124" s="1339" t="s">
        <v>1058</v>
      </c>
      <c r="F124" s="1339" t="s">
        <v>1059</v>
      </c>
      <c r="G124" s="1339" t="s">
        <v>1060</v>
      </c>
      <c r="H124" s="1321"/>
      <c r="I124" s="1321"/>
      <c r="J124" s="1321"/>
      <c r="K124" s="1370"/>
      <c r="L124" s="1371"/>
      <c r="M124" s="1372"/>
      <c r="N124" s="1612"/>
      <c r="O124" s="1612"/>
      <c r="P124" s="1691"/>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687"/>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691"/>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691"/>
      <c r="Q127" s="1617"/>
    </row>
    <row r="128" spans="1:17">
      <c r="A128" s="1351"/>
      <c r="B128" s="1320">
        <f>B45</f>
        <v>111</v>
      </c>
      <c r="C128" s="1328"/>
      <c r="D128" s="1328"/>
      <c r="E128" s="1328"/>
      <c r="F128" s="1328"/>
      <c r="G128" s="1345"/>
      <c r="H128" s="1345"/>
      <c r="I128" s="1345"/>
      <c r="J128" s="1345"/>
      <c r="K128" s="1396"/>
      <c r="L128" s="1397"/>
      <c r="M128" s="1398"/>
      <c r="N128" s="1612"/>
      <c r="O128" s="1612"/>
      <c r="P128" s="1687"/>
      <c r="Q128" s="1607"/>
    </row>
    <row r="129" spans="1:17" ht="15">
      <c r="A129" s="1317"/>
      <c r="B129" s="1322"/>
      <c r="C129" s="1330"/>
      <c r="D129" s="1330"/>
      <c r="E129" s="1330"/>
      <c r="F129" s="1330"/>
      <c r="G129" s="1319"/>
      <c r="H129" s="1319"/>
      <c r="I129" s="1319"/>
      <c r="J129" s="1319"/>
      <c r="K129" s="1319"/>
      <c r="L129" s="1319"/>
      <c r="M129" s="1368"/>
      <c r="N129" s="1614"/>
      <c r="O129" s="1614"/>
      <c r="P129" s="1687"/>
      <c r="Q129" s="1607"/>
    </row>
    <row r="130" spans="1:17">
      <c r="A130" s="1351"/>
      <c r="B130" s="1324">
        <f>B46</f>
        <v>111</v>
      </c>
      <c r="C130" s="1328"/>
      <c r="D130" s="1328"/>
      <c r="E130" s="1328"/>
      <c r="F130" s="1328"/>
      <c r="G130" s="1346"/>
      <c r="H130" s="1346"/>
      <c r="I130" s="1346"/>
      <c r="J130" s="1346"/>
      <c r="K130" s="1312"/>
      <c r="L130" s="1358"/>
      <c r="M130" s="1401"/>
      <c r="N130" s="1612"/>
      <c r="O130" s="1612"/>
      <c r="P130" s="1687"/>
      <c r="Q130" s="1607"/>
    </row>
    <row r="131" spans="1:17" ht="15">
      <c r="A131" s="1618"/>
      <c r="B131" s="1334"/>
      <c r="C131" s="1335"/>
      <c r="D131" s="1335"/>
      <c r="E131" s="1335"/>
      <c r="F131" s="1335"/>
      <c r="G131" s="1347"/>
      <c r="H131" s="1347"/>
      <c r="I131" s="1347"/>
      <c r="J131" s="1347"/>
      <c r="K131" s="1347"/>
      <c r="L131" s="1347"/>
      <c r="M131" s="1402"/>
      <c r="N131" s="1614"/>
      <c r="O131" s="1614"/>
      <c r="P131" s="1687"/>
      <c r="Q131" s="1607"/>
    </row>
    <row r="136" spans="1:17">
      <c r="B136" s="1698" t="s">
        <v>1556</v>
      </c>
    </row>
    <row r="137" spans="1:17" ht="15">
      <c r="B137" s="1699" t="s">
        <v>1557</v>
      </c>
      <c r="C137" s="1700"/>
      <c r="D137" s="1700"/>
      <c r="E137" s="1700"/>
      <c r="F137" s="1700"/>
      <c r="G137" s="1701"/>
      <c r="H137" s="1702"/>
      <c r="I137" s="1727" t="s">
        <v>1558</v>
      </c>
      <c r="J137" s="1700"/>
      <c r="K137" s="1728"/>
    </row>
    <row r="138" spans="1:17" ht="15">
      <c r="B138" s="1703"/>
      <c r="C138" s="1704" t="s">
        <v>1559</v>
      </c>
      <c r="D138" s="1704" t="s">
        <v>1560</v>
      </c>
      <c r="E138" s="1705" t="s">
        <v>1561</v>
      </c>
      <c r="F138" s="1706" t="s">
        <v>1562</v>
      </c>
      <c r="G138" s="1704" t="s">
        <v>1560</v>
      </c>
      <c r="H138" s="1707" t="s">
        <v>1561</v>
      </c>
      <c r="I138" s="1729"/>
      <c r="J138" s="1704" t="s">
        <v>1563</v>
      </c>
      <c r="K138" s="1707" t="s">
        <v>1564</v>
      </c>
    </row>
    <row r="139" spans="1:17" ht="15">
      <c r="B139" s="1708">
        <v>6</v>
      </c>
      <c r="C139" s="1709">
        <v>96</v>
      </c>
      <c r="D139" s="1710" t="s">
        <v>1565</v>
      </c>
      <c r="E139" s="1711">
        <v>100</v>
      </c>
      <c r="F139" s="1712">
        <v>102.5</v>
      </c>
      <c r="G139" s="1710" t="s">
        <v>1565</v>
      </c>
      <c r="H139" s="1713">
        <v>105</v>
      </c>
      <c r="I139" s="1730" t="s">
        <v>1566</v>
      </c>
      <c r="J139" s="1709">
        <v>20</v>
      </c>
      <c r="K139" s="1731">
        <f>C145/(J139-2)</f>
        <v>4.0555555555555553E-3</v>
      </c>
    </row>
    <row r="140" spans="1:17" ht="15">
      <c r="B140" s="1714">
        <v>5</v>
      </c>
      <c r="C140" s="1715">
        <v>100</v>
      </c>
      <c r="D140" s="1715"/>
      <c r="E140" s="1716"/>
      <c r="F140" s="1717">
        <v>102</v>
      </c>
      <c r="G140" s="1715"/>
      <c r="H140" s="1718"/>
      <c r="I140" s="1732" t="s">
        <v>1567</v>
      </c>
      <c r="J140" s="455">
        <f>ROUNDUP((J139-1)/2,0)</f>
        <v>10</v>
      </c>
      <c r="K140" s="1733">
        <v>100</v>
      </c>
    </row>
    <row r="141" spans="1:17" ht="15">
      <c r="B141" s="1714">
        <v>4</v>
      </c>
      <c r="C141" s="1715">
        <v>102</v>
      </c>
      <c r="D141" s="1715"/>
      <c r="E141" s="1716"/>
      <c r="F141" s="1717">
        <v>101.5</v>
      </c>
      <c r="G141" s="1715"/>
      <c r="H141" s="1718"/>
      <c r="I141" s="1732" t="s">
        <v>1568</v>
      </c>
      <c r="J141" s="455">
        <v>1</v>
      </c>
      <c r="K141" s="1734">
        <f>ROUND(100+(J141-J140)*K139*100,1)</f>
        <v>96.4</v>
      </c>
    </row>
    <row r="142" spans="1:17" ht="15">
      <c r="B142" s="1714">
        <v>3</v>
      </c>
      <c r="C142" s="1715">
        <v>103</v>
      </c>
      <c r="D142" s="1715"/>
      <c r="E142" s="1716"/>
      <c r="F142" s="1717">
        <v>101</v>
      </c>
      <c r="G142" s="1715"/>
      <c r="H142" s="1718"/>
      <c r="I142" s="1732" t="s">
        <v>1569</v>
      </c>
      <c r="J142" s="455">
        <f>J139</f>
        <v>20</v>
      </c>
      <c r="K142" s="1735">
        <v>95</v>
      </c>
    </row>
    <row r="143" spans="1:17" ht="15">
      <c r="B143" s="1714">
        <v>2</v>
      </c>
      <c r="C143" s="1715">
        <v>100</v>
      </c>
      <c r="D143" s="1715"/>
      <c r="E143" s="1716"/>
      <c r="F143" s="1717">
        <v>100.5</v>
      </c>
      <c r="G143" s="1715"/>
      <c r="H143" s="1718"/>
      <c r="I143" s="1732" t="s">
        <v>1570</v>
      </c>
      <c r="J143" s="1715">
        <v>15</v>
      </c>
      <c r="K143" s="1734">
        <f>ROUND(100+(J143-J140)*K139*100,1)</f>
        <v>102</v>
      </c>
    </row>
    <row r="144" spans="1:17" ht="15">
      <c r="B144" s="1714">
        <v>1</v>
      </c>
      <c r="C144" s="1715">
        <v>98</v>
      </c>
      <c r="D144" s="1719" t="s">
        <v>1571</v>
      </c>
      <c r="E144" s="1716">
        <v>102</v>
      </c>
      <c r="F144" s="1720">
        <v>100</v>
      </c>
      <c r="G144" s="1719" t="s">
        <v>1571</v>
      </c>
      <c r="H144" s="1718">
        <v>105</v>
      </c>
      <c r="I144" s="1732" t="s">
        <v>1570</v>
      </c>
      <c r="J144" s="1715">
        <v>18</v>
      </c>
      <c r="K144" s="1734">
        <f>ROUND(100+(J144-J140)*K139*100,1)</f>
        <v>103.2</v>
      </c>
    </row>
    <row r="145" spans="2:11" ht="15">
      <c r="B145" s="1721" t="s">
        <v>1572</v>
      </c>
      <c r="C145" s="1722">
        <f>ROUND(MAX(C139:C144)/MIN(C139:C144)-1,3)</f>
        <v>7.2999999999999995E-2</v>
      </c>
      <c r="D145" s="1723"/>
      <c r="E145" s="1723"/>
      <c r="F145" s="1724" t="s">
        <v>1573</v>
      </c>
      <c r="G145" s="1725"/>
      <c r="H145" s="1726"/>
      <c r="I145" s="1736" t="s">
        <v>1570</v>
      </c>
      <c r="J145" s="1737">
        <v>8</v>
      </c>
      <c r="K145" s="1738">
        <f>ROUND(100+(J145-J140)*K139*100,1)</f>
        <v>99.2</v>
      </c>
    </row>
    <row r="147" spans="2:11">
      <c r="B147" s="1698" t="s">
        <v>1574</v>
      </c>
    </row>
    <row r="148" spans="2:11">
      <c r="B148" s="1698"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1576</v>
      </c>
      <c r="C1" s="1507" t="s">
        <v>990</v>
      </c>
      <c r="D1" s="1450"/>
      <c r="E1" s="1627"/>
      <c r="F1" s="1452"/>
      <c r="G1" s="1453" t="s">
        <v>993</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8" customFormat="1" ht="28.5" customHeight="1">
      <c r="A2" s="1455" t="s">
        <v>994</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637"/>
      <c r="Q2" s="1588"/>
      <c r="R2" s="1588"/>
      <c r="S2" s="1588"/>
      <c r="T2" s="1588"/>
      <c r="U2" s="1588"/>
      <c r="V2" s="1588"/>
      <c r="W2" s="1588"/>
      <c r="X2" s="1588"/>
      <c r="Y2" s="1588"/>
      <c r="Z2" s="1588"/>
      <c r="AA2" s="1588"/>
      <c r="AB2" s="1588"/>
      <c r="AC2" s="1647"/>
    </row>
    <row r="3" spans="1:29" s="1068" customFormat="1" ht="28.5" customHeight="1">
      <c r="A3" s="381" t="s">
        <v>996</v>
      </c>
      <c r="B3" s="1086">
        <f>IF(C2="——",C49,ROUND(B2*10000/D3,0))</f>
        <v>0</v>
      </c>
      <c r="C3" s="1460" t="s">
        <v>997</v>
      </c>
      <c r="D3" s="1461">
        <f>IF(D1="",'数据-汇总表'!E3,SUMIF('数据-汇总表'!$C19:$C33,D1,'数据-汇总表'!$E19:$E33))</f>
        <v>20276.490000000002</v>
      </c>
      <c r="E3" s="1629"/>
      <c r="F3" s="1085"/>
      <c r="G3" s="1084"/>
      <c r="H3" s="1084"/>
      <c r="I3" s="1084"/>
      <c r="J3" s="1084"/>
      <c r="K3" s="1232"/>
      <c r="L3" s="1233"/>
      <c r="M3" s="1234"/>
      <c r="N3" s="1234"/>
      <c r="O3" s="1234"/>
      <c r="P3" s="1637"/>
      <c r="Q3" s="1588"/>
      <c r="R3" s="1588"/>
      <c r="S3" s="1588"/>
      <c r="T3" s="1588"/>
      <c r="U3" s="1588"/>
      <c r="V3" s="1588"/>
      <c r="W3" s="1588"/>
      <c r="X3" s="1588"/>
      <c r="Y3" s="1588"/>
      <c r="Z3" s="1588"/>
      <c r="AA3" s="1588"/>
      <c r="AB3" s="1588"/>
      <c r="AC3" s="1629"/>
    </row>
    <row r="4" spans="1:29" ht="15">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73" t="s">
        <v>1001</v>
      </c>
      <c r="AC4" s="3706" t="s">
        <v>1002</v>
      </c>
    </row>
    <row r="5" spans="1:29" ht="15">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73"/>
      <c r="AC5" s="3655"/>
    </row>
    <row r="6" spans="1:29" ht="15">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73"/>
      <c r="AC6" s="3656"/>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5">
      <c r="A8" s="1094" t="s">
        <v>1014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46" si="3">D8/F8</f>
        <v>1</v>
      </c>
      <c r="AB8" s="1294">
        <f t="shared" ref="AB8:AB46" si="4">D8/H8</f>
        <v>1</v>
      </c>
      <c r="AC8" s="1294">
        <f t="shared" ref="AC8:AC46" si="5">D8/J8</f>
        <v>1</v>
      </c>
    </row>
    <row r="9" spans="1:29" s="1069" customFormat="1">
      <c r="A9" s="1102" t="s">
        <v>1016</v>
      </c>
      <c r="B9" s="1103" t="s">
        <v>1017</v>
      </c>
      <c r="C9" s="1462"/>
      <c r="D9" s="1105">
        <v>100</v>
      </c>
      <c r="E9" s="1531"/>
      <c r="F9" s="1464">
        <f>SUMIF(63:63,E9,64:64)-SUMIF(63:63,C9,64:64)+100</f>
        <v>100</v>
      </c>
      <c r="G9" s="1531"/>
      <c r="H9" s="1105">
        <f>SUMIF(63:63,G9,64:64)-SUMIF(63:63,C9,64:64)+100</f>
        <v>100</v>
      </c>
      <c r="I9" s="1531"/>
      <c r="J9" s="1105">
        <f>SUMIF(63:63,I9,64:64)-SUMIF(63:63,C9,64:64)+100</f>
        <v>100</v>
      </c>
      <c r="K9" s="1238"/>
      <c r="L9" s="1239"/>
      <c r="M9" s="1240"/>
      <c r="N9" s="1240"/>
      <c r="O9" s="1240"/>
      <c r="P9" s="3639"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238"/>
      <c r="L10" s="1243"/>
      <c r="M10" s="1244"/>
      <c r="N10" s="1244"/>
      <c r="O10" s="1244"/>
      <c r="P10" s="3639"/>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255"/>
      <c r="L11" s="1247"/>
      <c r="M11" s="1237"/>
      <c r="N11" s="1237"/>
      <c r="O11" s="1237"/>
      <c r="P11" s="3639"/>
      <c r="Q11" s="1284" t="str">
        <f t="shared" si="6"/>
        <v>容积率</v>
      </c>
      <c r="R11" s="1280" t="s">
        <v>1013</v>
      </c>
      <c r="S11" s="1281" t="e">
        <f t="shared" si="0"/>
        <v>#N/A</v>
      </c>
      <c r="T11" s="1280" t="s">
        <v>1013</v>
      </c>
      <c r="U11" s="1281" t="e">
        <f t="shared" si="1"/>
        <v>#N/A</v>
      </c>
      <c r="V11" s="1280" t="s">
        <v>1013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6">
        <f>SUMIF(70:70,E12,71:71)-SUMIF(70:70,C12,71:71)+100</f>
        <v>100</v>
      </c>
      <c r="G12" s="1118"/>
      <c r="H12" s="1109">
        <f>SUMIF(70:70,G12,71:71)-SUMIF(70:70,C12,71:71)+100</f>
        <v>100</v>
      </c>
      <c r="I12" s="1118"/>
      <c r="J12" s="1109">
        <f>SUMIF(70:70,I12,71:71)-SUMIF(70:70,C12,71:71)+100</f>
        <v>100</v>
      </c>
      <c r="K12" s="1254"/>
      <c r="L12" s="1239"/>
      <c r="M12" s="1240"/>
      <c r="N12" s="1240"/>
      <c r="O12" s="1240"/>
      <c r="P12" s="3639"/>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254"/>
      <c r="L13" s="1249"/>
      <c r="M13" s="1237"/>
      <c r="N13" s="1237"/>
      <c r="O13" s="1237"/>
      <c r="P13" s="3639"/>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8"/>
      <c r="F14" s="1486">
        <f>SUMIF(74:74,E14,75:75)-SUMIF(74:74,C14,75:75)+100</f>
        <v>100</v>
      </c>
      <c r="G14" s="1118"/>
      <c r="H14" s="1123">
        <f>SUMIF(74:74,G14,75:75)-SUMIF(74:74,C14,75:75)+100</f>
        <v>100</v>
      </c>
      <c r="I14" s="1118"/>
      <c r="J14" s="1123">
        <f>SUMIF(74:74,I14,75:75)-SUMIF(74:74,C14,75:75)+100</f>
        <v>100</v>
      </c>
      <c r="K14" s="1254"/>
      <c r="L14" s="1249"/>
      <c r="M14" s="1237"/>
      <c r="N14" s="1237"/>
      <c r="O14" s="1237"/>
      <c r="P14" s="3639"/>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71.25">
      <c r="A15" s="1124" t="s">
        <v>1022</v>
      </c>
      <c r="B15" s="1417" t="s">
        <v>1577</v>
      </c>
      <c r="C15" s="1418" t="str">
        <f>估价对象房地状况!C4</f>
        <v>估价对象位于XX商圈，周边商业氛围成熟，人流量大，商业繁华度好</v>
      </c>
      <c r="D15" s="1127">
        <v>100</v>
      </c>
      <c r="E15" s="1128"/>
      <c r="F15" s="1469">
        <f>SUMIF(76:76,E16,77:77)-SUMIF(76:76,C16,77:77)+100</f>
        <v>100</v>
      </c>
      <c r="G15" s="1250"/>
      <c r="H15" s="1127">
        <f>SUMIF(76:76,G16,77:77)-SUMIF(76:76,C16,77:77)+100</f>
        <v>100</v>
      </c>
      <c r="I15" s="1128"/>
      <c r="J15" s="1127">
        <f>SUMIF(76:76,I16,77:77)-SUMIF(76:76,C16,77:77)+100</f>
        <v>100</v>
      </c>
      <c r="K15" s="1508"/>
      <c r="L15" s="1249"/>
      <c r="M15" s="1237"/>
      <c r="N15" s="1237"/>
      <c r="O15" s="1237"/>
      <c r="P15" s="3642" t="s">
        <v>1024</v>
      </c>
      <c r="Q15" s="664" t="str">
        <f t="shared" si="6"/>
        <v>商业繁华度</v>
      </c>
      <c r="R15" s="1285" t="s">
        <v>1013</v>
      </c>
      <c r="S15" s="1286">
        <f t="shared" si="0"/>
        <v>100</v>
      </c>
      <c r="T15" s="1285" t="s">
        <v>1013</v>
      </c>
      <c r="U15" s="1286">
        <f t="shared" si="1"/>
        <v>100</v>
      </c>
      <c r="V15" s="1285" t="s">
        <v>1013</v>
      </c>
      <c r="W15" s="1286">
        <f t="shared" si="2"/>
        <v>100</v>
      </c>
      <c r="X15" s="1279"/>
      <c r="Y15" s="3647" t="s">
        <v>1024</v>
      </c>
      <c r="Z15" s="1269" t="str">
        <f t="shared" si="7"/>
        <v>商业繁华度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249"/>
      <c r="M16" s="1237"/>
      <c r="N16" s="1237"/>
      <c r="O16" s="1237"/>
      <c r="P16" s="3643"/>
      <c r="Q16" s="664"/>
      <c r="R16" s="1285"/>
      <c r="S16" s="1286"/>
      <c r="T16" s="1285"/>
      <c r="U16" s="1286"/>
      <c r="V16" s="1285"/>
      <c r="W16" s="1286"/>
      <c r="X16" s="1279"/>
      <c r="Y16" s="3648"/>
      <c r="Z16" s="1269"/>
      <c r="AA16" s="1296">
        <v>1</v>
      </c>
      <c r="AB16" s="1296">
        <v>1</v>
      </c>
      <c r="AC16" s="1296">
        <v>1</v>
      </c>
    </row>
    <row r="17" spans="1:29" ht="85.5">
      <c r="A17" s="1110"/>
      <c r="B17" s="1420" t="s">
        <v>1025</v>
      </c>
      <c r="C17" s="1135" t="str">
        <f>估价对象房地状况!C6</f>
        <v>估价对象周边道路状况、公共交通通达情况、停车便捷程度，综合评价交通便捷度较好</v>
      </c>
      <c r="D17" s="1133">
        <v>100</v>
      </c>
      <c r="E17" s="1136"/>
      <c r="F17" s="1472">
        <f>SUMIF(78:78,E18,79:79)-SUMIF(78:78,C18,79:79)+100</f>
        <v>100</v>
      </c>
      <c r="G17" s="1251"/>
      <c r="H17" s="1137">
        <f>SUMIF(78:78,G18,79:79)-SUMIF(78:78,C18,79:79)+100</f>
        <v>100</v>
      </c>
      <c r="I17" s="1136"/>
      <c r="J17" s="1137">
        <f>SUMIF(78:78,I18,79:79)-SUMIF(78:78,C18,79:79)+100</f>
        <v>100</v>
      </c>
      <c r="K17" s="1508"/>
      <c r="L17" s="1249"/>
      <c r="M17" s="1237"/>
      <c r="N17" s="1237"/>
      <c r="O17" s="1237"/>
      <c r="P17" s="3643"/>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1026</v>
      </c>
      <c r="C19" s="1135" t="str">
        <f>估价对象房地状况!C7</f>
        <v>估价对象所在区域公共配套设施齐备情况</v>
      </c>
      <c r="D19" s="1137">
        <v>100</v>
      </c>
      <c r="E19" s="1423"/>
      <c r="F19" s="1471">
        <f>SUMIF(80:80,E20,81:81)-SUMIF(80:80,C20,81:81)+100</f>
        <v>100</v>
      </c>
      <c r="G19" s="1431"/>
      <c r="H19" s="1133">
        <f>SUMIF(80:80,G20,81:81)-SUMIF(80:80,C20,81:81)+100</f>
        <v>100</v>
      </c>
      <c r="I19" s="1423"/>
      <c r="J19" s="1133">
        <f>SUMIF(80:80,I20,81:81)-SUMIF(80:80,C20,81:81)+100</f>
        <v>100</v>
      </c>
      <c r="K19" s="1508"/>
      <c r="L19" s="1249"/>
      <c r="M19" s="1237"/>
      <c r="N19" s="1237"/>
      <c r="O19" s="1237"/>
      <c r="P19" s="3643"/>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1027</v>
      </c>
      <c r="C21" s="1135" t="str">
        <f>估价对象房地状况!C8</f>
        <v>估价对象所在区域基础设施水平</v>
      </c>
      <c r="D21" s="1137">
        <v>100</v>
      </c>
      <c r="E21" s="1423"/>
      <c r="F21" s="1471">
        <f>SUMIF(82:82,E22,83:83)-SUMIF(82:82,C22,83:83)+100</f>
        <v>100</v>
      </c>
      <c r="G21" s="1431"/>
      <c r="H21" s="1133">
        <f>SUMIF(82:82,G22,83:83)-SUMIF(82:82,C22,83:83)+100</f>
        <v>100</v>
      </c>
      <c r="I21" s="1423"/>
      <c r="J21" s="1133">
        <f>SUMIF(82:82,I22,83:83)-SUMIF(82:82,C22,83:83)+100</f>
        <v>100</v>
      </c>
      <c r="K21" s="1508"/>
      <c r="L21" s="1249"/>
      <c r="M21" s="1237"/>
      <c r="N21" s="1237"/>
      <c r="O21" s="1237"/>
      <c r="P21" s="3643"/>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249"/>
      <c r="M22" s="1237"/>
      <c r="N22" s="1237"/>
      <c r="O22" s="1237"/>
      <c r="P22" s="3643"/>
      <c r="Q22" s="664"/>
      <c r="R22" s="1285"/>
      <c r="S22" s="1286"/>
      <c r="T22" s="1285"/>
      <c r="U22" s="1286"/>
      <c r="V22" s="1285"/>
      <c r="W22" s="1286"/>
      <c r="X22" s="1279"/>
      <c r="Y22" s="3648"/>
      <c r="Z22" s="1269"/>
      <c r="AA22" s="1296">
        <v>1</v>
      </c>
      <c r="AB22" s="1296">
        <v>1</v>
      </c>
      <c r="AC22" s="1296">
        <v>1</v>
      </c>
    </row>
    <row r="23" spans="1:29" ht="57">
      <c r="A23" s="1110"/>
      <c r="B23" s="1420" t="s">
        <v>1551</v>
      </c>
      <c r="C23" s="661" t="str">
        <f>估价对象房地状况!C9</f>
        <v>区域自然环境：；人文环境；综合评价环境状况一般</v>
      </c>
      <c r="D23" s="1133">
        <v>100</v>
      </c>
      <c r="E23" s="1136"/>
      <c r="F23" s="1472">
        <f>SUMIF(84:84,E24,85:85)-SUMIF(84:84,C24,85:85)+100</f>
        <v>100</v>
      </c>
      <c r="G23" s="1251"/>
      <c r="H23" s="1133">
        <f>SUMIF(84:84,G24,85:85)-SUMIF(84:84,C24,85:85)+100</f>
        <v>100</v>
      </c>
      <c r="I23" s="1136"/>
      <c r="J23" s="1133">
        <f>SUMIF(84:84,I24,85:85)-SUMIF(84:84,C24,85:85)+100</f>
        <v>100</v>
      </c>
      <c r="K23" s="1508"/>
      <c r="L23" s="1249"/>
      <c r="M23" s="1237"/>
      <c r="N23" s="1237"/>
      <c r="O23" s="1237"/>
      <c r="P23" s="3643"/>
      <c r="Q23" s="664" t="str">
        <f>B23</f>
        <v>自然及人文环境</v>
      </c>
      <c r="R23" s="1285" t="s">
        <v>1013</v>
      </c>
      <c r="S23" s="1286">
        <f>F23</f>
        <v>100</v>
      </c>
      <c r="T23" s="1285" t="s">
        <v>1013</v>
      </c>
      <c r="U23" s="1286">
        <f>H23</f>
        <v>100</v>
      </c>
      <c r="V23" s="1285" t="s">
        <v>1013</v>
      </c>
      <c r="W23" s="1286">
        <f>J23</f>
        <v>100</v>
      </c>
      <c r="X23" s="1279"/>
      <c r="Y23" s="3648"/>
      <c r="Z23" s="1269" t="str">
        <f>Q23</f>
        <v>自然及人文环境</v>
      </c>
      <c r="AA23" s="1296">
        <f t="shared" si="3"/>
        <v>1</v>
      </c>
      <c r="AB23" s="1296">
        <f t="shared" si="4"/>
        <v>1</v>
      </c>
      <c r="AC23" s="1296">
        <f t="shared" si="5"/>
        <v>1</v>
      </c>
    </row>
    <row r="24" spans="1:29" ht="15">
      <c r="A24" s="1110"/>
      <c r="B24" s="1158"/>
      <c r="C24" s="1130"/>
      <c r="D24" s="1131"/>
      <c r="E24" s="1139"/>
      <c r="F24" s="1470"/>
      <c r="G24" s="1252"/>
      <c r="H24" s="1131"/>
      <c r="I24" s="1139"/>
      <c r="J24" s="1131"/>
      <c r="K24" s="1509"/>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1578</v>
      </c>
      <c r="C25" s="1144"/>
      <c r="D25" s="1119">
        <v>100</v>
      </c>
      <c r="E25" s="1144"/>
      <c r="F25" s="1473">
        <f>SUMIF(86:86,E25,87:87)-SUMIF(86:86,C25,87:87)+100</f>
        <v>100</v>
      </c>
      <c r="G25" s="1144"/>
      <c r="H25" s="1119">
        <f>SUMIF(86:86,G25,87:87)-SUMIF(86:86,C25,87:87)+100</f>
        <v>100</v>
      </c>
      <c r="I25" s="1144"/>
      <c r="J25" s="1119">
        <f>SUMIF(86:86,I25,87:87)-SUMIF(86:86,C25,87:87)+100</f>
        <v>100</v>
      </c>
      <c r="K25" s="1255"/>
      <c r="L25" s="1249"/>
      <c r="M25" s="1237"/>
      <c r="N25" s="1237"/>
      <c r="O25" s="1237"/>
      <c r="P25" s="3643"/>
      <c r="Q25" s="664" t="str">
        <f t="shared" ref="Q25:Q46" si="11">B25</f>
        <v>临街状况</v>
      </c>
      <c r="R25" s="1285" t="s">
        <v>1013</v>
      </c>
      <c r="S25" s="1286">
        <f>F25</f>
        <v>100</v>
      </c>
      <c r="T25" s="1285" t="s">
        <v>1013</v>
      </c>
      <c r="U25" s="1286">
        <f>H25</f>
        <v>100</v>
      </c>
      <c r="V25" s="1285" t="s">
        <v>1013</v>
      </c>
      <c r="W25" s="1286">
        <f>J25</f>
        <v>100</v>
      </c>
      <c r="X25" s="1279"/>
      <c r="Y25" s="3648"/>
      <c r="Z25" s="1269" t="str">
        <f>Q25</f>
        <v>临街状况</v>
      </c>
      <c r="AA25" s="1296">
        <f t="shared" si="3"/>
        <v>1</v>
      </c>
      <c r="AB25" s="1296">
        <f t="shared" si="4"/>
        <v>1</v>
      </c>
      <c r="AC25" s="1296">
        <f t="shared" si="5"/>
        <v>1</v>
      </c>
    </row>
    <row r="26" spans="1:29" ht="15">
      <c r="A26" s="1110"/>
      <c r="B26" s="1425" t="s">
        <v>1579</v>
      </c>
      <c r="C26" s="1118"/>
      <c r="D26" s="1119">
        <v>100</v>
      </c>
      <c r="E26" s="1118"/>
      <c r="F26" s="1473">
        <f>SUMIF(88:88,E26,89:89)-SUMIF(88:88,C26,89:89)+100</f>
        <v>100</v>
      </c>
      <c r="G26" s="1118"/>
      <c r="H26" s="1119">
        <f>SUMIF(88:88,G26,89:89)-SUMIF(88:88,C26,89:89)+100</f>
        <v>100</v>
      </c>
      <c r="I26" s="1118"/>
      <c r="J26" s="1119">
        <f>SUMIF(88:88,I26,89:89)-SUMIF(88:88,C26,89:89)+100</f>
        <v>100</v>
      </c>
      <c r="K26" s="1254"/>
      <c r="L26" s="1249"/>
      <c r="M26" s="1237"/>
      <c r="N26" s="1237"/>
      <c r="O26" s="1237"/>
      <c r="P26" s="3643"/>
      <c r="Q26" s="664" t="str">
        <f t="shared" si="11"/>
        <v>平面位置/可视性</v>
      </c>
      <c r="R26" s="1285" t="s">
        <v>1013</v>
      </c>
      <c r="S26" s="1286">
        <f>F26</f>
        <v>100</v>
      </c>
      <c r="T26" s="1285" t="s">
        <v>1013</v>
      </c>
      <c r="U26" s="1286">
        <f>H26</f>
        <v>100</v>
      </c>
      <c r="V26" s="1285" t="s">
        <v>1013</v>
      </c>
      <c r="W26" s="1286">
        <f>J26</f>
        <v>100</v>
      </c>
      <c r="X26" s="1279"/>
      <c r="Y26" s="3648"/>
      <c r="Z26" s="1269" t="str">
        <f>Q26</f>
        <v>平面位置/可视性</v>
      </c>
      <c r="AA26" s="1296">
        <f t="shared" si="3"/>
        <v>1</v>
      </c>
      <c r="AB26" s="1296">
        <f t="shared" si="4"/>
        <v>1</v>
      </c>
      <c r="AC26" s="1296">
        <f t="shared" si="5"/>
        <v>1</v>
      </c>
    </row>
    <row r="27" spans="1:29" s="1069" customFormat="1" ht="15">
      <c r="A27" s="1113"/>
      <c r="B27" s="1420" t="s">
        <v>1580</v>
      </c>
      <c r="C27" s="1630"/>
      <c r="D27" s="1585">
        <v>100</v>
      </c>
      <c r="E27" s="1630"/>
      <c r="F27" s="1586">
        <f>SUMIF(90:90,E27,91:91)-SUMIF(90:90,C27,91:91)+100</f>
        <v>100</v>
      </c>
      <c r="G27" s="1630"/>
      <c r="H27" s="1585">
        <f>SUMIF(90:90,G27,91:91)-SUMIF(90:90,C27,91:91)+100</f>
        <v>100</v>
      </c>
      <c r="I27" s="1630"/>
      <c r="J27" s="1585">
        <f>SUMIF(90:90,I27,91:91)-SUMIF(90:90,C27,91:91)+100</f>
        <v>100</v>
      </c>
      <c r="K27" s="1255"/>
      <c r="L27" s="1239"/>
      <c r="M27" s="1240"/>
      <c r="N27" s="1240"/>
      <c r="O27" s="1240"/>
      <c r="P27" s="3643"/>
      <c r="Q27" s="1284" t="str">
        <f t="shared" si="11"/>
        <v>人流量</v>
      </c>
      <c r="R27" s="1280" t="s">
        <v>1013</v>
      </c>
      <c r="S27" s="1281">
        <f>F27</f>
        <v>100</v>
      </c>
      <c r="T27" s="1280" t="s">
        <v>1013</v>
      </c>
      <c r="U27" s="1281">
        <f>H27</f>
        <v>100</v>
      </c>
      <c r="V27" s="1280" t="s">
        <v>1013</v>
      </c>
      <c r="W27" s="1281">
        <f>J27</f>
        <v>100</v>
      </c>
      <c r="X27" s="1282"/>
      <c r="Y27" s="3648"/>
      <c r="Z27" s="1295" t="str">
        <f>Q27</f>
        <v>人流量</v>
      </c>
      <c r="AA27" s="1296">
        <f t="shared" si="3"/>
        <v>1</v>
      </c>
      <c r="AB27" s="1296">
        <f t="shared" si="4"/>
        <v>1</v>
      </c>
      <c r="AC27" s="1296">
        <f t="shared" si="5"/>
        <v>1</v>
      </c>
    </row>
    <row r="28" spans="1:29" ht="15">
      <c r="A28" s="1110"/>
      <c r="B28" s="1107" t="s">
        <v>1030</v>
      </c>
      <c r="C28" s="1144"/>
      <c r="D28" s="1119">
        <v>100</v>
      </c>
      <c r="E28" s="1144"/>
      <c r="F28" s="1473">
        <f>SUMIF(92:92,E28,93:93)-SUMIF(92:92,C28,93:93)+100</f>
        <v>100</v>
      </c>
      <c r="G28" s="1144"/>
      <c r="H28" s="1119">
        <f>SUMIF(92:92,G28,93:93)-SUMIF(92:92,C28,93:93)+100</f>
        <v>100</v>
      </c>
      <c r="I28" s="1144"/>
      <c r="J28" s="1119">
        <f>SUMIF(92:92,I28,93:93)-SUMIF(92:92,C28,93:93)+100</f>
        <v>100</v>
      </c>
      <c r="K28" s="1254"/>
      <c r="L28" s="1249"/>
      <c r="M28" s="1237"/>
      <c r="N28" s="1237"/>
      <c r="O28" s="1237"/>
      <c r="P28" s="3643"/>
      <c r="Q28" s="664" t="str">
        <f t="shared" si="11"/>
        <v>楼层</v>
      </c>
      <c r="R28" s="1285" t="s">
        <v>1013</v>
      </c>
      <c r="S28" s="1286">
        <f t="shared" ref="S28:S46" si="12">F28</f>
        <v>100</v>
      </c>
      <c r="T28" s="1285" t="s">
        <v>1013</v>
      </c>
      <c r="U28" s="1286">
        <f t="shared" ref="U28:U46" si="13">H28</f>
        <v>100</v>
      </c>
      <c r="V28" s="1285" t="s">
        <v>1013</v>
      </c>
      <c r="W28" s="1286">
        <f t="shared" ref="W28:W46" si="14">J28</f>
        <v>100</v>
      </c>
      <c r="X28" s="1279"/>
      <c r="Y28" s="364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3">
        <f>SUMIF(94:94,E29,95:95)-SUMIF(94:94,C29,95:95)+100</f>
        <v>100</v>
      </c>
      <c r="G29" s="1118"/>
      <c r="H29" s="1119">
        <f>SUMIF(94:94,G29,95:95)-SUMIF(94:94,C29,95:95)+100</f>
        <v>100</v>
      </c>
      <c r="I29" s="1118"/>
      <c r="J29" s="1119">
        <f>SUMIF(94:94,I29,95:95)-SUMIF(94:94,C29,95:95)+100</f>
        <v>100</v>
      </c>
      <c r="K29" s="1254"/>
      <c r="L29" s="1249"/>
      <c r="M29" s="1237"/>
      <c r="N29" s="1237"/>
      <c r="O29" s="1237"/>
      <c r="P29" s="3643"/>
      <c r="Q29" s="664">
        <f t="shared" si="11"/>
        <v>111</v>
      </c>
      <c r="R29" s="1285" t="s">
        <v>1013</v>
      </c>
      <c r="S29" s="1286">
        <f t="shared" si="12"/>
        <v>100</v>
      </c>
      <c r="T29" s="1285" t="s">
        <v>1013</v>
      </c>
      <c r="U29" s="1286">
        <f t="shared" si="13"/>
        <v>100</v>
      </c>
      <c r="V29" s="1285" t="s">
        <v>1013</v>
      </c>
      <c r="W29" s="1286">
        <f t="shared" si="14"/>
        <v>100</v>
      </c>
      <c r="X29" s="1279"/>
      <c r="Y29" s="3648"/>
      <c r="Z29" s="1269">
        <f t="shared" si="15"/>
        <v>111</v>
      </c>
      <c r="AA29" s="1296">
        <f t="shared" si="3"/>
        <v>1</v>
      </c>
      <c r="AB29" s="1296">
        <f t="shared" si="4"/>
        <v>1</v>
      </c>
      <c r="AC29" s="1296">
        <f t="shared" si="5"/>
        <v>1</v>
      </c>
    </row>
    <row r="30" spans="1:29" ht="15">
      <c r="A30" s="1110"/>
      <c r="B30" s="1425">
        <v>111</v>
      </c>
      <c r="C30" s="1118"/>
      <c r="D30" s="1119">
        <v>100</v>
      </c>
      <c r="E30" s="1118"/>
      <c r="F30" s="1473">
        <f>SUMIF(96:96,E30,97:97)-SUMIF(96:96,C30,97:97)+100</f>
        <v>100</v>
      </c>
      <c r="G30" s="1118"/>
      <c r="H30" s="1119">
        <f>SUMIF(96:96,G30,97:97)-SUMIF(96:96,C30,97:97)+100</f>
        <v>100</v>
      </c>
      <c r="I30" s="1118"/>
      <c r="J30" s="1119">
        <f>SUMIF(96:96,I30,97:97)-SUMIF(96:96,C30,97:97)+100</f>
        <v>100</v>
      </c>
      <c r="K30" s="1254"/>
      <c r="L30" s="1249"/>
      <c r="M30" s="1237"/>
      <c r="N30" s="1237"/>
      <c r="O30" s="1237"/>
      <c r="P30" s="3643"/>
      <c r="Q30" s="664">
        <f t="shared" si="11"/>
        <v>111</v>
      </c>
      <c r="R30" s="1285" t="s">
        <v>1013</v>
      </c>
      <c r="S30" s="1286">
        <f t="shared" si="12"/>
        <v>100</v>
      </c>
      <c r="T30" s="1285" t="s">
        <v>1013</v>
      </c>
      <c r="U30" s="1286">
        <f t="shared" si="13"/>
        <v>100</v>
      </c>
      <c r="V30" s="1285" t="s">
        <v>1013</v>
      </c>
      <c r="W30" s="1286">
        <f t="shared" si="14"/>
        <v>100</v>
      </c>
      <c r="X30" s="1279"/>
      <c r="Y30" s="3648"/>
      <c r="Z30" s="1269">
        <f t="shared" si="15"/>
        <v>111</v>
      </c>
      <c r="AA30" s="1296">
        <f t="shared" si="3"/>
        <v>1</v>
      </c>
      <c r="AB30" s="1296">
        <f t="shared" si="4"/>
        <v>1</v>
      </c>
      <c r="AC30" s="1296">
        <f t="shared" si="5"/>
        <v>1</v>
      </c>
    </row>
    <row r="31" spans="1:29" ht="15">
      <c r="A31" s="1120"/>
      <c r="B31" s="1425">
        <v>111</v>
      </c>
      <c r="C31" s="1122"/>
      <c r="D31" s="1123">
        <v>100</v>
      </c>
      <c r="E31" s="1118"/>
      <c r="F31" s="1486">
        <f>SUMIF(98:98,E31,99:99)-SUMIF(98:98,C31,99:99)+100</f>
        <v>100</v>
      </c>
      <c r="G31" s="1118"/>
      <c r="H31" s="1123">
        <f>SUMIF(98:98,G31,99:99)-SUMIF(98:98,C31,99:99)+100</f>
        <v>100</v>
      </c>
      <c r="I31" s="1118"/>
      <c r="J31" s="1123">
        <f>SUMIF(98:98,I31,99:99)-SUMIF(98:98,C31,99:99)+100</f>
        <v>100</v>
      </c>
      <c r="K31" s="1254"/>
      <c r="L31" s="1249"/>
      <c r="M31" s="1237"/>
      <c r="N31" s="1237"/>
      <c r="O31" s="1237"/>
      <c r="P31" s="3643"/>
      <c r="Q31" s="664">
        <f t="shared" si="11"/>
        <v>111</v>
      </c>
      <c r="R31" s="1285" t="s">
        <v>1013</v>
      </c>
      <c r="S31" s="1286">
        <f t="shared" si="12"/>
        <v>100</v>
      </c>
      <c r="T31" s="1285" t="s">
        <v>1013</v>
      </c>
      <c r="U31" s="1286">
        <f t="shared" si="13"/>
        <v>100</v>
      </c>
      <c r="V31" s="1285" t="s">
        <v>1013</v>
      </c>
      <c r="W31" s="1286">
        <f t="shared" si="14"/>
        <v>100</v>
      </c>
      <c r="X31" s="1279"/>
      <c r="Y31" s="3648"/>
      <c r="Z31" s="1269">
        <f t="shared" si="15"/>
        <v>111</v>
      </c>
      <c r="AA31" s="1296">
        <f t="shared" si="3"/>
        <v>1</v>
      </c>
      <c r="AB31" s="1296">
        <f t="shared" si="4"/>
        <v>1</v>
      </c>
      <c r="AC31" s="1296">
        <f t="shared" si="5"/>
        <v>1</v>
      </c>
    </row>
    <row r="32" spans="1:29" ht="15">
      <c r="A32" s="1124" t="s">
        <v>1032</v>
      </c>
      <c r="B32" s="1103" t="s">
        <v>1581</v>
      </c>
      <c r="C32" s="1631"/>
      <c r="D32" s="1160">
        <v>100</v>
      </c>
      <c r="E32" s="1631"/>
      <c r="F32" s="1473">
        <f>SUMIF(100:100,E32,101:101)-SUMIF(100:100,C32,101:101)+100</f>
        <v>100</v>
      </c>
      <c r="G32" s="1631"/>
      <c r="H32" s="1119">
        <f>SUMIF(100:100,G32,101:101)-SUMIF(100:100,C32,101:101)+100</f>
        <v>100</v>
      </c>
      <c r="I32" s="1631"/>
      <c r="J32" s="1160">
        <f>SUMIF(100:100,I32,101:101)-SUMIF(100:100,C32,101:101)+100</f>
        <v>100</v>
      </c>
      <c r="K32" s="1255"/>
      <c r="L32" s="1249"/>
      <c r="M32" s="1237"/>
      <c r="N32" s="1237"/>
      <c r="O32" s="1237"/>
      <c r="P32" s="3644" t="s">
        <v>1034</v>
      </c>
      <c r="Q32" s="664" t="str">
        <f t="shared" si="11"/>
        <v>商业类型</v>
      </c>
      <c r="R32" s="1285" t="s">
        <v>1013</v>
      </c>
      <c r="S32" s="1286">
        <f t="shared" si="12"/>
        <v>100</v>
      </c>
      <c r="T32" s="1285" t="s">
        <v>1013</v>
      </c>
      <c r="U32" s="1286">
        <f t="shared" si="13"/>
        <v>100</v>
      </c>
      <c r="V32" s="1285" t="s">
        <v>1013</v>
      </c>
      <c r="W32" s="1286">
        <f t="shared" si="14"/>
        <v>100</v>
      </c>
      <c r="X32" s="1279"/>
      <c r="Y32" s="3649" t="s">
        <v>1034</v>
      </c>
      <c r="Z32" s="1269" t="str">
        <f t="shared" si="15"/>
        <v>商业类型</v>
      </c>
      <c r="AA32" s="1296">
        <f t="shared" si="3"/>
        <v>1</v>
      </c>
      <c r="AB32" s="1296">
        <f t="shared" si="4"/>
        <v>1</v>
      </c>
      <c r="AC32" s="1296">
        <f t="shared" si="5"/>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5"/>
      <c r="Q33" s="1512" t="str">
        <f t="shared" si="11"/>
        <v>项目建筑规模</v>
      </c>
      <c r="R33" s="1287" t="s">
        <v>1013</v>
      </c>
      <c r="S33" s="1288" t="e">
        <f t="shared" si="12"/>
        <v>#N/A</v>
      </c>
      <c r="T33" s="1287" t="s">
        <v>1013</v>
      </c>
      <c r="U33" s="1288" t="e">
        <f t="shared" si="13"/>
        <v>#N/A</v>
      </c>
      <c r="V33" s="1287" t="s">
        <v>1013</v>
      </c>
      <c r="W33" s="1288" t="e">
        <f t="shared" si="14"/>
        <v>#N/A</v>
      </c>
      <c r="X33" s="1289"/>
      <c r="Y33" s="3649"/>
      <c r="Z33" s="1297" t="str">
        <f t="shared" si="15"/>
        <v>项目建筑规模</v>
      </c>
      <c r="AA33" s="1296" t="e">
        <f t="shared" si="3"/>
        <v>#N/A</v>
      </c>
      <c r="AB33" s="1296" t="e">
        <f t="shared" si="4"/>
        <v>#N/A</v>
      </c>
      <c r="AC33" s="1296" t="e">
        <f t="shared" si="5"/>
        <v>#N/A</v>
      </c>
    </row>
    <row r="34" spans="1:29" ht="15">
      <c r="A34" s="1161"/>
      <c r="B34" s="1107" t="s">
        <v>1036</v>
      </c>
      <c r="C34" s="1632"/>
      <c r="D34" s="1119">
        <v>100</v>
      </c>
      <c r="E34" s="1632"/>
      <c r="F34" s="1473">
        <f>SUMIF(105:105,E34,106:106)-SUMIF(105:105,C34,106:106)+100</f>
        <v>100</v>
      </c>
      <c r="G34" s="1632"/>
      <c r="H34" s="1119">
        <f>SUMIF(105:105,G34,106:106)-SUMIF(105:105,C34,106:106)+100</f>
        <v>100</v>
      </c>
      <c r="I34" s="1632"/>
      <c r="J34" s="1119">
        <f>SUMIF(105:105,I34,106:106)-SUMIF(105:105,C34,106:106)+100</f>
        <v>100</v>
      </c>
      <c r="K34" s="1255"/>
      <c r="L34" s="1249"/>
      <c r="M34" s="1237"/>
      <c r="N34" s="1237"/>
      <c r="O34" s="1237"/>
      <c r="P34" s="3645"/>
      <c r="Q34" s="664" t="str">
        <f t="shared" si="11"/>
        <v>建筑结构</v>
      </c>
      <c r="R34" s="1285" t="s">
        <v>1013</v>
      </c>
      <c r="S34" s="1286">
        <f t="shared" si="12"/>
        <v>100</v>
      </c>
      <c r="T34" s="1285" t="s">
        <v>1013</v>
      </c>
      <c r="U34" s="1286">
        <f t="shared" si="13"/>
        <v>100</v>
      </c>
      <c r="V34" s="1285" t="s">
        <v>1013</v>
      </c>
      <c r="W34" s="1286">
        <f t="shared" si="14"/>
        <v>100</v>
      </c>
      <c r="X34" s="1279"/>
      <c r="Y34" s="3649"/>
      <c r="Z34" s="1269" t="str">
        <f t="shared" si="15"/>
        <v>建筑结构</v>
      </c>
      <c r="AA34" s="1296">
        <f t="shared" si="3"/>
        <v>1</v>
      </c>
      <c r="AB34" s="1296">
        <f t="shared" si="4"/>
        <v>1</v>
      </c>
      <c r="AC34" s="1296">
        <f t="shared" si="5"/>
        <v>1</v>
      </c>
    </row>
    <row r="35" spans="1:29" ht="15">
      <c r="A35" s="1161"/>
      <c r="B35" s="1107" t="s">
        <v>1037</v>
      </c>
      <c r="C35" s="1162"/>
      <c r="D35" s="1119">
        <v>100</v>
      </c>
      <c r="E35" s="1162"/>
      <c r="F35" s="1473">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5"/>
      <c r="Q35" s="664" t="str">
        <f t="shared" si="11"/>
        <v>公共部分装修</v>
      </c>
      <c r="R35" s="1285" t="s">
        <v>1013</v>
      </c>
      <c r="S35" s="1286">
        <f t="shared" si="12"/>
        <v>100</v>
      </c>
      <c r="T35" s="1285" t="s">
        <v>1013</v>
      </c>
      <c r="U35" s="1286">
        <f t="shared" si="13"/>
        <v>100</v>
      </c>
      <c r="V35" s="1285" t="s">
        <v>1013</v>
      </c>
      <c r="W35" s="1286">
        <f t="shared" si="14"/>
        <v>100</v>
      </c>
      <c r="X35" s="1279"/>
      <c r="Y35" s="3649"/>
      <c r="Z35" s="1269" t="str">
        <f t="shared" si="15"/>
        <v>公共部分装修</v>
      </c>
      <c r="AA35" s="1296">
        <f t="shared" si="3"/>
        <v>1</v>
      </c>
      <c r="AB35" s="1296">
        <f t="shared" si="4"/>
        <v>1</v>
      </c>
      <c r="AC35" s="1296">
        <f t="shared" si="5"/>
        <v>1</v>
      </c>
    </row>
    <row r="36" spans="1:29" ht="15">
      <c r="A36" s="1161"/>
      <c r="B36" s="1107" t="s">
        <v>635</v>
      </c>
      <c r="C36" s="1480"/>
      <c r="D36" s="1119">
        <v>100</v>
      </c>
      <c r="E36" s="1480"/>
      <c r="F36" s="1473" t="e">
        <f>LOOKUP(E36,110:110,111:111)-LOOKUP(C36,110:110,111:111)+100</f>
        <v>#N/A</v>
      </c>
      <c r="G36" s="1480"/>
      <c r="H36" s="1473" t="e">
        <f>LOOKUP(G36,110:110,111:111)-LOOKUP(C36,110:110,111:111)+100</f>
        <v>#N/A</v>
      </c>
      <c r="I36" s="1480"/>
      <c r="J36" s="1119" t="e">
        <f>LOOKUP(I36,110:110,111:111)-LOOKUP(C36,110:110,111:111)+100</f>
        <v>#N/A</v>
      </c>
      <c r="K36" s="1255"/>
      <c r="L36" s="1249"/>
      <c r="M36" s="1237"/>
      <c r="N36" s="1237"/>
      <c r="O36" s="1237"/>
      <c r="P36" s="3645"/>
      <c r="Q36" s="664" t="str">
        <f t="shared" si="11"/>
        <v>成新度</v>
      </c>
      <c r="R36" s="1285" t="s">
        <v>1013</v>
      </c>
      <c r="S36" s="1286" t="e">
        <f t="shared" si="12"/>
        <v>#N/A</v>
      </c>
      <c r="T36" s="1285" t="s">
        <v>1013</v>
      </c>
      <c r="U36" s="1286" t="e">
        <f t="shared" si="13"/>
        <v>#N/A</v>
      </c>
      <c r="V36" s="1285" t="s">
        <v>1013</v>
      </c>
      <c r="W36" s="1286" t="e">
        <f t="shared" si="14"/>
        <v>#N/A</v>
      </c>
      <c r="X36" s="1279"/>
      <c r="Y36" s="3649"/>
      <c r="Z36" s="1269" t="str">
        <f t="shared" si="15"/>
        <v>成新度</v>
      </c>
      <c r="AA36" s="1296" t="e">
        <f t="shared" si="3"/>
        <v>#N/A</v>
      </c>
      <c r="AB36" s="1296" t="e">
        <f t="shared" si="4"/>
        <v>#N/A</v>
      </c>
      <c r="AC36" s="1296" t="e">
        <f t="shared" si="5"/>
        <v>#N/A</v>
      </c>
    </row>
    <row r="37" spans="1:29" s="1069" customFormat="1" ht="15">
      <c r="A37" s="1163"/>
      <c r="B37" s="1107" t="s">
        <v>1040</v>
      </c>
      <c r="C37" s="1162"/>
      <c r="D37" s="1109">
        <v>100</v>
      </c>
      <c r="E37" s="1162"/>
      <c r="F37" s="1473">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5"/>
      <c r="Q37" s="1284" t="str">
        <f t="shared" si="11"/>
        <v>市政基础设施</v>
      </c>
      <c r="R37" s="1280" t="s">
        <v>1013</v>
      </c>
      <c r="S37" s="1281">
        <f t="shared" si="12"/>
        <v>100</v>
      </c>
      <c r="T37" s="1280" t="s">
        <v>1013</v>
      </c>
      <c r="U37" s="1281">
        <f t="shared" si="13"/>
        <v>100</v>
      </c>
      <c r="V37" s="1280" t="s">
        <v>1013</v>
      </c>
      <c r="W37" s="1281">
        <f t="shared" si="14"/>
        <v>100</v>
      </c>
      <c r="X37" s="1282"/>
      <c r="Y37" s="3649"/>
      <c r="Z37" s="1295" t="str">
        <f t="shared" si="15"/>
        <v>市政基础设施</v>
      </c>
      <c r="AA37" s="1294">
        <f t="shared" si="3"/>
        <v>1</v>
      </c>
      <c r="AB37" s="1294">
        <f t="shared" si="4"/>
        <v>1</v>
      </c>
      <c r="AC37" s="1294">
        <f t="shared" si="5"/>
        <v>1</v>
      </c>
    </row>
    <row r="38" spans="1:29" ht="15">
      <c r="A38" s="1161"/>
      <c r="B38" s="1107" t="s">
        <v>1582</v>
      </c>
      <c r="C38" s="1162"/>
      <c r="D38" s="1119">
        <v>100</v>
      </c>
      <c r="E38" s="1162"/>
      <c r="F38" s="1473">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5" t="s">
        <v>1034</v>
      </c>
      <c r="Q38" s="664" t="str">
        <f t="shared" si="11"/>
        <v>业态</v>
      </c>
      <c r="R38" s="1285" t="s">
        <v>1013</v>
      </c>
      <c r="S38" s="1286">
        <f t="shared" si="12"/>
        <v>100</v>
      </c>
      <c r="T38" s="1285" t="s">
        <v>1013</v>
      </c>
      <c r="U38" s="1286">
        <f t="shared" si="13"/>
        <v>100</v>
      </c>
      <c r="V38" s="1285" t="s">
        <v>1013</v>
      </c>
      <c r="W38" s="1286">
        <f t="shared" si="14"/>
        <v>100</v>
      </c>
      <c r="X38" s="1279"/>
      <c r="Y38" s="3649" t="s">
        <v>1034</v>
      </c>
      <c r="Z38" s="1269" t="str">
        <f t="shared" si="15"/>
        <v>业态</v>
      </c>
      <c r="AA38" s="1296">
        <f t="shared" si="3"/>
        <v>1</v>
      </c>
      <c r="AB38" s="1296">
        <f t="shared" si="4"/>
        <v>1</v>
      </c>
      <c r="AC38" s="1296">
        <f t="shared" si="5"/>
        <v>1</v>
      </c>
    </row>
    <row r="39" spans="1:29" ht="15">
      <c r="A39" s="1161"/>
      <c r="B39" s="1107" t="s">
        <v>1041</v>
      </c>
      <c r="C39" s="1162"/>
      <c r="D39" s="1119">
        <v>100</v>
      </c>
      <c r="E39" s="1162"/>
      <c r="F39" s="1473">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5"/>
      <c r="Q39" s="664" t="str">
        <f t="shared" si="11"/>
        <v>层高</v>
      </c>
      <c r="R39" s="1285" t="s">
        <v>1013</v>
      </c>
      <c r="S39" s="1286">
        <f t="shared" si="12"/>
        <v>100</v>
      </c>
      <c r="T39" s="1285" t="s">
        <v>1013</v>
      </c>
      <c r="U39" s="1286">
        <f t="shared" si="13"/>
        <v>100</v>
      </c>
      <c r="V39" s="1285" t="s">
        <v>1013</v>
      </c>
      <c r="W39" s="1286">
        <f t="shared" si="14"/>
        <v>100</v>
      </c>
      <c r="X39" s="1279"/>
      <c r="Y39" s="3649"/>
      <c r="Z39" s="1269" t="str">
        <f t="shared" si="15"/>
        <v>层高</v>
      </c>
      <c r="AA39" s="1296">
        <f t="shared" si="3"/>
        <v>1</v>
      </c>
      <c r="AB39" s="1296">
        <f t="shared" si="4"/>
        <v>1</v>
      </c>
      <c r="AC39" s="1296">
        <f t="shared" si="5"/>
        <v>1</v>
      </c>
    </row>
    <row r="40" spans="1:29" ht="15">
      <c r="A40" s="1161"/>
      <c r="B40" s="1107" t="s">
        <v>1067</v>
      </c>
      <c r="C40" s="1633"/>
      <c r="D40" s="1119">
        <v>100</v>
      </c>
      <c r="E40" s="1634"/>
      <c r="F40" s="1473">
        <f>SUMIF(118:118,E40,119:119)-SUMIF(118:118,C40,119:119)+100</f>
        <v>100</v>
      </c>
      <c r="G40" s="1634"/>
      <c r="H40" s="1119">
        <f>SUMIF(118:118,G40,119:119)-SUMIF(118:118,C40,119:119)+100</f>
        <v>100</v>
      </c>
      <c r="I40" s="1634"/>
      <c r="J40" s="1119">
        <f>SUMIF(118:118,I40,119:119)-SUMIF(118:118,C40,119:119)+100</f>
        <v>100</v>
      </c>
      <c r="K40" s="1254"/>
      <c r="L40" s="1249"/>
      <c r="M40" s="1237"/>
      <c r="N40" s="1237"/>
      <c r="O40" s="1237"/>
      <c r="P40" s="3645"/>
      <c r="Q40" s="664" t="str">
        <f t="shared" si="11"/>
        <v>单套建筑面积</v>
      </c>
      <c r="R40" s="1285" t="s">
        <v>1013</v>
      </c>
      <c r="S40" s="1286">
        <f t="shared" si="12"/>
        <v>100</v>
      </c>
      <c r="T40" s="1285" t="s">
        <v>1013</v>
      </c>
      <c r="U40" s="1286">
        <f t="shared" si="13"/>
        <v>100</v>
      </c>
      <c r="V40" s="1285" t="s">
        <v>1013</v>
      </c>
      <c r="W40" s="1286">
        <f t="shared" si="14"/>
        <v>100</v>
      </c>
      <c r="X40" s="1279"/>
      <c r="Y40" s="3649"/>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3">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5"/>
      <c r="Q41" s="1512" t="str">
        <f t="shared" si="11"/>
        <v>进深比</v>
      </c>
      <c r="R41" s="1287" t="s">
        <v>1013</v>
      </c>
      <c r="S41" s="1288">
        <f t="shared" si="12"/>
        <v>100</v>
      </c>
      <c r="T41" s="1287" t="s">
        <v>1013</v>
      </c>
      <c r="U41" s="1288">
        <f t="shared" si="13"/>
        <v>100</v>
      </c>
      <c r="V41" s="1287" t="s">
        <v>1013</v>
      </c>
      <c r="W41" s="1288">
        <f t="shared" si="14"/>
        <v>100</v>
      </c>
      <c r="X41" s="1289"/>
      <c r="Y41" s="3649"/>
      <c r="Z41" s="1297" t="str">
        <f t="shared" si="15"/>
        <v>进深比</v>
      </c>
      <c r="AA41" s="1296">
        <f t="shared" si="3"/>
        <v>1</v>
      </c>
      <c r="AB41" s="1296">
        <f t="shared" si="4"/>
        <v>1</v>
      </c>
      <c r="AC41" s="1296">
        <f t="shared" si="5"/>
        <v>1</v>
      </c>
    </row>
    <row r="42" spans="1:29" ht="15">
      <c r="A42" s="1161"/>
      <c r="B42" s="1107" t="s">
        <v>1043</v>
      </c>
      <c r="C42" s="1162"/>
      <c r="D42" s="1119">
        <v>100</v>
      </c>
      <c r="E42" s="1162"/>
      <c r="F42" s="1473">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5"/>
      <c r="Q42" s="664" t="str">
        <f t="shared" si="11"/>
        <v>内部装修</v>
      </c>
      <c r="R42" s="1285" t="s">
        <v>1013</v>
      </c>
      <c r="S42" s="1286">
        <f t="shared" si="12"/>
        <v>100</v>
      </c>
      <c r="T42" s="1285" t="s">
        <v>1013</v>
      </c>
      <c r="U42" s="1286">
        <f t="shared" si="13"/>
        <v>100</v>
      </c>
      <c r="V42" s="1285" t="s">
        <v>1013</v>
      </c>
      <c r="W42" s="1286">
        <f t="shared" si="14"/>
        <v>100</v>
      </c>
      <c r="X42" s="1279"/>
      <c r="Y42" s="3649"/>
      <c r="Z42" s="1269" t="str">
        <f t="shared" si="15"/>
        <v>内部装修</v>
      </c>
      <c r="AA42" s="1296">
        <f t="shared" si="3"/>
        <v>1</v>
      </c>
      <c r="AB42" s="1296">
        <f t="shared" si="4"/>
        <v>1</v>
      </c>
      <c r="AC42" s="1296">
        <f t="shared" si="5"/>
        <v>1</v>
      </c>
    </row>
    <row r="43" spans="1:29" ht="15">
      <c r="A43" s="1161"/>
      <c r="B43" s="1107" t="s">
        <v>1044</v>
      </c>
      <c r="C43" s="1162"/>
      <c r="D43" s="1119">
        <v>100</v>
      </c>
      <c r="E43" s="1162"/>
      <c r="F43" s="1473">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5"/>
      <c r="Q43" s="664" t="str">
        <f t="shared" si="11"/>
        <v>内部装修维护情况</v>
      </c>
      <c r="R43" s="1285" t="s">
        <v>1013</v>
      </c>
      <c r="S43" s="1286">
        <f t="shared" si="12"/>
        <v>100</v>
      </c>
      <c r="T43" s="1285" t="s">
        <v>1013</v>
      </c>
      <c r="U43" s="1286">
        <f t="shared" si="13"/>
        <v>100</v>
      </c>
      <c r="V43" s="1285" t="s">
        <v>1013</v>
      </c>
      <c r="W43" s="1286">
        <f t="shared" si="14"/>
        <v>100</v>
      </c>
      <c r="X43" s="1279"/>
      <c r="Y43" s="3649"/>
      <c r="Z43" s="1269" t="str">
        <f t="shared" si="15"/>
        <v>内部装修维护情况</v>
      </c>
      <c r="AA43" s="1296">
        <f t="shared" si="3"/>
        <v>1</v>
      </c>
      <c r="AB43" s="1296">
        <f t="shared" si="4"/>
        <v>1</v>
      </c>
      <c r="AC43" s="1296">
        <f t="shared" si="5"/>
        <v>1</v>
      </c>
    </row>
    <row r="44" spans="1:29" s="1069" customFormat="1" ht="15">
      <c r="A44" s="1163"/>
      <c r="B44" s="1425">
        <v>111</v>
      </c>
      <c r="C44" s="1467"/>
      <c r="D44" s="1109">
        <v>100</v>
      </c>
      <c r="E44" s="1118"/>
      <c r="F44" s="1466">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5"/>
      <c r="Q44" s="1284">
        <f t="shared" si="11"/>
        <v>111</v>
      </c>
      <c r="R44" s="1280" t="s">
        <v>1013</v>
      </c>
      <c r="S44" s="1281">
        <f t="shared" si="12"/>
        <v>100</v>
      </c>
      <c r="T44" s="1280" t="s">
        <v>1013</v>
      </c>
      <c r="U44" s="1281">
        <f t="shared" si="13"/>
        <v>100</v>
      </c>
      <c r="V44" s="1280" t="s">
        <v>1013</v>
      </c>
      <c r="W44" s="1281">
        <f t="shared" si="14"/>
        <v>100</v>
      </c>
      <c r="X44" s="1282"/>
      <c r="Y44" s="3649"/>
      <c r="Z44" s="1295">
        <f t="shared" si="15"/>
        <v>111</v>
      </c>
      <c r="AA44" s="1294">
        <f t="shared" si="3"/>
        <v>1</v>
      </c>
      <c r="AB44" s="1294">
        <f t="shared" si="4"/>
        <v>1</v>
      </c>
      <c r="AC44" s="1294">
        <f t="shared" si="5"/>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5"/>
      <c r="Q45" s="664">
        <f t="shared" si="11"/>
        <v>111</v>
      </c>
      <c r="R45" s="1285" t="s">
        <v>1013</v>
      </c>
      <c r="S45" s="1286">
        <f t="shared" si="12"/>
        <v>100</v>
      </c>
      <c r="T45" s="1285" t="s">
        <v>1013</v>
      </c>
      <c r="U45" s="1286">
        <f t="shared" si="13"/>
        <v>100</v>
      </c>
      <c r="V45" s="1285" t="s">
        <v>1013</v>
      </c>
      <c r="W45" s="1286">
        <f t="shared" si="14"/>
        <v>100</v>
      </c>
      <c r="X45" s="1279"/>
      <c r="Y45" s="3649"/>
      <c r="Z45" s="1269">
        <f t="shared" si="15"/>
        <v>111</v>
      </c>
      <c r="AA45" s="1296">
        <f t="shared" si="3"/>
        <v>1</v>
      </c>
      <c r="AB45" s="1296">
        <f t="shared" si="4"/>
        <v>1</v>
      </c>
      <c r="AC45" s="1296">
        <f t="shared" si="5"/>
        <v>1</v>
      </c>
    </row>
    <row r="46" spans="1:29" ht="15">
      <c r="A46" s="1485"/>
      <c r="B46" s="1121">
        <v>111</v>
      </c>
      <c r="C46" s="1122"/>
      <c r="D46" s="1123">
        <v>100</v>
      </c>
      <c r="E46" s="1118"/>
      <c r="F46" s="1486">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6"/>
      <c r="Q46" s="664">
        <f t="shared" si="11"/>
        <v>111</v>
      </c>
      <c r="R46" s="1285" t="s">
        <v>1013</v>
      </c>
      <c r="S46" s="1286">
        <f t="shared" si="12"/>
        <v>100</v>
      </c>
      <c r="T46" s="1285" t="s">
        <v>1013</v>
      </c>
      <c r="U46" s="1286">
        <f t="shared" si="13"/>
        <v>100</v>
      </c>
      <c r="V46" s="1285" t="s">
        <v>1013</v>
      </c>
      <c r="W46" s="1286">
        <f t="shared" si="14"/>
        <v>100</v>
      </c>
      <c r="X46" s="1279"/>
      <c r="Y46" s="3650"/>
      <c r="Z46" s="1269">
        <f t="shared" si="15"/>
        <v>111</v>
      </c>
      <c r="AA46" s="1296">
        <f t="shared" si="3"/>
        <v>1</v>
      </c>
      <c r="AB46" s="1296">
        <f t="shared" si="4"/>
        <v>1</v>
      </c>
      <c r="AC46" s="1296">
        <f t="shared" si="5"/>
        <v>1</v>
      </c>
    </row>
    <row r="47" spans="1:29" ht="15">
      <c r="A47" s="1168" t="s">
        <v>1045</v>
      </c>
      <c r="B47" s="1487"/>
      <c r="C47" s="1488" t="s">
        <v>124</v>
      </c>
      <c r="D47" s="1489"/>
      <c r="E47" s="1490"/>
      <c r="F47" s="1491"/>
      <c r="G47" s="1492"/>
      <c r="H47" s="1493"/>
      <c r="I47" s="1490"/>
      <c r="J47" s="1493"/>
      <c r="K47" s="1260"/>
      <c r="L47" s="1261"/>
      <c r="M47" s="1185"/>
      <c r="N47" s="1237"/>
      <c r="O47" s="1185"/>
      <c r="P47" s="3640" t="str">
        <f>A47</f>
        <v>成交单价（元/平方米）</v>
      </c>
      <c r="Q47" s="3640"/>
      <c r="R47" s="3673">
        <f>E47</f>
        <v>0</v>
      </c>
      <c r="S47" s="3673"/>
      <c r="T47" s="3673">
        <f>G47</f>
        <v>0</v>
      </c>
      <c r="U47" s="3673"/>
      <c r="V47" s="3673">
        <f>I47</f>
        <v>0</v>
      </c>
      <c r="W47" s="3673"/>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262">
        <f>F48+H48+J48</f>
        <v>0</v>
      </c>
      <c r="L48" s="1261"/>
      <c r="M48" s="1185"/>
      <c r="N48" s="1237"/>
      <c r="O48" s="118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5"/>
      <c r="Y48" s="1225"/>
      <c r="Z48" s="1225"/>
      <c r="AA48" s="1225"/>
      <c r="AB48" s="1225"/>
      <c r="AC48" s="1225"/>
    </row>
    <row r="49" spans="1:29" ht="15">
      <c r="A49" s="1182" t="s">
        <v>1048</v>
      </c>
      <c r="B49" s="1183"/>
      <c r="C49" s="1497" t="e">
        <f>R49</f>
        <v>#DIV/0!</v>
      </c>
      <c r="D49" s="1497"/>
      <c r="E49" s="1497"/>
      <c r="F49" s="1497"/>
      <c r="G49" s="1497"/>
      <c r="H49" s="1497"/>
      <c r="I49" s="1497"/>
      <c r="J49" s="1497"/>
      <c r="K49" s="1263"/>
      <c r="L49" s="1261"/>
      <c r="M49" s="1185"/>
      <c r="N49" s="1237"/>
      <c r="O49" s="118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8"/>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8"/>
      <c r="Q51" s="1185"/>
      <c r="R51" s="1185"/>
      <c r="S51" s="1185"/>
      <c r="T51" s="1185"/>
      <c r="U51" s="1185"/>
      <c r="V51" s="1185"/>
      <c r="W51" s="1185"/>
      <c r="X51" s="1185"/>
      <c r="Y51" s="1185"/>
      <c r="Z51" s="1185"/>
      <c r="AA51" s="1185"/>
      <c r="AB51" s="1185"/>
      <c r="AC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8"/>
      <c r="Q52" s="1185"/>
      <c r="R52" s="1185"/>
      <c r="S52" s="1185"/>
      <c r="T52" s="1185"/>
      <c r="U52" s="1185"/>
      <c r="V52" s="1185"/>
      <c r="W52" s="1185"/>
      <c r="X52" s="1185"/>
      <c r="Y52" s="1185"/>
      <c r="Z52" s="1185"/>
      <c r="AA52" s="1185"/>
      <c r="AB52" s="1185"/>
      <c r="AC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8"/>
      <c r="Q53" s="1185"/>
      <c r="R53" s="1185"/>
      <c r="S53" s="1185"/>
      <c r="T53" s="1185"/>
      <c r="U53" s="1185"/>
      <c r="V53" s="1185"/>
      <c r="W53" s="1185"/>
      <c r="X53" s="1185"/>
      <c r="Y53" s="1185"/>
      <c r="Z53" s="1185"/>
      <c r="AA53" s="1185"/>
      <c r="AB53" s="1185"/>
      <c r="AC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9"/>
      <c r="Q54" s="1190"/>
      <c r="R54" s="1190"/>
      <c r="S54" s="1190"/>
      <c r="T54" s="1190"/>
      <c r="U54" s="1190"/>
      <c r="V54" s="1190"/>
      <c r="W54" s="1190"/>
      <c r="X54" s="1190"/>
      <c r="Y54" s="1190"/>
      <c r="Z54" s="1190"/>
      <c r="AA54" s="1190"/>
      <c r="AB54" s="1190"/>
      <c r="AC54" s="1190"/>
    </row>
    <row r="55" spans="1:29" s="1072" customFormat="1">
      <c r="A55" s="1190"/>
      <c r="B55" s="1191"/>
      <c r="C55" s="1498"/>
      <c r="D55" s="1190"/>
      <c r="E55" s="1190"/>
      <c r="F55" s="1190"/>
      <c r="G55" s="1190"/>
      <c r="H55" s="1190"/>
      <c r="I55" s="1190"/>
      <c r="J55" s="1190"/>
      <c r="K55" s="1267"/>
      <c r="L55" s="1268"/>
      <c r="M55" s="1190"/>
      <c r="N55" s="1190"/>
      <c r="O55" s="1190"/>
      <c r="P55" s="1639"/>
      <c r="Q55" s="1190"/>
      <c r="R55" s="1190"/>
      <c r="S55" s="1190"/>
      <c r="T55" s="1190"/>
      <c r="U55" s="1190"/>
      <c r="V55" s="1190"/>
      <c r="W55" s="1190"/>
      <c r="X55" s="1190"/>
      <c r="Y55" s="1190"/>
      <c r="Z55" s="1190"/>
      <c r="AA55" s="1190"/>
      <c r="AB55" s="1190"/>
      <c r="AC55" s="1190"/>
    </row>
    <row r="56" spans="1:29">
      <c r="A56" s="1185"/>
      <c r="B56" s="1191"/>
      <c r="C56" s="1498"/>
      <c r="D56" s="1185"/>
      <c r="E56" s="1185"/>
      <c r="F56" s="1185"/>
      <c r="G56" s="1185"/>
      <c r="H56" s="1185"/>
      <c r="I56" s="1185"/>
      <c r="J56" s="1185"/>
      <c r="K56" s="1265"/>
      <c r="L56" s="1266"/>
      <c r="M56" s="1185"/>
      <c r="N56" s="1185"/>
      <c r="O56" s="1185"/>
      <c r="P56" s="1638"/>
      <c r="Q56" s="1185"/>
      <c r="R56" s="1185"/>
      <c r="S56" s="1185"/>
      <c r="T56" s="1185"/>
      <c r="U56" s="1185"/>
      <c r="V56" s="1185"/>
      <c r="W56" s="1185"/>
      <c r="X56" s="1185"/>
      <c r="Y56" s="1185"/>
      <c r="Z56" s="1185"/>
      <c r="AA56" s="1185"/>
      <c r="AB56" s="1185"/>
      <c r="AC56" s="1185"/>
    </row>
    <row r="57" spans="1:29" ht="21">
      <c r="A57" s="1224" t="s">
        <v>1052</v>
      </c>
      <c r="B57" s="1225"/>
      <c r="C57" s="1226"/>
      <c r="D57" s="1226"/>
      <c r="E57" s="1226"/>
      <c r="F57" s="1227"/>
      <c r="G57" s="1227"/>
      <c r="H57" s="1226"/>
      <c r="I57" s="1226"/>
      <c r="J57" s="1226"/>
      <c r="K57" s="1275"/>
      <c r="L57" s="1444"/>
      <c r="M57" s="1277"/>
      <c r="N57" s="1277"/>
      <c r="O57" s="1277"/>
      <c r="P57" s="1640"/>
      <c r="Q57" s="1290"/>
      <c r="R57" s="1185"/>
      <c r="S57" s="1185"/>
      <c r="T57" s="1185"/>
      <c r="U57" s="1185"/>
      <c r="V57" s="1185"/>
      <c r="W57" s="1185"/>
      <c r="X57" s="1185"/>
      <c r="Y57" s="1185"/>
      <c r="Z57" s="1185"/>
      <c r="AA57" s="1185"/>
      <c r="AB57" s="1185"/>
      <c r="AC57" s="1185"/>
    </row>
    <row r="58" spans="1:29" s="1074" customFormat="1" ht="15">
      <c r="A58" s="1499" t="s">
        <v>1011</v>
      </c>
      <c r="B58" s="1500"/>
      <c r="C58" s="1501" t="str">
        <f>YEAR(C7)&amp;"-"&amp;MONTH(C7)</f>
        <v>2023-6</v>
      </c>
      <c r="D58" s="1502">
        <f>EDATE(C58,-1)</f>
        <v>45047</v>
      </c>
      <c r="E58" s="1502">
        <f t="shared" ref="E58:O58" si="16">EDATE(D58,-1)</f>
        <v>45017</v>
      </c>
      <c r="F58" s="1502">
        <f t="shared" si="16"/>
        <v>44986</v>
      </c>
      <c r="G58" s="1502">
        <f t="shared" si="16"/>
        <v>44958</v>
      </c>
      <c r="H58" s="1502">
        <f t="shared" si="16"/>
        <v>44927</v>
      </c>
      <c r="I58" s="1502">
        <f t="shared" si="16"/>
        <v>44896</v>
      </c>
      <c r="J58" s="1502">
        <f t="shared" si="16"/>
        <v>44866</v>
      </c>
      <c r="K58" s="1502">
        <f t="shared" si="16"/>
        <v>44835</v>
      </c>
      <c r="L58" s="1502">
        <f t="shared" si="16"/>
        <v>44805</v>
      </c>
      <c r="M58" s="1502">
        <f t="shared" si="16"/>
        <v>44774</v>
      </c>
      <c r="N58" s="1502">
        <f t="shared" si="16"/>
        <v>44743</v>
      </c>
      <c r="O58" s="1502">
        <f t="shared" si="16"/>
        <v>44713</v>
      </c>
      <c r="P58" s="1641"/>
      <c r="Q58" s="1409"/>
      <c r="R58" s="1409"/>
      <c r="S58" s="1409"/>
      <c r="T58" s="1409"/>
      <c r="U58" s="1409"/>
      <c r="V58" s="1409"/>
      <c r="W58" s="1409"/>
      <c r="X58" s="1409"/>
      <c r="Y58" s="1409"/>
      <c r="Z58" s="1409"/>
      <c r="AA58" s="1409"/>
      <c r="AB58" s="1409"/>
      <c r="AC58" s="1409"/>
    </row>
    <row r="59" spans="1:29" s="1069" customFormat="1" ht="15">
      <c r="A59" s="1503"/>
      <c r="B59" s="1310"/>
      <c r="C59" s="1504">
        <v>100</v>
      </c>
      <c r="D59" s="1314"/>
      <c r="E59" s="1314"/>
      <c r="F59" s="1314"/>
      <c r="G59" s="1314"/>
      <c r="H59" s="1314"/>
      <c r="I59" s="1314"/>
      <c r="J59" s="1314"/>
      <c r="K59" s="1314"/>
      <c r="L59" s="1314"/>
      <c r="M59" s="1511"/>
      <c r="N59" s="1314"/>
      <c r="O59" s="1511"/>
      <c r="P59" s="1642"/>
      <c r="Q59" s="1410"/>
      <c r="R59" s="1410"/>
      <c r="S59" s="1410"/>
      <c r="T59" s="1410"/>
      <c r="U59" s="1410"/>
      <c r="V59" s="1410"/>
      <c r="W59" s="1410"/>
      <c r="X59" s="1410"/>
      <c r="Y59" s="1410"/>
      <c r="Z59" s="1410"/>
      <c r="AA59" s="1410"/>
      <c r="AB59" s="1410"/>
      <c r="AC59" s="1410"/>
    </row>
    <row r="60" spans="1:29" s="1069" customFormat="1" ht="15">
      <c r="A60" s="1305" t="s">
        <v>1053</v>
      </c>
      <c r="B60" s="1306"/>
      <c r="C60" s="1307"/>
      <c r="D60" s="1308"/>
      <c r="E60" s="1308"/>
      <c r="F60" s="1308"/>
      <c r="G60" s="1308"/>
      <c r="H60" s="1308"/>
      <c r="I60" s="1308"/>
      <c r="J60" s="1308"/>
      <c r="K60" s="1308"/>
      <c r="L60" s="1308"/>
      <c r="M60" s="1356"/>
      <c r="N60" s="1308"/>
      <c r="O60" s="1356"/>
      <c r="P60" s="1642"/>
      <c r="Q60" s="1290"/>
      <c r="R60" s="1410"/>
      <c r="S60" s="1410"/>
      <c r="T60" s="1410"/>
      <c r="U60" s="1410"/>
      <c r="V60" s="1410"/>
      <c r="W60" s="1410"/>
      <c r="X60" s="1410"/>
      <c r="Y60" s="1410"/>
      <c r="Z60" s="1410"/>
      <c r="AA60" s="1410"/>
      <c r="AB60" s="1410"/>
      <c r="AC60" s="1410"/>
    </row>
    <row r="61" spans="1:29" s="1069" customFormat="1" ht="15">
      <c r="A61" s="1309" t="s">
        <v>1014</v>
      </c>
      <c r="B61" s="1310"/>
      <c r="C61" s="1311" t="s">
        <v>1054</v>
      </c>
      <c r="D61" s="1312"/>
      <c r="E61" s="1312"/>
      <c r="F61" s="1312"/>
      <c r="G61" s="1312"/>
      <c r="H61" s="1312"/>
      <c r="I61" s="1312"/>
      <c r="J61" s="1312"/>
      <c r="K61" s="1312"/>
      <c r="L61" s="1358"/>
      <c r="M61" s="1359"/>
      <c r="N61" s="1360"/>
      <c r="O61" s="1360"/>
      <c r="P61" s="1643"/>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42"/>
      <c r="Q62" s="1290"/>
      <c r="R62" s="1410"/>
      <c r="S62" s="1410"/>
      <c r="T62" s="1410"/>
      <c r="U62" s="1410"/>
      <c r="V62" s="1410"/>
      <c r="W62" s="1410"/>
      <c r="X62" s="1410"/>
      <c r="Y62" s="1410"/>
      <c r="Z62" s="1410"/>
      <c r="AA62" s="1410"/>
      <c r="AB62" s="1410"/>
      <c r="AC62" s="1410"/>
    </row>
    <row r="63" spans="1:29">
      <c r="A63" s="1315" t="s">
        <v>1055</v>
      </c>
      <c r="B63" s="1316" t="s">
        <v>1017</v>
      </c>
      <c r="C63" s="1338">
        <f>C9</f>
        <v>0</v>
      </c>
      <c r="D63" s="1258"/>
      <c r="E63" s="1258"/>
      <c r="F63" s="1258"/>
      <c r="G63" s="1258"/>
      <c r="H63" s="1258"/>
      <c r="I63" s="1258"/>
      <c r="J63" s="1258"/>
      <c r="K63" s="1363"/>
      <c r="L63" s="1364"/>
      <c r="M63" s="1365"/>
      <c r="N63" s="1366"/>
      <c r="O63" s="1366"/>
      <c r="P63" s="1644"/>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4"/>
      <c r="Q64" s="1290"/>
      <c r="R64" s="1185"/>
      <c r="S64" s="1185"/>
      <c r="T64" s="1185"/>
      <c r="U64" s="1185"/>
      <c r="V64" s="1185"/>
      <c r="W64" s="1185"/>
      <c r="X64" s="1185"/>
      <c r="Y64" s="1185"/>
      <c r="Z64" s="1185"/>
      <c r="AA64" s="1185"/>
      <c r="AB64" s="1185"/>
      <c r="AC64" s="1185"/>
    </row>
    <row r="65" spans="1:29" ht="27">
      <c r="A65" s="1317"/>
      <c r="B65" s="1320" t="s">
        <v>1020</v>
      </c>
      <c r="C65" s="1345"/>
      <c r="D65" s="1345"/>
      <c r="E65" s="1345"/>
      <c r="F65" s="1345"/>
      <c r="G65" s="1345"/>
      <c r="H65" s="1345"/>
      <c r="I65" s="1345"/>
      <c r="J65" s="1345"/>
      <c r="K65" s="1396"/>
      <c r="L65" s="1397"/>
      <c r="M65" s="1398"/>
      <c r="N65" s="1366"/>
      <c r="O65" s="1366"/>
      <c r="P65" s="1644"/>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4"/>
      <c r="Q66" s="1290"/>
      <c r="R66" s="1185"/>
      <c r="S66" s="1185"/>
      <c r="T66" s="1185"/>
      <c r="U66" s="1185"/>
      <c r="V66" s="1185"/>
      <c r="W66" s="1185"/>
      <c r="X66" s="1185"/>
      <c r="Y66" s="1185"/>
      <c r="Z66" s="1185"/>
      <c r="AA66" s="1185"/>
      <c r="AB66" s="1185"/>
      <c r="AC66" s="1185"/>
    </row>
    <row r="67" spans="1:29" ht="15">
      <c r="A67" s="1317"/>
      <c r="B67" s="1324" t="s">
        <v>1021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4"/>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4"/>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4"/>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0"/>
      <c r="Q75" s="1411"/>
      <c r="R75" s="1412"/>
      <c r="S75" s="1412"/>
      <c r="T75" s="1412"/>
      <c r="U75" s="1412"/>
      <c r="V75" s="1412"/>
      <c r="W75" s="1412"/>
      <c r="X75" s="1412"/>
      <c r="Y75" s="1412"/>
      <c r="Z75" s="1412"/>
      <c r="AA75" s="1412"/>
      <c r="AB75" s="1412"/>
      <c r="AC75" s="1412"/>
    </row>
    <row r="76" spans="1:29">
      <c r="A76" s="1315" t="s">
        <v>1022</v>
      </c>
      <c r="B76" s="1316" t="s">
        <v>1550</v>
      </c>
      <c r="C76" s="1337" t="s">
        <v>1056</v>
      </c>
      <c r="D76" s="1337" t="s">
        <v>1057</v>
      </c>
      <c r="E76" s="1337" t="s">
        <v>1058</v>
      </c>
      <c r="F76" s="1337" t="s">
        <v>1059</v>
      </c>
      <c r="G76" s="1337" t="s">
        <v>1060</v>
      </c>
      <c r="H76" s="1338"/>
      <c r="I76" s="1338"/>
      <c r="J76" s="1338"/>
      <c r="K76" s="1386"/>
      <c r="L76" s="1387"/>
      <c r="M76" s="1388"/>
      <c r="N76" s="1366"/>
      <c r="O76" s="1366"/>
      <c r="P76" s="1653"/>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4"/>
      <c r="Q77" s="1290"/>
      <c r="R77" s="1185"/>
      <c r="S77" s="1185"/>
      <c r="T77" s="1185"/>
      <c r="U77" s="1185"/>
      <c r="V77" s="1185"/>
      <c r="W77" s="1185"/>
      <c r="X77" s="1185"/>
      <c r="Y77" s="1185"/>
      <c r="Z77" s="1185"/>
      <c r="AA77" s="1185"/>
      <c r="AB77" s="1185"/>
      <c r="AC77" s="1185"/>
    </row>
    <row r="78" spans="1:29" ht="15">
      <c r="A78" s="1317"/>
      <c r="B78" s="1320" t="s">
        <v>1025</v>
      </c>
      <c r="C78" s="1339" t="s">
        <v>1056</v>
      </c>
      <c r="D78" s="1339" t="s">
        <v>1057</v>
      </c>
      <c r="E78" s="1339" t="s">
        <v>1058</v>
      </c>
      <c r="F78" s="1339" t="s">
        <v>1059</v>
      </c>
      <c r="G78" s="1339" t="s">
        <v>1060</v>
      </c>
      <c r="H78" s="1321"/>
      <c r="I78" s="1321"/>
      <c r="J78" s="1321"/>
      <c r="K78" s="1370"/>
      <c r="L78" s="1371"/>
      <c r="M78" s="1372"/>
      <c r="N78" s="1366"/>
      <c r="O78" s="1366"/>
      <c r="P78" s="1644"/>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4"/>
      <c r="Q79" s="1290"/>
      <c r="R79" s="1185"/>
      <c r="S79" s="1185"/>
      <c r="T79" s="1185"/>
      <c r="U79" s="1185"/>
      <c r="V79" s="1185"/>
      <c r="W79" s="1185"/>
      <c r="X79" s="1185"/>
      <c r="Y79" s="1185"/>
      <c r="Z79" s="1185"/>
      <c r="AA79" s="1185"/>
      <c r="AB79" s="1185"/>
      <c r="AC79" s="1185"/>
    </row>
    <row r="80" spans="1:29" ht="15">
      <c r="A80" s="1317"/>
      <c r="B80" s="1320" t="s">
        <v>1026</v>
      </c>
      <c r="C80" s="1339" t="s">
        <v>1056</v>
      </c>
      <c r="D80" s="1339" t="s">
        <v>1057</v>
      </c>
      <c r="E80" s="1339" t="s">
        <v>1058</v>
      </c>
      <c r="F80" s="1339" t="s">
        <v>1059</v>
      </c>
      <c r="G80" s="1339" t="s">
        <v>1060</v>
      </c>
      <c r="H80" s="1321"/>
      <c r="I80" s="1321"/>
      <c r="J80" s="1321"/>
      <c r="K80" s="1370"/>
      <c r="L80" s="1371"/>
      <c r="M80" s="1372"/>
      <c r="N80" s="1366"/>
      <c r="O80" s="1366"/>
      <c r="P80" s="1644"/>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4"/>
      <c r="Q81" s="1290"/>
      <c r="R81" s="1185"/>
      <c r="S81" s="1185"/>
      <c r="T81" s="1185"/>
      <c r="U81" s="1185"/>
      <c r="V81" s="1185"/>
      <c r="W81" s="1185"/>
      <c r="X81" s="1185"/>
      <c r="Y81" s="1185"/>
      <c r="Z81" s="1185"/>
      <c r="AA81" s="1185"/>
      <c r="AB81" s="1185"/>
      <c r="AC81" s="1185"/>
    </row>
    <row r="82" spans="1:29" ht="15">
      <c r="A82" s="1317"/>
      <c r="B82" s="1324" t="s">
        <v>1027</v>
      </c>
      <c r="C82" s="1344" t="s">
        <v>1061</v>
      </c>
      <c r="D82" s="1344" t="s">
        <v>1062</v>
      </c>
      <c r="E82" s="1344" t="s">
        <v>1063</v>
      </c>
      <c r="F82" s="1344" t="s">
        <v>1064</v>
      </c>
      <c r="G82" s="1344" t="s">
        <v>1065</v>
      </c>
      <c r="H82" s="1321"/>
      <c r="I82" s="1321"/>
      <c r="J82" s="1321"/>
      <c r="K82" s="1321"/>
      <c r="L82" s="1321"/>
      <c r="M82" s="1516"/>
      <c r="N82" s="1369"/>
      <c r="O82" s="1369"/>
      <c r="P82" s="1644"/>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4"/>
      <c r="Q83" s="1290"/>
      <c r="R83" s="1185"/>
      <c r="S83" s="1185"/>
      <c r="T83" s="1185"/>
      <c r="U83" s="1185"/>
      <c r="V83" s="1185"/>
      <c r="W83" s="1185"/>
      <c r="X83" s="1185"/>
      <c r="Y83" s="1185"/>
      <c r="Z83" s="1185"/>
      <c r="AA83" s="1185"/>
      <c r="AB83" s="1185"/>
      <c r="AC83" s="1185"/>
    </row>
    <row r="84" spans="1:29" ht="15">
      <c r="A84" s="1317"/>
      <c r="B84" s="1320" t="s">
        <v>1551</v>
      </c>
      <c r="C84" s="1339" t="s">
        <v>1056</v>
      </c>
      <c r="D84" s="1339" t="s">
        <v>1057</v>
      </c>
      <c r="E84" s="1339" t="s">
        <v>1058</v>
      </c>
      <c r="F84" s="1339" t="s">
        <v>1059</v>
      </c>
      <c r="G84" s="1339" t="s">
        <v>1060</v>
      </c>
      <c r="H84" s="1321"/>
      <c r="I84" s="1321"/>
      <c r="J84" s="1321"/>
      <c r="K84" s="1370"/>
      <c r="L84" s="1371"/>
      <c r="M84" s="1372"/>
      <c r="N84" s="1366"/>
      <c r="O84" s="1366"/>
      <c r="P84" s="1644"/>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4"/>
      <c r="Q85" s="1290"/>
      <c r="R85" s="1185"/>
      <c r="S85" s="1185"/>
      <c r="T85" s="1185"/>
      <c r="U85" s="1185"/>
      <c r="V85" s="1185"/>
      <c r="W85" s="1185"/>
      <c r="X85" s="1185"/>
      <c r="Y85" s="1185"/>
      <c r="Z85" s="1185"/>
      <c r="AA85" s="1185"/>
      <c r="AB85" s="1185"/>
      <c r="AC85" s="1185"/>
    </row>
    <row r="86" spans="1:29" s="1069" customFormat="1" ht="15">
      <c r="A86" s="1340"/>
      <c r="B86" s="1320" t="s">
        <v>1578</v>
      </c>
      <c r="C86" s="1328"/>
      <c r="D86" s="1328"/>
      <c r="E86" s="1328"/>
      <c r="F86" s="1328"/>
      <c r="G86" s="1328"/>
      <c r="H86" s="1328"/>
      <c r="I86" s="1328"/>
      <c r="J86" s="1328"/>
      <c r="K86" s="1328"/>
      <c r="L86" s="1517"/>
      <c r="M86" s="1518"/>
      <c r="N86" s="1360"/>
      <c r="O86" s="1360"/>
      <c r="P86" s="1644"/>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4"/>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8"/>
      <c r="G88" s="1328"/>
      <c r="H88" s="1328"/>
      <c r="I88" s="1328"/>
      <c r="J88" s="1328"/>
      <c r="K88" s="1328"/>
      <c r="L88" s="1328"/>
      <c r="M88" s="1518"/>
      <c r="N88" s="1360"/>
      <c r="O88" s="1360"/>
      <c r="P88" s="1644"/>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4"/>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0"/>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7"/>
      <c r="M92" s="1518"/>
      <c r="N92" s="1366"/>
      <c r="O92" s="1366"/>
      <c r="P92" s="1644"/>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4"/>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4"/>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4"/>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4"/>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4"/>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4"/>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44"/>
      <c r="Q99" s="1290"/>
      <c r="R99" s="1185"/>
      <c r="S99" s="1185"/>
      <c r="T99" s="1185"/>
      <c r="U99" s="1185"/>
      <c r="V99" s="1185"/>
      <c r="W99" s="1185"/>
      <c r="X99" s="1185"/>
      <c r="Y99" s="1185"/>
      <c r="Z99" s="1185"/>
      <c r="AA99" s="1185"/>
      <c r="AB99" s="1185"/>
      <c r="AC99" s="1185"/>
    </row>
    <row r="100" spans="1:29">
      <c r="A100" s="1315" t="s">
        <v>1032</v>
      </c>
      <c r="B100" s="1316" t="s">
        <v>1581</v>
      </c>
      <c r="C100" s="1258"/>
      <c r="D100" s="1258"/>
      <c r="E100" s="1258"/>
      <c r="F100" s="1258"/>
      <c r="G100" s="1258"/>
      <c r="H100" s="1258"/>
      <c r="I100" s="1258"/>
      <c r="J100" s="1258"/>
      <c r="K100" s="1363"/>
      <c r="L100" s="1364"/>
      <c r="M100" s="1365"/>
      <c r="N100" s="1366"/>
      <c r="O100" s="1366"/>
      <c r="P100" s="1644"/>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4"/>
      <c r="Q101" s="1290"/>
      <c r="R101" s="1185"/>
      <c r="S101" s="1185"/>
      <c r="T101" s="1185"/>
      <c r="U101" s="1185"/>
      <c r="V101" s="1185"/>
      <c r="W101" s="1185"/>
      <c r="X101" s="1185"/>
      <c r="Y101" s="1185"/>
      <c r="Z101" s="1185"/>
      <c r="AA101" s="1185"/>
      <c r="AB101" s="1185"/>
      <c r="AC101" s="1185"/>
    </row>
    <row r="102" spans="1:29" ht="15">
      <c r="A102" s="1317"/>
      <c r="B102" s="1320" t="s">
        <v>1035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4"/>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0"/>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0"/>
      <c r="Q104" s="1411"/>
      <c r="R104" s="1412"/>
      <c r="S104" s="1412"/>
      <c r="T104" s="1412"/>
      <c r="U104" s="1412"/>
      <c r="V104" s="1412"/>
      <c r="W104" s="1412"/>
      <c r="X104" s="1412"/>
      <c r="Y104" s="1412"/>
      <c r="Z104" s="1412"/>
      <c r="AA104" s="1412"/>
      <c r="AB104" s="1412"/>
      <c r="AC104" s="1412"/>
    </row>
    <row r="105" spans="1:29">
      <c r="A105" s="1351"/>
      <c r="B105" s="1320" t="s">
        <v>1036</v>
      </c>
      <c r="C105" s="1328"/>
      <c r="D105" s="1328"/>
      <c r="E105" s="1345"/>
      <c r="F105" s="1345"/>
      <c r="G105" s="1345"/>
      <c r="H105" s="1345"/>
      <c r="I105" s="1345"/>
      <c r="J105" s="1345"/>
      <c r="K105" s="1396"/>
      <c r="L105" s="1397"/>
      <c r="M105" s="1398"/>
      <c r="N105" s="1366"/>
      <c r="O105" s="1366"/>
      <c r="P105" s="1644"/>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4"/>
      <c r="Q106" s="1290"/>
      <c r="R106" s="1185"/>
      <c r="S106" s="1185"/>
      <c r="T106" s="1185"/>
      <c r="U106" s="1185"/>
      <c r="V106" s="1185"/>
      <c r="W106" s="1185"/>
      <c r="X106" s="1185"/>
      <c r="Y106" s="1185"/>
      <c r="Z106" s="1185"/>
      <c r="AA106" s="1185"/>
      <c r="AB106" s="1185"/>
      <c r="AC106" s="1185"/>
    </row>
    <row r="107" spans="1:29">
      <c r="A107" s="1351"/>
      <c r="B107" s="1320" t="s">
        <v>1037</v>
      </c>
      <c r="C107" s="1328"/>
      <c r="D107" s="1328"/>
      <c r="E107" s="1328"/>
      <c r="F107" s="1345"/>
      <c r="G107" s="1345"/>
      <c r="H107" s="1345"/>
      <c r="I107" s="1345"/>
      <c r="J107" s="1345"/>
      <c r="K107" s="1396"/>
      <c r="L107" s="1397"/>
      <c r="M107" s="1398"/>
      <c r="N107" s="1366"/>
      <c r="O107" s="1366"/>
      <c r="P107" s="1644"/>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4"/>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4"/>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8"/>
      <c r="J110" s="1578"/>
      <c r="K110" s="1579"/>
      <c r="L110" s="1580"/>
      <c r="M110" s="1581"/>
      <c r="N110" s="1366"/>
      <c r="O110" s="1366"/>
      <c r="P110" s="1644"/>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4"/>
      <c r="Q111" s="1290"/>
      <c r="R111" s="1185"/>
      <c r="S111" s="1185"/>
      <c r="T111" s="1185"/>
      <c r="U111" s="1185"/>
      <c r="V111" s="1185"/>
      <c r="W111" s="1185"/>
      <c r="X111" s="1185"/>
      <c r="Y111" s="1185"/>
      <c r="Z111" s="1185"/>
      <c r="AA111" s="1185"/>
      <c r="AB111" s="1185"/>
      <c r="AC111" s="1185"/>
    </row>
    <row r="112" spans="1:29" s="1071" customFormat="1">
      <c r="A112" s="1348"/>
      <c r="B112" s="1320" t="s">
        <v>1040</v>
      </c>
      <c r="C112" s="1328"/>
      <c r="D112" s="1328"/>
      <c r="E112" s="1328"/>
      <c r="F112" s="1328"/>
      <c r="G112" s="1328"/>
      <c r="H112" s="1345"/>
      <c r="I112" s="1345"/>
      <c r="J112" s="1345"/>
      <c r="K112" s="1396"/>
      <c r="L112" s="1397"/>
      <c r="M112" s="1398"/>
      <c r="N112" s="1379"/>
      <c r="O112" s="1379"/>
      <c r="P112" s="165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0"/>
      <c r="Q113" s="1411"/>
      <c r="R113" s="1412"/>
      <c r="S113" s="1412"/>
      <c r="T113" s="1412"/>
      <c r="U113" s="1412"/>
      <c r="V113" s="1412"/>
      <c r="W113" s="1412"/>
      <c r="X113" s="1412"/>
      <c r="Y113" s="1412"/>
      <c r="Z113" s="1412"/>
      <c r="AA113" s="1412"/>
      <c r="AB113" s="1412"/>
      <c r="AC113" s="1412"/>
    </row>
    <row r="114" spans="1:29">
      <c r="A114" s="1351"/>
      <c r="B114" s="1320" t="s">
        <v>1582</v>
      </c>
      <c r="C114" s="1328"/>
      <c r="D114" s="1328"/>
      <c r="E114" s="1345"/>
      <c r="F114" s="1345"/>
      <c r="G114" s="1345"/>
      <c r="H114" s="1345"/>
      <c r="I114" s="1345"/>
      <c r="J114" s="1345"/>
      <c r="K114" s="1396"/>
      <c r="L114" s="1397"/>
      <c r="M114" s="1398"/>
      <c r="N114" s="1366"/>
      <c r="O114" s="1366"/>
      <c r="P114" s="1644"/>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4"/>
      <c r="Q115" s="1290"/>
      <c r="R115" s="1185"/>
      <c r="S115" s="1185"/>
      <c r="T115" s="1185"/>
      <c r="U115" s="1185"/>
      <c r="V115" s="1185"/>
      <c r="W115" s="1185"/>
      <c r="X115" s="1185"/>
      <c r="Y115" s="1185"/>
      <c r="Z115" s="1185"/>
      <c r="AA115" s="1185"/>
      <c r="AB115" s="1185"/>
      <c r="AC115" s="1185"/>
    </row>
    <row r="116" spans="1:29">
      <c r="A116" s="1351"/>
      <c r="B116" s="1320" t="s">
        <v>1041</v>
      </c>
      <c r="C116" s="1328"/>
      <c r="D116" s="1328"/>
      <c r="E116" s="1328"/>
      <c r="F116" s="1328"/>
      <c r="G116" s="1328"/>
      <c r="H116" s="1345"/>
      <c r="I116" s="1345"/>
      <c r="J116" s="1345"/>
      <c r="K116" s="1396"/>
      <c r="L116" s="1397"/>
      <c r="M116" s="1398"/>
      <c r="N116" s="1366"/>
      <c r="O116" s="1366"/>
      <c r="P116" s="1644"/>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4"/>
      <c r="Q117" s="1290"/>
      <c r="R117" s="1185"/>
      <c r="S117" s="1185"/>
      <c r="T117" s="1185"/>
      <c r="U117" s="1185"/>
      <c r="V117" s="1185"/>
      <c r="W117" s="1185"/>
      <c r="X117" s="1185"/>
      <c r="Y117" s="1185"/>
      <c r="Z117" s="1185"/>
      <c r="AA117" s="1185"/>
      <c r="AB117" s="1185"/>
      <c r="AC117" s="1185"/>
    </row>
    <row r="118" spans="1:29">
      <c r="A118" s="1351"/>
      <c r="B118" s="1320" t="s">
        <v>1067</v>
      </c>
      <c r="C118" s="1649"/>
      <c r="D118" s="1649"/>
      <c r="E118" s="1649"/>
      <c r="F118" s="1649"/>
      <c r="G118" s="1649"/>
      <c r="H118" s="1329"/>
      <c r="I118" s="1329"/>
      <c r="J118" s="1329"/>
      <c r="K118" s="1329"/>
      <c r="L118" s="1377"/>
      <c r="M118" s="1378"/>
      <c r="N118" s="1366"/>
      <c r="O118" s="1366"/>
      <c r="P118" s="1644"/>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4"/>
      <c r="Q119" s="1290"/>
      <c r="R119" s="1185"/>
      <c r="S119" s="1185"/>
      <c r="T119" s="1185"/>
      <c r="U119" s="1185"/>
      <c r="V119" s="1185"/>
      <c r="W119" s="1185"/>
      <c r="X119" s="1185"/>
      <c r="Y119" s="1185"/>
      <c r="Z119" s="1185"/>
      <c r="AA119" s="1185"/>
      <c r="AB119" s="1185"/>
      <c r="AC119" s="1185"/>
    </row>
    <row r="120" spans="1:29" s="1071" customFormat="1">
      <c r="A120" s="1348"/>
      <c r="B120" s="1320" t="s">
        <v>1584</v>
      </c>
      <c r="C120" s="1345"/>
      <c r="D120" s="1345"/>
      <c r="E120" s="1345"/>
      <c r="F120" s="1345"/>
      <c r="G120" s="1329"/>
      <c r="H120" s="1329"/>
      <c r="I120" s="1329"/>
      <c r="J120" s="1329"/>
      <c r="K120" s="1329"/>
      <c r="L120" s="1377"/>
      <c r="M120" s="1378"/>
      <c r="N120" s="1379"/>
      <c r="O120" s="1379"/>
      <c r="P120" s="165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0"/>
      <c r="Q121" s="1411"/>
      <c r="R121" s="1412"/>
      <c r="S121" s="1412"/>
      <c r="T121" s="1412"/>
      <c r="U121" s="1412"/>
      <c r="V121" s="1412"/>
      <c r="W121" s="1412"/>
      <c r="X121" s="1412"/>
      <c r="Y121" s="1412"/>
      <c r="Z121" s="1412"/>
      <c r="AA121" s="1412"/>
      <c r="AB121" s="1412"/>
      <c r="AC121" s="1412"/>
    </row>
    <row r="122" spans="1:29">
      <c r="A122" s="1351"/>
      <c r="B122" s="1320" t="s">
        <v>1043</v>
      </c>
      <c r="C122" s="1328"/>
      <c r="D122" s="1328"/>
      <c r="E122" s="1328"/>
      <c r="F122" s="1345"/>
      <c r="G122" s="1345"/>
      <c r="H122" s="1345"/>
      <c r="I122" s="1345"/>
      <c r="J122" s="1345"/>
      <c r="K122" s="1396"/>
      <c r="L122" s="1397"/>
      <c r="M122" s="1398"/>
      <c r="N122" s="1366"/>
      <c r="O122" s="1366"/>
      <c r="P122" s="1644"/>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4"/>
      <c r="Q123" s="1290"/>
      <c r="R123" s="1185"/>
      <c r="S123" s="1185"/>
      <c r="T123" s="1185"/>
      <c r="U123" s="1185"/>
      <c r="V123" s="1185"/>
      <c r="W123" s="1185"/>
      <c r="X123" s="1185"/>
      <c r="Y123" s="1185"/>
      <c r="Z123" s="1185"/>
      <c r="AA123" s="1185"/>
      <c r="AB123" s="1185"/>
      <c r="AC123" s="1185"/>
    </row>
    <row r="124" spans="1:29">
      <c r="A124" s="1351"/>
      <c r="B124" s="1320" t="s">
        <v>1044</v>
      </c>
      <c r="C124" s="1339" t="s">
        <v>1056</v>
      </c>
      <c r="D124" s="1339" t="s">
        <v>1057</v>
      </c>
      <c r="E124" s="1339" t="s">
        <v>1058</v>
      </c>
      <c r="F124" s="1339" t="s">
        <v>1059</v>
      </c>
      <c r="G124" s="1339" t="s">
        <v>1060</v>
      </c>
      <c r="H124" s="1321"/>
      <c r="I124" s="1321"/>
      <c r="J124" s="1321"/>
      <c r="K124" s="1370"/>
      <c r="L124" s="1371"/>
      <c r="M124" s="1372"/>
      <c r="N124" s="1366"/>
      <c r="O124" s="1366"/>
      <c r="P124" s="165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4"/>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4"/>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4"/>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4"/>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44"/>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1585</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IF(E1="项目模式",IF(C2="——",ROUND(C43*D3/10000,0),ROUND(C43*D3/10000,0)-D2),IF(E1="单套模式",IF(C2="——",ROUND(C43*D3/10000,4),ROUND(C43*D3/10000,4)-D2)))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587"/>
      <c r="M2" s="1588"/>
      <c r="N2" s="1588"/>
      <c r="O2" s="1588"/>
      <c r="P2" s="1231"/>
      <c r="Q2" s="1231"/>
      <c r="R2" s="1231"/>
      <c r="S2" s="1231"/>
      <c r="T2" s="1231"/>
      <c r="U2" s="1231"/>
      <c r="V2" s="1231"/>
      <c r="W2" s="1231"/>
      <c r="X2" s="1231"/>
      <c r="Y2" s="1231"/>
      <c r="Z2" s="1231"/>
      <c r="AA2" s="1231"/>
      <c r="AB2" s="1231"/>
      <c r="AC2" s="1293"/>
    </row>
    <row r="3" spans="1:29" s="1068" customFormat="1" ht="28.5" customHeight="1">
      <c r="A3" s="381" t="s">
        <v>996</v>
      </c>
      <c r="B3" s="1086">
        <f>IF(C2="——",C43,ROUND(B2*10000/D3,0))</f>
        <v>0</v>
      </c>
      <c r="C3" s="1460" t="s">
        <v>997</v>
      </c>
      <c r="D3" s="1461">
        <f>IF(D1="",'数据-汇总表'!E3,SUMIF('数据-汇总表'!$C19:$C33,D1,'数据-汇总表'!$E19:$E33))</f>
        <v>20276.490000000002</v>
      </c>
      <c r="E3" s="1084"/>
      <c r="F3" s="1085"/>
      <c r="G3" s="1084"/>
      <c r="H3" s="1084"/>
      <c r="I3" s="1084"/>
      <c r="J3" s="1084"/>
      <c r="K3" s="1232"/>
      <c r="L3" s="1587"/>
      <c r="M3" s="1588"/>
      <c r="N3" s="1588"/>
      <c r="O3" s="1588"/>
      <c r="P3" s="1231"/>
      <c r="Q3" s="1231"/>
      <c r="R3" s="1231"/>
      <c r="S3" s="1231"/>
      <c r="T3" s="1231"/>
      <c r="U3" s="1231"/>
      <c r="V3" s="1231"/>
      <c r="W3" s="1231"/>
      <c r="X3" s="1231"/>
      <c r="Y3" s="1231"/>
      <c r="Z3" s="1231"/>
      <c r="AA3" s="1231"/>
      <c r="AB3" s="1292"/>
      <c r="AC3" s="1293"/>
    </row>
    <row r="4" spans="1:29" ht="15">
      <c r="A4" s="1088" t="s">
        <v>998</v>
      </c>
      <c r="B4" s="1089"/>
      <c r="C4" s="3623" t="s">
        <v>999</v>
      </c>
      <c r="D4" s="3624"/>
      <c r="E4" s="3625" t="s">
        <v>1000</v>
      </c>
      <c r="F4" s="3626"/>
      <c r="G4" s="3623" t="s">
        <v>1001</v>
      </c>
      <c r="H4" s="3624"/>
      <c r="I4" s="3623" t="s">
        <v>1002</v>
      </c>
      <c r="J4" s="3624"/>
      <c r="K4" s="1235" t="s">
        <v>1003</v>
      </c>
      <c r="L4" s="1589"/>
      <c r="M4" s="1590"/>
      <c r="N4" s="1590"/>
      <c r="O4" s="1590"/>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ht="15">
      <c r="A5" s="1090"/>
      <c r="B5" s="1091"/>
      <c r="C5" s="3627" t="s">
        <v>1005</v>
      </c>
      <c r="D5" s="3628"/>
      <c r="E5" s="3629" t="s">
        <v>1006</v>
      </c>
      <c r="F5" s="3630"/>
      <c r="G5" s="3627" t="s">
        <v>1007</v>
      </c>
      <c r="H5" s="3628"/>
      <c r="I5" s="3627" t="s">
        <v>1008</v>
      </c>
      <c r="J5" s="3628"/>
      <c r="K5" s="1235"/>
      <c r="L5" s="1589"/>
      <c r="M5" s="1590"/>
      <c r="N5" s="1590"/>
      <c r="O5" s="1590"/>
      <c r="P5" s="3709"/>
      <c r="Q5" s="3663"/>
      <c r="R5" s="3668"/>
      <c r="S5" s="3669"/>
      <c r="T5" s="3668"/>
      <c r="U5" s="3669"/>
      <c r="V5" s="3673"/>
      <c r="W5" s="3673"/>
      <c r="X5" s="1279"/>
      <c r="Y5" s="3668"/>
      <c r="Z5" s="3669"/>
      <c r="AA5" s="3655"/>
      <c r="AB5" s="3655"/>
      <c r="AC5" s="3655"/>
    </row>
    <row r="6" spans="1:29" ht="15">
      <c r="A6" s="1092"/>
      <c r="B6" s="1093"/>
      <c r="C6" s="3631" t="s">
        <v>1009</v>
      </c>
      <c r="D6" s="3632"/>
      <c r="E6" s="3633" t="s">
        <v>1009</v>
      </c>
      <c r="F6" s="3634"/>
      <c r="G6" s="3631" t="s">
        <v>1009</v>
      </c>
      <c r="H6" s="3632"/>
      <c r="I6" s="3631" t="s">
        <v>1009</v>
      </c>
      <c r="J6" s="3632"/>
      <c r="K6" s="1235" t="s">
        <v>1010</v>
      </c>
      <c r="L6" s="1589"/>
      <c r="M6" s="1590"/>
      <c r="N6" s="1590"/>
      <c r="O6" s="1590"/>
      <c r="P6" s="3710"/>
      <c r="Q6" s="3665"/>
      <c r="R6" s="3668"/>
      <c r="S6" s="3669"/>
      <c r="T6" s="3670"/>
      <c r="U6" s="3671"/>
      <c r="V6" s="3673"/>
      <c r="W6" s="3673"/>
      <c r="X6" s="1279"/>
      <c r="Y6" s="3670"/>
      <c r="Z6" s="3671"/>
      <c r="AA6" s="3656"/>
      <c r="AB6" s="3656"/>
      <c r="AC6" s="3656"/>
    </row>
    <row r="7" spans="1:29" s="1069" customFormat="1" ht="15">
      <c r="A7" s="1094" t="s">
        <v>1011</v>
      </c>
      <c r="B7" s="1095"/>
      <c r="C7" s="1096">
        <f>'数据-取费表'!B2</f>
        <v>45078</v>
      </c>
      <c r="D7" s="1097">
        <v>100</v>
      </c>
      <c r="E7" s="1098"/>
      <c r="F7" s="1099">
        <f>SUMIF(52:52,YEAR(E7)&amp;"-"&amp;MONTH(E7),53:53)</f>
        <v>0</v>
      </c>
      <c r="G7" s="1098"/>
      <c r="H7" s="1097">
        <f>SUMIF(52:52,YEAR(G7)&amp;"-"&amp;MONTH(G7),53:53)</f>
        <v>0</v>
      </c>
      <c r="I7" s="1098"/>
      <c r="J7" s="1097">
        <f>SUMIF(52:52,YEAR(I7)&amp;"-"&amp;MONTH(I7),53:53)</f>
        <v>0</v>
      </c>
      <c r="K7" s="1238"/>
      <c r="L7" s="1591"/>
      <c r="M7" s="1592"/>
      <c r="N7" s="1592"/>
      <c r="O7" s="1592"/>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5">
      <c r="A8" s="1094" t="s">
        <v>1014</v>
      </c>
      <c r="B8" s="1095"/>
      <c r="C8" s="1101"/>
      <c r="D8" s="1097">
        <v>100</v>
      </c>
      <c r="E8" s="1101"/>
      <c r="F8" s="1099">
        <f>SUMIF(55:55,E8,56:56)-SUMIF(55:55,C8,56:56)+100</f>
        <v>100</v>
      </c>
      <c r="G8" s="1101"/>
      <c r="H8" s="1097">
        <f>SUMIF(55:55,G8,56:56)-SUMIF(55:55,C8,56:56)+100</f>
        <v>100</v>
      </c>
      <c r="I8" s="1101"/>
      <c r="J8" s="1097">
        <f>SUMIF(55:55,I8,56:56)-SUMIF(55:55,C8,56:56)+100</f>
        <v>100</v>
      </c>
      <c r="K8" s="1238"/>
      <c r="L8" s="1591"/>
      <c r="M8" s="1592"/>
      <c r="N8" s="1592"/>
      <c r="O8" s="1592"/>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40" si="3">D8/F8</f>
        <v>1</v>
      </c>
      <c r="AB8" s="1294">
        <f t="shared" ref="AB8:AB40" si="4">D8/H8</f>
        <v>1</v>
      </c>
      <c r="AC8" s="1294">
        <f t="shared" ref="AC8:AC40" si="5">D8/J8</f>
        <v>1</v>
      </c>
    </row>
    <row r="9" spans="1:29" s="1069" customFormat="1">
      <c r="A9" s="1102" t="s">
        <v>1016</v>
      </c>
      <c r="B9" s="1103" t="s">
        <v>1017</v>
      </c>
      <c r="C9" s="1462"/>
      <c r="D9" s="1105">
        <v>100</v>
      </c>
      <c r="E9" s="1463"/>
      <c r="F9" s="1105">
        <f>SUMIF(57:57,E9,58:58)-SUMIF(57:57,C9,58:58)+100</f>
        <v>100</v>
      </c>
      <c r="G9" s="1531"/>
      <c r="H9" s="1105">
        <f>SUMIF(57:57,G9,58:58)-SUMIF(57:57,C9,58:58)+100</f>
        <v>100</v>
      </c>
      <c r="I9" s="1531"/>
      <c r="J9" s="1105">
        <f>SUMIF(57:57,I9,58:58)-SUMIF(57:57,C9,58:58)+100</f>
        <v>100</v>
      </c>
      <c r="K9" s="1238"/>
      <c r="L9" s="1591"/>
      <c r="M9" s="1592"/>
      <c r="N9" s="1592"/>
      <c r="O9" s="1593"/>
      <c r="P9" s="3640"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465"/>
      <c r="F10" s="1109">
        <f>SUMIF(59:59,E10,60:60)-SUMIF(59:59,C10,60:60)+100</f>
        <v>100</v>
      </c>
      <c r="G10" s="1534"/>
      <c r="H10" s="1109">
        <f>SUMIF(59:59,G10,60:60)-SUMIF(59:59,C10,60:60)+100</f>
        <v>100</v>
      </c>
      <c r="I10" s="1465"/>
      <c r="J10" s="1109">
        <f>SUMIF(59:59,I10,60:60)-SUMIF(59:59,C10,60:60)+100</f>
        <v>100</v>
      </c>
      <c r="K10" s="1238"/>
      <c r="L10" s="1594"/>
      <c r="M10" s="1595"/>
      <c r="N10" s="1595"/>
      <c r="O10" s="1596"/>
      <c r="P10" s="3640"/>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1021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7"/>
      <c r="M11" s="1590"/>
      <c r="N11" s="1590"/>
      <c r="O11" s="1598"/>
      <c r="P11" s="3640"/>
      <c r="Q11" s="1284" t="str">
        <f t="shared" si="6"/>
        <v>容积率</v>
      </c>
      <c r="R11" s="1280" t="s">
        <v>1013</v>
      </c>
      <c r="S11" s="1281">
        <f t="shared" si="0"/>
        <v>100</v>
      </c>
      <c r="T11" s="1280" t="s">
        <v>1013</v>
      </c>
      <c r="U11" s="1281">
        <f t="shared" si="1"/>
        <v>100</v>
      </c>
      <c r="V11" s="1280" t="s">
        <v>1013</v>
      </c>
      <c r="W11" s="1281">
        <f t="shared" si="2"/>
        <v>100</v>
      </c>
      <c r="X11" s="1282"/>
      <c r="Y11" s="361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4"/>
      <c r="H12" s="1109">
        <f>SUMIF(64:64,G12,65:65)-SUMIF(64:64,C12,65:65)+100</f>
        <v>100</v>
      </c>
      <c r="I12" s="1467"/>
      <c r="J12" s="1109">
        <f>SUMIF(64:64,I12,65:65)-SUMIF(64:64,C12,65:65)+100</f>
        <v>100</v>
      </c>
      <c r="K12" s="1254"/>
      <c r="L12" s="1591"/>
      <c r="M12" s="1592"/>
      <c r="N12" s="1592"/>
      <c r="O12" s="1593"/>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4"/>
      <c r="H13" s="1119">
        <f>SUMIF(66:66,G13,67:67)-SUMIF(66:66,C13,67:67)+100</f>
        <v>100</v>
      </c>
      <c r="I13" s="1467"/>
      <c r="J13" s="1119">
        <f>SUMIF(66:66,I13,67:67)-SUMIF(66:66,C13,67:67)+100</f>
        <v>100</v>
      </c>
      <c r="K13" s="1254"/>
      <c r="L13" s="1599"/>
      <c r="M13" s="1590"/>
      <c r="N13" s="1590"/>
      <c r="O13" s="159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4"/>
      <c r="H14" s="1123">
        <f>SUMIF(68:68,G14,69:69)-SUMIF(68:68,C14,69:69)+100</f>
        <v>100</v>
      </c>
      <c r="I14" s="1467"/>
      <c r="J14" s="1123">
        <f>SUMIF(68:68,I14,69:69)-SUMIF(68:68,C14,69:69)+100</f>
        <v>100</v>
      </c>
      <c r="K14" s="1254"/>
      <c r="L14" s="1599"/>
      <c r="M14" s="1590"/>
      <c r="N14" s="1590"/>
      <c r="O14" s="1598"/>
      <c r="P14" s="3640"/>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57">
      <c r="A15" s="1124" t="s">
        <v>1022</v>
      </c>
      <c r="B15" s="1417" t="s">
        <v>1586</v>
      </c>
      <c r="C15" s="1126" t="str">
        <f>估价对象房地状况!G3</f>
        <v>估价对象位于XX开发区，园区建设成熟度XX，产业集聚程度XX</v>
      </c>
      <c r="D15" s="1127">
        <v>100</v>
      </c>
      <c r="E15" s="1128"/>
      <c r="F15" s="1469">
        <f>SUMIF(70:70,E16,71:71)-SUMIF(70:70,C16,71:71)+100</f>
        <v>100</v>
      </c>
      <c r="G15" s="1250"/>
      <c r="H15" s="1127">
        <f>SUMIF(70:70,G16,71:71)-SUMIF(70:70,C16,71:71)+100</f>
        <v>100</v>
      </c>
      <c r="I15" s="1128"/>
      <c r="J15" s="1127">
        <f>SUMIF(70:70,I16,71:71)-SUMIF(70:70,C16,71:71)+100</f>
        <v>100</v>
      </c>
      <c r="K15" s="1508"/>
      <c r="L15" s="1599"/>
      <c r="M15" s="1590"/>
      <c r="N15" s="1590"/>
      <c r="O15" s="1598"/>
      <c r="P15" s="3647" t="s">
        <v>1024</v>
      </c>
      <c r="Q15" s="664" t="str">
        <f t="shared" si="6"/>
        <v>产业集聚程度</v>
      </c>
      <c r="R15" s="1285" t="s">
        <v>1013</v>
      </c>
      <c r="S15" s="1286">
        <f t="shared" si="0"/>
        <v>100</v>
      </c>
      <c r="T15" s="1285" t="s">
        <v>1013</v>
      </c>
      <c r="U15" s="1286">
        <f t="shared" si="1"/>
        <v>100</v>
      </c>
      <c r="V15" s="1285" t="s">
        <v>1013</v>
      </c>
      <c r="W15" s="1286">
        <f t="shared" si="2"/>
        <v>100</v>
      </c>
      <c r="X15" s="1279"/>
      <c r="Y15" s="3647" t="s">
        <v>1024</v>
      </c>
      <c r="Z15" s="1269" t="str">
        <f t="shared" si="7"/>
        <v>产业集聚程度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599"/>
      <c r="M16" s="1590"/>
      <c r="N16" s="1590"/>
      <c r="O16" s="1598"/>
      <c r="P16" s="3648"/>
      <c r="Q16" s="664"/>
      <c r="R16" s="1285"/>
      <c r="S16" s="1286"/>
      <c r="T16" s="1285"/>
      <c r="U16" s="1286"/>
      <c r="V16" s="1285"/>
      <c r="W16" s="1286"/>
      <c r="X16" s="1279"/>
      <c r="Y16" s="3648"/>
      <c r="Z16" s="1269"/>
      <c r="AA16" s="1296">
        <v>1</v>
      </c>
      <c r="AB16" s="1296">
        <v>1</v>
      </c>
      <c r="AC16" s="1296">
        <v>1</v>
      </c>
    </row>
    <row r="17" spans="1:29" ht="85.5">
      <c r="A17" s="1110"/>
      <c r="B17" s="1420" t="s">
        <v>1025</v>
      </c>
      <c r="C17" s="1135" t="str">
        <f>估价对象房地状况!G4</f>
        <v>估价对象周边道路状况、公共交通通达情况、停车便捷程度，综合评价交通便捷度较好</v>
      </c>
      <c r="D17" s="1133">
        <v>100</v>
      </c>
      <c r="E17" s="1136"/>
      <c r="F17" s="1472">
        <f>SUMIF(72:72,E18,73:73)-SUMIF(72:72,C18,73:73)+100</f>
        <v>100</v>
      </c>
      <c r="G17" s="1251"/>
      <c r="H17" s="1137">
        <f>SUMIF(72:72,G18,73:73)-SUMIF(72:72,C18,73:73)+100</f>
        <v>100</v>
      </c>
      <c r="I17" s="1136"/>
      <c r="J17" s="1137">
        <f>SUMIF(72:72,I18,73:73)-SUMIF(72:72,C18,73:73)+100</f>
        <v>100</v>
      </c>
      <c r="K17" s="1508"/>
      <c r="L17" s="1599"/>
      <c r="M17" s="1590"/>
      <c r="N17" s="1590"/>
      <c r="O17" s="1598"/>
      <c r="P17" s="3648"/>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599"/>
      <c r="M18" s="1590"/>
      <c r="N18" s="1590"/>
      <c r="O18" s="1598"/>
      <c r="P18" s="3648"/>
      <c r="Q18" s="664"/>
      <c r="R18" s="1285"/>
      <c r="S18" s="1286"/>
      <c r="T18" s="1285"/>
      <c r="U18" s="1286"/>
      <c r="V18" s="1285"/>
      <c r="W18" s="1286"/>
      <c r="X18" s="1279"/>
      <c r="Y18" s="3648"/>
      <c r="Z18" s="1269"/>
      <c r="AA18" s="1296">
        <v>1</v>
      </c>
      <c r="AB18" s="1296">
        <v>1</v>
      </c>
      <c r="AC18" s="1296">
        <v>1</v>
      </c>
    </row>
    <row r="19" spans="1:29" ht="42.75">
      <c r="A19" s="1110"/>
      <c r="B19" s="1420" t="s">
        <v>1026</v>
      </c>
      <c r="C19" s="1135" t="str">
        <f>估价对象房地状况!G5</f>
        <v>估价对象所在区域公共配套设施齐备情况</v>
      </c>
      <c r="D19" s="1137">
        <v>100</v>
      </c>
      <c r="E19" s="1423"/>
      <c r="F19" s="1471">
        <f>SUMIF(74:74,E20,75:75)-SUMIF(74:74,C20,75:75)+100</f>
        <v>100</v>
      </c>
      <c r="G19" s="1431"/>
      <c r="H19" s="1133">
        <f>SUMIF(74:74,G20,75:75)-SUMIF(74:74,C20,75:75)+100</f>
        <v>100</v>
      </c>
      <c r="I19" s="1423"/>
      <c r="J19" s="1133">
        <f>SUMIF(74:74,I20,75:75)-SUMIF(74:74,C20,75:75)+100</f>
        <v>100</v>
      </c>
      <c r="K19" s="1508"/>
      <c r="L19" s="1599"/>
      <c r="M19" s="1590"/>
      <c r="N19" s="1590"/>
      <c r="O19" s="1598"/>
      <c r="P19" s="3648"/>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599"/>
      <c r="M20" s="1590"/>
      <c r="N20" s="1590"/>
      <c r="O20" s="1598"/>
      <c r="P20" s="3648"/>
      <c r="Q20" s="664"/>
      <c r="R20" s="1285"/>
      <c r="S20" s="1286"/>
      <c r="T20" s="1285"/>
      <c r="U20" s="1286"/>
      <c r="V20" s="1285"/>
      <c r="W20" s="1286"/>
      <c r="X20" s="1279"/>
      <c r="Y20" s="3648"/>
      <c r="Z20" s="1269"/>
      <c r="AA20" s="1296">
        <v>1</v>
      </c>
      <c r="AB20" s="1296">
        <v>1</v>
      </c>
      <c r="AC20" s="1296">
        <v>1</v>
      </c>
    </row>
    <row r="21" spans="1:29" ht="28.5">
      <c r="A21" s="1110"/>
      <c r="B21" s="1424" t="s">
        <v>1027</v>
      </c>
      <c r="C21" s="1135" t="str">
        <f>估价对象房地状况!G6</f>
        <v>估价对象所在区域基础设施水平</v>
      </c>
      <c r="D21" s="1133">
        <v>100</v>
      </c>
      <c r="E21" s="1423"/>
      <c r="F21" s="1471">
        <f>SUMIF(76:76,E22,77:77)-SUMIF(76:76,C22,77:77)+100</f>
        <v>100</v>
      </c>
      <c r="G21" s="1431"/>
      <c r="H21" s="1133">
        <f>SUMIF(76:76,G22,77:77)-SUMIF(76:76,C22,77:77)+100</f>
        <v>100</v>
      </c>
      <c r="I21" s="1423"/>
      <c r="J21" s="1133">
        <f>SUMIF(76:76,I22,77:77)-SUMIF(76:76,C22,77:77)+100</f>
        <v>100</v>
      </c>
      <c r="K21" s="1508"/>
      <c r="L21" s="1599"/>
      <c r="M21" s="1590"/>
      <c r="N21" s="1590"/>
      <c r="O21" s="1598"/>
      <c r="P21" s="3648"/>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599"/>
      <c r="M22" s="1590"/>
      <c r="N22" s="1590"/>
      <c r="O22" s="1598"/>
      <c r="P22" s="3648"/>
      <c r="Q22" s="664"/>
      <c r="R22" s="1285"/>
      <c r="S22" s="1286"/>
      <c r="T22" s="1285"/>
      <c r="U22" s="1286"/>
      <c r="V22" s="1285"/>
      <c r="W22" s="1286"/>
      <c r="X22" s="1279"/>
      <c r="Y22" s="3648"/>
      <c r="Z22" s="1269"/>
      <c r="AA22" s="1296">
        <v>1</v>
      </c>
      <c r="AB22" s="1296">
        <v>1</v>
      </c>
      <c r="AC22" s="1296">
        <v>1</v>
      </c>
    </row>
    <row r="23" spans="1:29" ht="71.25">
      <c r="A23" s="1110"/>
      <c r="B23" s="1420" t="s">
        <v>1028</v>
      </c>
      <c r="C23" s="1135" t="str">
        <f>估价对象房地状况!G7</f>
        <v>该园区内是否有污染型企业，绿化情况，卫生条件，整体环境状况判断</v>
      </c>
      <c r="D23" s="1133">
        <v>100</v>
      </c>
      <c r="E23" s="1136"/>
      <c r="F23" s="1472">
        <f>SUMIF(78:78,E24,79:79)-SUMIF(78:78,C24,79:79)+100</f>
        <v>100</v>
      </c>
      <c r="G23" s="1251"/>
      <c r="H23" s="1133">
        <f>SUMIF(78:78,G24,79:79)-SUMIF(78:78,C24,79:79)+100</f>
        <v>100</v>
      </c>
      <c r="I23" s="1136"/>
      <c r="J23" s="1133">
        <f>SUMIF(78:78,I24,79:79)-SUMIF(78:78,C24,79:79)+100</f>
        <v>100</v>
      </c>
      <c r="K23" s="1508"/>
      <c r="L23" s="1599"/>
      <c r="M23" s="1590"/>
      <c r="N23" s="1590"/>
      <c r="O23" s="1598"/>
      <c r="P23" s="3648"/>
      <c r="Q23" s="664" t="str">
        <f>B23</f>
        <v>环境质量</v>
      </c>
      <c r="R23" s="1285" t="s">
        <v>1013</v>
      </c>
      <c r="S23" s="1286">
        <f>F23</f>
        <v>100</v>
      </c>
      <c r="T23" s="1285" t="s">
        <v>1013</v>
      </c>
      <c r="U23" s="1286">
        <f>H23</f>
        <v>100</v>
      </c>
      <c r="V23" s="1285" t="s">
        <v>1013</v>
      </c>
      <c r="W23" s="1286">
        <f>J23</f>
        <v>100</v>
      </c>
      <c r="X23" s="1279"/>
      <c r="Y23" s="3648"/>
      <c r="Z23" s="1269" t="str">
        <f>Q23</f>
        <v>环境质量</v>
      </c>
      <c r="AA23" s="1296">
        <f t="shared" si="3"/>
        <v>1</v>
      </c>
      <c r="AB23" s="1296">
        <f t="shared" si="4"/>
        <v>1</v>
      </c>
      <c r="AC23" s="1296">
        <f t="shared" si="5"/>
        <v>1</v>
      </c>
    </row>
    <row r="24" spans="1:29" ht="15">
      <c r="A24" s="1110"/>
      <c r="B24" s="1424"/>
      <c r="C24" s="1130"/>
      <c r="D24" s="1131"/>
      <c r="E24" s="1139"/>
      <c r="F24" s="1470"/>
      <c r="G24" s="1252"/>
      <c r="H24" s="1131"/>
      <c r="I24" s="1139"/>
      <c r="J24" s="1131"/>
      <c r="K24" s="1509"/>
      <c r="L24" s="1599"/>
      <c r="M24" s="1590"/>
      <c r="N24" s="1590"/>
      <c r="O24" s="1598"/>
      <c r="P24" s="3648"/>
      <c r="Q24" s="664"/>
      <c r="R24" s="1285"/>
      <c r="S24" s="1286"/>
      <c r="T24" s="1285"/>
      <c r="U24" s="1286"/>
      <c r="V24" s="1285"/>
      <c r="W24" s="1286"/>
      <c r="X24" s="1279"/>
      <c r="Y24" s="3648"/>
      <c r="Z24" s="1269"/>
      <c r="AA24" s="1296">
        <v>1</v>
      </c>
      <c r="AB24" s="1296">
        <v>1</v>
      </c>
      <c r="AC24" s="1296">
        <v>1</v>
      </c>
    </row>
    <row r="25" spans="1:29" ht="15">
      <c r="A25" s="1090"/>
      <c r="B25" s="1425">
        <v>111</v>
      </c>
      <c r="C25" s="1118">
        <v>111</v>
      </c>
      <c r="D25" s="1119">
        <v>100</v>
      </c>
      <c r="E25" s="1118"/>
      <c r="F25" s="1473">
        <f>SUMIF(80:80,E25,81:81)-SUMIF(80:80,C25,81:81)+100</f>
        <v>100</v>
      </c>
      <c r="G25" s="1118"/>
      <c r="H25" s="1119">
        <f>SUMIF(80:80,G25,81:81)-SUMIF(80:80,C25,81:81)+100</f>
        <v>100</v>
      </c>
      <c r="I25" s="1118"/>
      <c r="J25" s="1119">
        <f>SUMIF(80:80,I25,81:81)-SUMIF(80:80,C25,81:81)+100</f>
        <v>100</v>
      </c>
      <c r="K25" s="1254"/>
      <c r="L25" s="1599"/>
      <c r="M25" s="1590"/>
      <c r="N25" s="1590"/>
      <c r="O25" s="1598"/>
      <c r="P25" s="3648"/>
      <c r="Q25" s="664">
        <f>B25</f>
        <v>111</v>
      </c>
      <c r="R25" s="1285" t="s">
        <v>1013</v>
      </c>
      <c r="S25" s="1286">
        <f>F25</f>
        <v>100</v>
      </c>
      <c r="T25" s="1285" t="s">
        <v>1013</v>
      </c>
      <c r="U25" s="1286">
        <f>H25</f>
        <v>100</v>
      </c>
      <c r="V25" s="1285" t="s">
        <v>1013</v>
      </c>
      <c r="W25" s="1286">
        <f>J25</f>
        <v>100</v>
      </c>
      <c r="X25" s="1279"/>
      <c r="Y25" s="3648"/>
      <c r="Z25" s="1269">
        <f>Q25</f>
        <v>111</v>
      </c>
      <c r="AA25" s="1296">
        <f t="shared" si="3"/>
        <v>1</v>
      </c>
      <c r="AB25" s="1296">
        <f t="shared" si="4"/>
        <v>1</v>
      </c>
      <c r="AC25" s="1296">
        <f t="shared" si="5"/>
        <v>1</v>
      </c>
    </row>
    <row r="26" spans="1:29" ht="15">
      <c r="A26" s="1110"/>
      <c r="B26" s="1425">
        <v>111</v>
      </c>
      <c r="C26" s="1118">
        <v>111</v>
      </c>
      <c r="D26" s="1119">
        <v>100</v>
      </c>
      <c r="E26" s="1118"/>
      <c r="F26" s="1473">
        <f>SUMIF(82:82,E26,83:83)-SUMIF(82:82,C26,83:83)+100</f>
        <v>100</v>
      </c>
      <c r="G26" s="1118"/>
      <c r="H26" s="1119">
        <f>SUMIF(82:82,G26,83:83)-SUMIF(82:82,C26,83:83)+100</f>
        <v>100</v>
      </c>
      <c r="I26" s="1118"/>
      <c r="J26" s="1119">
        <f>SUMIF(82:82,I26,83:83)-SUMIF(82:82,C26,83:83)+100</f>
        <v>100</v>
      </c>
      <c r="K26" s="1254"/>
      <c r="L26" s="1599"/>
      <c r="M26" s="1590"/>
      <c r="N26" s="1590"/>
      <c r="O26" s="1598"/>
      <c r="P26" s="3648"/>
      <c r="Q26" s="664">
        <f t="shared" ref="Q26:Q40" si="11">B26</f>
        <v>111</v>
      </c>
      <c r="R26" s="1285" t="s">
        <v>1013</v>
      </c>
      <c r="S26" s="1286">
        <f>F26</f>
        <v>100</v>
      </c>
      <c r="T26" s="1285" t="s">
        <v>1013</v>
      </c>
      <c r="U26" s="1286">
        <f>H26</f>
        <v>100</v>
      </c>
      <c r="V26" s="1285" t="s">
        <v>1013</v>
      </c>
      <c r="W26" s="1286">
        <f>J26</f>
        <v>100</v>
      </c>
      <c r="X26" s="1279"/>
      <c r="Y26" s="3648"/>
      <c r="Z26" s="1269">
        <f>Q26</f>
        <v>111</v>
      </c>
      <c r="AA26" s="1296">
        <f t="shared" si="3"/>
        <v>1</v>
      </c>
      <c r="AB26" s="1296">
        <f t="shared" si="4"/>
        <v>1</v>
      </c>
      <c r="AC26" s="1296">
        <f t="shared" si="5"/>
        <v>1</v>
      </c>
    </row>
    <row r="27" spans="1:29" s="1069" customFormat="1" ht="15">
      <c r="A27" s="1113"/>
      <c r="B27" s="1425">
        <v>111</v>
      </c>
      <c r="C27" s="1118">
        <v>111</v>
      </c>
      <c r="D27" s="1585">
        <v>100</v>
      </c>
      <c r="E27" s="1118"/>
      <c r="F27" s="1586">
        <f>SUMIF(84:84,E27,85:85)-SUMIF(84:84,C27,85:85)+100</f>
        <v>100</v>
      </c>
      <c r="G27" s="1118"/>
      <c r="H27" s="1585">
        <f>SUMIF(84:84,G27,85:85)-SUMIF(84:84,C27,85:85)+100</f>
        <v>100</v>
      </c>
      <c r="I27" s="1118"/>
      <c r="J27" s="1585">
        <f>SUMIF(84:84,I27,85:85)-SUMIF(84:84,C27,85:85)+100</f>
        <v>100</v>
      </c>
      <c r="K27" s="1254"/>
      <c r="L27" s="1591"/>
      <c r="M27" s="1592"/>
      <c r="N27" s="1592"/>
      <c r="O27" s="1593"/>
      <c r="P27" s="3648"/>
      <c r="Q27" s="1284">
        <f t="shared" si="11"/>
        <v>111</v>
      </c>
      <c r="R27" s="1280" t="s">
        <v>1013</v>
      </c>
      <c r="S27" s="1281">
        <f>F27</f>
        <v>100</v>
      </c>
      <c r="T27" s="1280" t="s">
        <v>1013</v>
      </c>
      <c r="U27" s="1281">
        <f>H27</f>
        <v>100</v>
      </c>
      <c r="V27" s="1280" t="s">
        <v>1013</v>
      </c>
      <c r="W27" s="1281">
        <f>J27</f>
        <v>100</v>
      </c>
      <c r="X27" s="1282"/>
      <c r="Y27" s="3648"/>
      <c r="Z27" s="1295">
        <f>Q27</f>
        <v>111</v>
      </c>
      <c r="AA27" s="1296">
        <f t="shared" si="3"/>
        <v>1</v>
      </c>
      <c r="AB27" s="1296">
        <f t="shared" si="4"/>
        <v>1</v>
      </c>
      <c r="AC27" s="1296">
        <f t="shared" si="5"/>
        <v>1</v>
      </c>
    </row>
    <row r="28" spans="1:29" ht="15">
      <c r="A28" s="1120"/>
      <c r="B28" s="1425">
        <v>111</v>
      </c>
      <c r="C28" s="1122">
        <v>111</v>
      </c>
      <c r="D28" s="1123">
        <v>100</v>
      </c>
      <c r="E28" s="1118"/>
      <c r="F28" s="1486">
        <f>SUMIF(86:86,E28,87:87)-SUMIF(86:86,C28,87:87)+100</f>
        <v>100</v>
      </c>
      <c r="G28" s="1467"/>
      <c r="H28" s="1123">
        <f>SUMIF(86:86,G28,87:87)-SUMIF(86:86,C28,87:87)+100</f>
        <v>100</v>
      </c>
      <c r="I28" s="1467"/>
      <c r="J28" s="1123">
        <f>SUMIF(86:86,I28,87:87)-SUMIF(86:86,C28,87:87)+100</f>
        <v>100</v>
      </c>
      <c r="K28" s="1254"/>
      <c r="L28" s="1599"/>
      <c r="M28" s="1590"/>
      <c r="N28" s="1590"/>
      <c r="O28" s="1598"/>
      <c r="P28" s="3648"/>
      <c r="Q28" s="664">
        <f t="shared" si="11"/>
        <v>111</v>
      </c>
      <c r="R28" s="1285" t="s">
        <v>1013</v>
      </c>
      <c r="S28" s="1286">
        <f t="shared" ref="S28:S40" si="12">F28</f>
        <v>100</v>
      </c>
      <c r="T28" s="1285" t="s">
        <v>1013</v>
      </c>
      <c r="U28" s="1286">
        <f t="shared" ref="U28:U40" si="13">H28</f>
        <v>100</v>
      </c>
      <c r="V28" s="1285" t="s">
        <v>1013</v>
      </c>
      <c r="W28" s="1286">
        <f t="shared" ref="W28:W40" si="14">J28</f>
        <v>100</v>
      </c>
      <c r="X28" s="1279"/>
      <c r="Y28" s="3648"/>
      <c r="Z28" s="1269">
        <f t="shared" ref="Z28:Z40" si="15">Q28</f>
        <v>111</v>
      </c>
      <c r="AA28" s="1296">
        <f t="shared" si="3"/>
        <v>1</v>
      </c>
      <c r="AB28" s="1296">
        <f t="shared" si="4"/>
        <v>1</v>
      </c>
      <c r="AC28" s="1296">
        <f t="shared" si="5"/>
        <v>1</v>
      </c>
    </row>
    <row r="29" spans="1:29" ht="28.5">
      <c r="A29" s="1477" t="s">
        <v>1032</v>
      </c>
      <c r="B29" s="1103" t="s">
        <v>1033</v>
      </c>
      <c r="C29" s="1478"/>
      <c r="D29" s="1160">
        <v>100</v>
      </c>
      <c r="E29" s="1478"/>
      <c r="F29" s="1473">
        <f>SUMIF(88:88,E29,89:89)-SUMIF(88:88,C29,89:89)+100</f>
        <v>100</v>
      </c>
      <c r="G29" s="1478"/>
      <c r="H29" s="1119">
        <f>SUMIF(88:88,G29,89:89)-SUMIF(88:88,C29,89:89)+100</f>
        <v>100</v>
      </c>
      <c r="I29" s="1478"/>
      <c r="J29" s="1160">
        <f>SUMIF(88:88,I29,89:89)-SUMIF(88:88,C29,89:89)+100</f>
        <v>100</v>
      </c>
      <c r="K29" s="1255"/>
      <c r="L29" s="1599"/>
      <c r="M29" s="1590"/>
      <c r="N29" s="1590"/>
      <c r="O29" s="1598"/>
      <c r="P29" s="3713" t="s">
        <v>1034</v>
      </c>
      <c r="Q29" s="664" t="str">
        <f t="shared" si="11"/>
        <v>建筑类型</v>
      </c>
      <c r="R29" s="1285" t="s">
        <v>1013</v>
      </c>
      <c r="S29" s="1286">
        <f t="shared" si="12"/>
        <v>100</v>
      </c>
      <c r="T29" s="1285" t="s">
        <v>1013</v>
      </c>
      <c r="U29" s="1286">
        <f t="shared" si="13"/>
        <v>100</v>
      </c>
      <c r="V29" s="1285" t="s">
        <v>1013</v>
      </c>
      <c r="W29" s="1286">
        <f t="shared" si="14"/>
        <v>100</v>
      </c>
      <c r="X29" s="1279"/>
      <c r="Y29" s="3649" t="s">
        <v>1034</v>
      </c>
      <c r="Z29" s="1269" t="str">
        <f t="shared" si="15"/>
        <v>建筑类型</v>
      </c>
      <c r="AA29" s="1296">
        <f t="shared" si="3"/>
        <v>1</v>
      </c>
      <c r="AB29" s="1296">
        <f t="shared" si="4"/>
        <v>1</v>
      </c>
      <c r="AC29" s="1296">
        <f t="shared" si="5"/>
        <v>1</v>
      </c>
    </row>
    <row r="30" spans="1:29" s="1071" customFormat="1" ht="15">
      <c r="A30" s="1166"/>
      <c r="B30" s="1107" t="s">
        <v>1035</v>
      </c>
      <c r="C30" s="1467"/>
      <c r="D30" s="1109">
        <v>100</v>
      </c>
      <c r="E30" s="1112"/>
      <c r="F30" s="1466" t="e">
        <f>LOOKUP(E30,91:91,92:92)-LOOKUP(C30,91:91,92:92)+100</f>
        <v>#N/A</v>
      </c>
      <c r="G30" s="1111"/>
      <c r="H30" s="1109" t="e">
        <f>LOOKUP(G30,91:91,92:92)-LOOKUP(C30,91:91,92:92)+100</f>
        <v>#N/A</v>
      </c>
      <c r="I30" s="1111"/>
      <c r="J30" s="1109" t="e">
        <f>LOOKUP(I30,91:91,92:92)-LOOKUP(C30,91:91,92:92)+100</f>
        <v>#N/A</v>
      </c>
      <c r="K30" s="1254"/>
      <c r="L30" s="1597"/>
      <c r="M30" s="1600"/>
      <c r="N30" s="1600"/>
      <c r="O30" s="1601"/>
      <c r="P30" s="3649"/>
      <c r="Q30" s="1512" t="str">
        <f t="shared" si="11"/>
        <v>项目建筑规模</v>
      </c>
      <c r="R30" s="1287" t="s">
        <v>1013</v>
      </c>
      <c r="S30" s="1288" t="e">
        <f t="shared" si="12"/>
        <v>#N/A</v>
      </c>
      <c r="T30" s="1287" t="s">
        <v>1013</v>
      </c>
      <c r="U30" s="1288" t="e">
        <f t="shared" si="13"/>
        <v>#N/A</v>
      </c>
      <c r="V30" s="1287" t="s">
        <v>1013</v>
      </c>
      <c r="W30" s="1288" t="e">
        <f t="shared" si="14"/>
        <v>#N/A</v>
      </c>
      <c r="X30" s="1289"/>
      <c r="Y30" s="3649"/>
      <c r="Z30" s="1297" t="str">
        <f t="shared" si="15"/>
        <v>项目建筑规模</v>
      </c>
      <c r="AA30" s="1296" t="e">
        <f t="shared" si="3"/>
        <v>#N/A</v>
      </c>
      <c r="AB30" s="1296" t="e">
        <f t="shared" si="4"/>
        <v>#N/A</v>
      </c>
      <c r="AC30" s="1296" t="e">
        <f t="shared" si="5"/>
        <v>#N/A</v>
      </c>
    </row>
    <row r="31" spans="1:29" ht="15">
      <c r="A31" s="1161"/>
      <c r="B31" s="1107" t="s">
        <v>1036</v>
      </c>
      <c r="C31" s="1483"/>
      <c r="D31" s="1119">
        <v>100</v>
      </c>
      <c r="E31" s="1483"/>
      <c r="F31" s="1473">
        <f>SUMIF(93:93,E31,94:94)-SUMIF(93:93,C31,94:94)+100</f>
        <v>100</v>
      </c>
      <c r="G31" s="1483"/>
      <c r="H31" s="1119">
        <f>SUMIF(93:93,G31,94:94)-SUMIF(93:93,C31,94:94)+100</f>
        <v>100</v>
      </c>
      <c r="I31" s="1483"/>
      <c r="J31" s="1119">
        <f>SUMIF(93:93,I31,94:94)-SUMIF(93:93,C31,94:94)+100</f>
        <v>100</v>
      </c>
      <c r="K31" s="1255"/>
      <c r="L31" s="1599"/>
      <c r="M31" s="1590"/>
      <c r="N31" s="1590"/>
      <c r="O31" s="1598"/>
      <c r="P31" s="3649"/>
      <c r="Q31" s="664" t="str">
        <f t="shared" si="11"/>
        <v>建筑结构</v>
      </c>
      <c r="R31" s="1285" t="s">
        <v>1013</v>
      </c>
      <c r="S31" s="1286">
        <f t="shared" si="12"/>
        <v>100</v>
      </c>
      <c r="T31" s="1285" t="s">
        <v>1013</v>
      </c>
      <c r="U31" s="1286">
        <f t="shared" si="13"/>
        <v>100</v>
      </c>
      <c r="V31" s="1285" t="s">
        <v>1013</v>
      </c>
      <c r="W31" s="1286">
        <f t="shared" si="14"/>
        <v>100</v>
      </c>
      <c r="X31" s="1279"/>
      <c r="Y31" s="3649"/>
      <c r="Z31" s="1269" t="str">
        <f t="shared" si="15"/>
        <v>建筑结构</v>
      </c>
      <c r="AA31" s="1296">
        <f t="shared" si="3"/>
        <v>1</v>
      </c>
      <c r="AB31" s="1296">
        <f t="shared" si="4"/>
        <v>1</v>
      </c>
      <c r="AC31" s="1296">
        <f t="shared" si="5"/>
        <v>1</v>
      </c>
    </row>
    <row r="32" spans="1:29" ht="15">
      <c r="A32" s="1161"/>
      <c r="B32" s="1107" t="s">
        <v>1037</v>
      </c>
      <c r="C32" s="1483"/>
      <c r="D32" s="1119">
        <v>100</v>
      </c>
      <c r="E32" s="1483"/>
      <c r="F32" s="1473">
        <f>SUMIF(95:95,E32,96:96)-SUMIF(95:95,C32,96:96)+100</f>
        <v>100</v>
      </c>
      <c r="G32" s="1483"/>
      <c r="H32" s="1119">
        <f>SUMIF(95:95,G32,96:96)-SUMIF(95:95,C32,96:96)+100</f>
        <v>100</v>
      </c>
      <c r="I32" s="1483"/>
      <c r="J32" s="1119">
        <f>SUMIF(95:95,I32,96:96)-SUMIF(95:95,C32,96:96)+100</f>
        <v>100</v>
      </c>
      <c r="K32" s="1255"/>
      <c r="L32" s="1599"/>
      <c r="M32" s="1590"/>
      <c r="N32" s="1590"/>
      <c r="O32" s="1598"/>
      <c r="P32" s="3649"/>
      <c r="Q32" s="664" t="str">
        <f t="shared" si="11"/>
        <v>公共部分装修</v>
      </c>
      <c r="R32" s="1285" t="s">
        <v>1013</v>
      </c>
      <c r="S32" s="1286">
        <f t="shared" si="12"/>
        <v>100</v>
      </c>
      <c r="T32" s="1285" t="s">
        <v>1013</v>
      </c>
      <c r="U32" s="1286">
        <f t="shared" si="13"/>
        <v>100</v>
      </c>
      <c r="V32" s="1285" t="s">
        <v>1013</v>
      </c>
      <c r="W32" s="1286">
        <f t="shared" si="14"/>
        <v>100</v>
      </c>
      <c r="X32" s="1279"/>
      <c r="Y32" s="3649"/>
      <c r="Z32" s="1269" t="str">
        <f t="shared" si="15"/>
        <v>公共部分装修</v>
      </c>
      <c r="AA32" s="1296">
        <f t="shared" si="3"/>
        <v>1</v>
      </c>
      <c r="AB32" s="1296">
        <f t="shared" si="4"/>
        <v>1</v>
      </c>
      <c r="AC32" s="1296">
        <f t="shared" si="5"/>
        <v>1</v>
      </c>
    </row>
    <row r="33" spans="1:29" ht="15">
      <c r="A33" s="1161"/>
      <c r="B33" s="1107" t="s">
        <v>635</v>
      </c>
      <c r="C33" s="1467"/>
      <c r="D33" s="1119">
        <v>100</v>
      </c>
      <c r="E33" s="1480"/>
      <c r="F33" s="1473" t="e">
        <f>LOOKUP(E33,98:98,99:99)-LOOKUP(C33,98:98,99:99)+100</f>
        <v>#N/A</v>
      </c>
      <c r="G33" s="1480"/>
      <c r="H33" s="1473" t="e">
        <f>LOOKUP(G33,98:98,99:99)-LOOKUP(C33,98:98,99:99)+100</f>
        <v>#N/A</v>
      </c>
      <c r="I33" s="1480"/>
      <c r="J33" s="1119" t="e">
        <f>LOOKUP(I33,98:98,99:99)-LOOKUP(C33,98:98,99:99)+100</f>
        <v>#N/A</v>
      </c>
      <c r="K33" s="1255"/>
      <c r="L33" s="1599"/>
      <c r="M33" s="1590"/>
      <c r="N33" s="1590"/>
      <c r="O33" s="1598"/>
      <c r="P33" s="3649"/>
      <c r="Q33" s="664" t="str">
        <f t="shared" si="11"/>
        <v>成新度</v>
      </c>
      <c r="R33" s="1285" t="s">
        <v>1013</v>
      </c>
      <c r="S33" s="1286" t="e">
        <f t="shared" si="12"/>
        <v>#N/A</v>
      </c>
      <c r="T33" s="1285" t="s">
        <v>1013</v>
      </c>
      <c r="U33" s="1286" t="e">
        <f t="shared" si="13"/>
        <v>#N/A</v>
      </c>
      <c r="V33" s="1285" t="s">
        <v>1013</v>
      </c>
      <c r="W33" s="1286" t="e">
        <f t="shared" si="14"/>
        <v>#N/A</v>
      </c>
      <c r="X33" s="1279"/>
      <c r="Y33" s="3649"/>
      <c r="Z33" s="1269" t="str">
        <f t="shared" si="15"/>
        <v>成新度</v>
      </c>
      <c r="AA33" s="1296" t="e">
        <f t="shared" si="3"/>
        <v>#N/A</v>
      </c>
      <c r="AB33" s="1296" t="e">
        <f t="shared" si="4"/>
        <v>#N/A</v>
      </c>
      <c r="AC33" s="1296" t="e">
        <f t="shared" si="5"/>
        <v>#N/A</v>
      </c>
    </row>
    <row r="34" spans="1:29" s="1069" customFormat="1" ht="15">
      <c r="A34" s="1163"/>
      <c r="B34" s="1107" t="s">
        <v>1039</v>
      </c>
      <c r="C34" s="1483"/>
      <c r="D34" s="1109">
        <v>100</v>
      </c>
      <c r="E34" s="1483"/>
      <c r="F34" s="1473">
        <f>SUMIF(100:100,E34,101:101)-SUMIF(100:100,C34,101:101)+100</f>
        <v>100</v>
      </c>
      <c r="G34" s="1483"/>
      <c r="H34" s="1119">
        <f>SUMIF(100:100,G34,101:101)-SUMIF(100:100,C34,101:101)+100</f>
        <v>100</v>
      </c>
      <c r="I34" s="1483"/>
      <c r="J34" s="1119">
        <f>SUMIF(100:100,I34,101:101)-SUMIF(100:100,C34,101:101)+100</f>
        <v>100</v>
      </c>
      <c r="K34" s="1255"/>
      <c r="L34" s="1591"/>
      <c r="M34" s="1592"/>
      <c r="N34" s="1592"/>
      <c r="O34" s="1593"/>
      <c r="P34" s="3649"/>
      <c r="Q34" s="1284" t="str">
        <f t="shared" si="11"/>
        <v>物业管理</v>
      </c>
      <c r="R34" s="1280" t="s">
        <v>1013</v>
      </c>
      <c r="S34" s="1281">
        <f t="shared" si="12"/>
        <v>100</v>
      </c>
      <c r="T34" s="1280" t="s">
        <v>1013</v>
      </c>
      <c r="U34" s="1281">
        <f t="shared" si="13"/>
        <v>100</v>
      </c>
      <c r="V34" s="1280" t="s">
        <v>1013</v>
      </c>
      <c r="W34" s="1281">
        <f t="shared" si="14"/>
        <v>100</v>
      </c>
      <c r="X34" s="1282"/>
      <c r="Y34" s="3649"/>
      <c r="Z34" s="1295" t="str">
        <f t="shared" si="15"/>
        <v>物业管理</v>
      </c>
      <c r="AA34" s="1294">
        <f t="shared" si="3"/>
        <v>1</v>
      </c>
      <c r="AB34" s="1294">
        <f t="shared" si="4"/>
        <v>1</v>
      </c>
      <c r="AC34" s="1294">
        <f t="shared" si="5"/>
        <v>1</v>
      </c>
    </row>
    <row r="35" spans="1:29" ht="15">
      <c r="A35" s="1161"/>
      <c r="B35" s="1107" t="s">
        <v>1040</v>
      </c>
      <c r="C35" s="1483"/>
      <c r="D35" s="1119">
        <v>100</v>
      </c>
      <c r="E35" s="1483"/>
      <c r="F35" s="1473">
        <f>SUMIF(102:102,E35,103:103)-SUMIF(102:102,C35,103:103)+100</f>
        <v>100</v>
      </c>
      <c r="G35" s="1483"/>
      <c r="H35" s="1119">
        <f>SUMIF(102:102,G35,103:103)-SUMIF(102:102,C35,103:103)+100</f>
        <v>100</v>
      </c>
      <c r="I35" s="1483"/>
      <c r="J35" s="1119">
        <f>SUMIF(102:102,I35,103:103)-SUMIF(102:102,C35,103:103)+100</f>
        <v>100</v>
      </c>
      <c r="K35" s="1255"/>
      <c r="L35" s="1599"/>
      <c r="M35" s="1590"/>
      <c r="N35" s="1590"/>
      <c r="O35" s="1598"/>
      <c r="P35" s="3649" t="s">
        <v>1034</v>
      </c>
      <c r="Q35" s="664" t="str">
        <f t="shared" si="11"/>
        <v>市政基础设施</v>
      </c>
      <c r="R35" s="1285" t="s">
        <v>1013</v>
      </c>
      <c r="S35" s="1286">
        <f t="shared" si="12"/>
        <v>100</v>
      </c>
      <c r="T35" s="1285" t="s">
        <v>1013</v>
      </c>
      <c r="U35" s="1286">
        <f t="shared" si="13"/>
        <v>100</v>
      </c>
      <c r="V35" s="1285" t="s">
        <v>1013</v>
      </c>
      <c r="W35" s="1286">
        <f t="shared" si="14"/>
        <v>100</v>
      </c>
      <c r="X35" s="1279"/>
      <c r="Y35" s="3649" t="s">
        <v>1034</v>
      </c>
      <c r="Z35" s="1269" t="str">
        <f t="shared" si="15"/>
        <v>市政基础设施</v>
      </c>
      <c r="AA35" s="1296">
        <f t="shared" si="3"/>
        <v>1</v>
      </c>
      <c r="AB35" s="1296">
        <f t="shared" si="4"/>
        <v>1</v>
      </c>
      <c r="AC35" s="1296">
        <f t="shared" si="5"/>
        <v>1</v>
      </c>
    </row>
    <row r="36" spans="1:29" ht="15">
      <c r="A36" s="1161"/>
      <c r="B36" s="1107" t="s">
        <v>1043</v>
      </c>
      <c r="C36" s="1483"/>
      <c r="D36" s="1119">
        <v>100</v>
      </c>
      <c r="E36" s="1483"/>
      <c r="F36" s="1473">
        <f>SUMIF(104:104,E36,105:105)-SUMIF(104:104,C36,105:105)+100</f>
        <v>100</v>
      </c>
      <c r="G36" s="1483"/>
      <c r="H36" s="1119">
        <f>SUMIF(104:104,G36,105:105)-SUMIF(104:104,C36,105:105)+100</f>
        <v>100</v>
      </c>
      <c r="I36" s="1483"/>
      <c r="J36" s="1119">
        <f>SUMIF(104:104,I36,105:105)-SUMIF(104:104,C36,105:105)+100</f>
        <v>100</v>
      </c>
      <c r="K36" s="1255"/>
      <c r="L36" s="1599"/>
      <c r="M36" s="1590"/>
      <c r="N36" s="1590"/>
      <c r="O36" s="1598"/>
      <c r="P36" s="3649"/>
      <c r="Q36" s="664" t="str">
        <f t="shared" si="11"/>
        <v>内部装修</v>
      </c>
      <c r="R36" s="1285" t="s">
        <v>1013</v>
      </c>
      <c r="S36" s="1286">
        <f t="shared" si="12"/>
        <v>100</v>
      </c>
      <c r="T36" s="1285" t="s">
        <v>1013</v>
      </c>
      <c r="U36" s="1286">
        <f t="shared" si="13"/>
        <v>100</v>
      </c>
      <c r="V36" s="1285" t="s">
        <v>1013</v>
      </c>
      <c r="W36" s="1286">
        <f t="shared" si="14"/>
        <v>100</v>
      </c>
      <c r="X36" s="1279"/>
      <c r="Y36" s="3649"/>
      <c r="Z36" s="1269" t="str">
        <f t="shared" si="15"/>
        <v>内部装修</v>
      </c>
      <c r="AA36" s="1296">
        <f t="shared" si="3"/>
        <v>1</v>
      </c>
      <c r="AB36" s="1296">
        <f t="shared" si="4"/>
        <v>1</v>
      </c>
      <c r="AC36" s="1296">
        <f t="shared" si="5"/>
        <v>1</v>
      </c>
    </row>
    <row r="37" spans="1:29" ht="15">
      <c r="A37" s="1161"/>
      <c r="B37" s="1107" t="s">
        <v>1587</v>
      </c>
      <c r="C37" s="1144"/>
      <c r="D37" s="1119">
        <v>100</v>
      </c>
      <c r="E37" s="1144"/>
      <c r="F37" s="1473">
        <f>SUMIF(106:106,E37,107:107)-SUMIF(106:106,C37,107:107)+100</f>
        <v>100</v>
      </c>
      <c r="G37" s="1144"/>
      <c r="H37" s="1119">
        <f>SUMIF(106:106,G37,107:107)-SUMIF(106:106,C37,107:107)+100</f>
        <v>100</v>
      </c>
      <c r="I37" s="1144"/>
      <c r="J37" s="1119">
        <f>SUMIF(106:106,I37,107:107)-SUMIF(106:106,C37,107:107)+100</f>
        <v>100</v>
      </c>
      <c r="K37" s="1255"/>
      <c r="L37" s="1599"/>
      <c r="M37" s="1590"/>
      <c r="N37" s="1590"/>
      <c r="O37" s="1598"/>
      <c r="P37" s="3649"/>
      <c r="Q37" s="664" t="str">
        <f t="shared" si="11"/>
        <v>内部装修状况</v>
      </c>
      <c r="R37" s="1285" t="s">
        <v>1013</v>
      </c>
      <c r="S37" s="1286">
        <f t="shared" si="12"/>
        <v>100</v>
      </c>
      <c r="T37" s="1285" t="s">
        <v>1013</v>
      </c>
      <c r="U37" s="1286">
        <f t="shared" si="13"/>
        <v>100</v>
      </c>
      <c r="V37" s="1285" t="s">
        <v>1013</v>
      </c>
      <c r="W37" s="1286">
        <f t="shared" si="14"/>
        <v>100</v>
      </c>
      <c r="X37" s="1279"/>
      <c r="Y37" s="3649"/>
      <c r="Z37" s="1269" t="str">
        <f t="shared" si="15"/>
        <v>内部装修状况</v>
      </c>
      <c r="AA37" s="1296">
        <f t="shared" si="3"/>
        <v>1</v>
      </c>
      <c r="AB37" s="1296">
        <f t="shared" si="4"/>
        <v>1</v>
      </c>
      <c r="AC37" s="1296">
        <f t="shared" si="5"/>
        <v>1</v>
      </c>
    </row>
    <row r="38" spans="1:29" s="1071" customFormat="1" ht="15">
      <c r="A38" s="1166"/>
      <c r="B38" s="1425">
        <v>111</v>
      </c>
      <c r="C38" s="1467"/>
      <c r="D38" s="1119">
        <v>100</v>
      </c>
      <c r="E38" s="1118"/>
      <c r="F38" s="1473">
        <f>SUMIF(108:108,E38,109:109)-SUMIF(108:108,C38,109:109)+100</f>
        <v>100</v>
      </c>
      <c r="G38" s="1467"/>
      <c r="H38" s="1119">
        <f>SUMIF(108:108,G38,109:109)-SUMIF(108:108,C38,109:109)+100</f>
        <v>100</v>
      </c>
      <c r="I38" s="1467"/>
      <c r="J38" s="1119">
        <f>SUMIF(108:108,I38,109:1038)-SUMIF(108:108,C38,109:109)+100</f>
        <v>100</v>
      </c>
      <c r="K38" s="1254"/>
      <c r="L38" s="1597"/>
      <c r="M38" s="1600"/>
      <c r="N38" s="1600"/>
      <c r="O38" s="1601"/>
      <c r="P38" s="3649"/>
      <c r="Q38" s="1512">
        <f t="shared" si="11"/>
        <v>111</v>
      </c>
      <c r="R38" s="1287" t="s">
        <v>1013</v>
      </c>
      <c r="S38" s="1288">
        <f t="shared" si="12"/>
        <v>100</v>
      </c>
      <c r="T38" s="1287" t="s">
        <v>1013</v>
      </c>
      <c r="U38" s="1288">
        <f t="shared" si="13"/>
        <v>100</v>
      </c>
      <c r="V38" s="1287" t="s">
        <v>1013</v>
      </c>
      <c r="W38" s="1288">
        <f t="shared" si="14"/>
        <v>100</v>
      </c>
      <c r="X38" s="1289"/>
      <c r="Y38" s="3649"/>
      <c r="Z38" s="1297">
        <f t="shared" si="15"/>
        <v>111</v>
      </c>
      <c r="AA38" s="1296">
        <f t="shared" si="3"/>
        <v>1</v>
      </c>
      <c r="AB38" s="1296">
        <f t="shared" si="4"/>
        <v>1</v>
      </c>
      <c r="AC38" s="1296">
        <f t="shared" si="5"/>
        <v>1</v>
      </c>
    </row>
    <row r="39" spans="1:29" ht="15">
      <c r="A39" s="1161"/>
      <c r="B39" s="1425">
        <v>111</v>
      </c>
      <c r="C39" s="1467"/>
      <c r="D39" s="1119">
        <v>100</v>
      </c>
      <c r="E39" s="1118"/>
      <c r="F39" s="1473">
        <f>SUMIF(110:110,E39,111:111)-SUMIF(110:110,C39,111:111)+100</f>
        <v>100</v>
      </c>
      <c r="G39" s="1467"/>
      <c r="H39" s="1119">
        <f>SUMIF(110:110,G39,111:111)-SUMIF(110:110,C39,111:111)+100</f>
        <v>100</v>
      </c>
      <c r="I39" s="1467"/>
      <c r="J39" s="1119">
        <f>SUMIF(110:110,I39,111:111)-SUMIF(110:110,C39,111:111)+100</f>
        <v>100</v>
      </c>
      <c r="K39" s="1254"/>
      <c r="L39" s="1599"/>
      <c r="M39" s="1590"/>
      <c r="N39" s="1590"/>
      <c r="O39" s="1598"/>
      <c r="P39" s="3649"/>
      <c r="Q39" s="664">
        <f t="shared" si="11"/>
        <v>111</v>
      </c>
      <c r="R39" s="1285" t="s">
        <v>1013</v>
      </c>
      <c r="S39" s="1286">
        <f t="shared" si="12"/>
        <v>100</v>
      </c>
      <c r="T39" s="1285" t="s">
        <v>1013</v>
      </c>
      <c r="U39" s="1286">
        <f t="shared" si="13"/>
        <v>100</v>
      </c>
      <c r="V39" s="1285" t="s">
        <v>1013</v>
      </c>
      <c r="W39" s="1286">
        <f t="shared" si="14"/>
        <v>100</v>
      </c>
      <c r="X39" s="1279"/>
      <c r="Y39" s="3649"/>
      <c r="Z39" s="1269">
        <f t="shared" si="15"/>
        <v>111</v>
      </c>
      <c r="AA39" s="1296">
        <f t="shared" si="3"/>
        <v>1</v>
      </c>
      <c r="AB39" s="1296">
        <f t="shared" si="4"/>
        <v>1</v>
      </c>
      <c r="AC39" s="1296">
        <f t="shared" si="5"/>
        <v>1</v>
      </c>
    </row>
    <row r="40" spans="1:29" ht="15">
      <c r="A40" s="1485"/>
      <c r="B40" s="1121">
        <v>111</v>
      </c>
      <c r="C40" s="1122"/>
      <c r="D40" s="1123">
        <v>100</v>
      </c>
      <c r="E40" s="1118"/>
      <c r="F40" s="1486">
        <f>SUMIF(112:112,E40,113:113)-SUMIF(112:112,C40,113:113)+100</f>
        <v>100</v>
      </c>
      <c r="G40" s="1467"/>
      <c r="H40" s="1123">
        <f>SUMIF(112:112,G40,113:113)-SUMIF(112:112,C40,113:113)+100</f>
        <v>100</v>
      </c>
      <c r="I40" s="1467"/>
      <c r="J40" s="1123">
        <f>SUMIF(112:112,I40,113:113)-SUMIF(112:112,C40,113:113)+100</f>
        <v>100</v>
      </c>
      <c r="K40" s="1254"/>
      <c r="L40" s="1599"/>
      <c r="M40" s="1590"/>
      <c r="N40" s="1590"/>
      <c r="O40" s="1598"/>
      <c r="P40" s="3650"/>
      <c r="Q40" s="664">
        <f t="shared" si="11"/>
        <v>111</v>
      </c>
      <c r="R40" s="1285" t="s">
        <v>1013</v>
      </c>
      <c r="S40" s="1286">
        <f t="shared" si="12"/>
        <v>100</v>
      </c>
      <c r="T40" s="1285" t="s">
        <v>1013</v>
      </c>
      <c r="U40" s="1286">
        <f t="shared" si="13"/>
        <v>100</v>
      </c>
      <c r="V40" s="1285" t="s">
        <v>1013</v>
      </c>
      <c r="W40" s="1286">
        <f t="shared" si="14"/>
        <v>100</v>
      </c>
      <c r="X40" s="1279"/>
      <c r="Y40" s="3650"/>
      <c r="Z40" s="1269">
        <f t="shared" si="15"/>
        <v>111</v>
      </c>
      <c r="AA40" s="1296">
        <f t="shared" si="3"/>
        <v>1</v>
      </c>
      <c r="AB40" s="1296">
        <f t="shared" si="4"/>
        <v>1</v>
      </c>
      <c r="AC40" s="1296">
        <f t="shared" si="5"/>
        <v>1</v>
      </c>
    </row>
    <row r="41" spans="1:29" ht="15">
      <c r="A41" s="1168" t="s">
        <v>1045</v>
      </c>
      <c r="B41" s="1487"/>
      <c r="C41" s="1488" t="s">
        <v>124</v>
      </c>
      <c r="D41" s="1489"/>
      <c r="E41" s="1490"/>
      <c r="F41" s="1491"/>
      <c r="G41" s="1492"/>
      <c r="H41" s="1493"/>
      <c r="I41" s="1490"/>
      <c r="J41" s="1493"/>
      <c r="K41" s="1260"/>
      <c r="L41" s="1602"/>
      <c r="M41" s="1220"/>
      <c r="N41" s="1590"/>
      <c r="O41" s="1220"/>
      <c r="P41" s="3640" t="str">
        <f>A41</f>
        <v>成交单价（元/平方米）</v>
      </c>
      <c r="Q41" s="3640"/>
      <c r="R41" s="3641">
        <f>E41</f>
        <v>0</v>
      </c>
      <c r="S41" s="3641"/>
      <c r="T41" s="3641">
        <f>G41</f>
        <v>0</v>
      </c>
      <c r="U41" s="3641"/>
      <c r="V41" s="3641">
        <f>I41</f>
        <v>0</v>
      </c>
      <c r="W41" s="3641"/>
      <c r="X41" s="1225"/>
      <c r="Y41" s="1298"/>
      <c r="Z41" s="1225"/>
      <c r="AA41" s="1225"/>
      <c r="AB41" s="1225"/>
      <c r="AC41" s="1225"/>
    </row>
    <row r="42" spans="1:29" ht="15">
      <c r="A42" s="1176" t="s">
        <v>1046</v>
      </c>
      <c r="B42" s="1494"/>
      <c r="C42" s="1495" t="e">
        <f>R43</f>
        <v>#DIV/0!</v>
      </c>
      <c r="D42" s="1179" t="s">
        <v>1047</v>
      </c>
      <c r="E42" s="1496" t="e">
        <f>R42</f>
        <v>#DIV/0!</v>
      </c>
      <c r="F42" s="1180"/>
      <c r="G42" s="1495" t="e">
        <f>T42</f>
        <v>#DIV/0!</v>
      </c>
      <c r="H42" s="1180"/>
      <c r="I42" s="1496" t="e">
        <f>V42</f>
        <v>#DIV/0!</v>
      </c>
      <c r="J42" s="1180"/>
      <c r="K42" s="1262">
        <f>F42+H42+J42</f>
        <v>0</v>
      </c>
      <c r="L42" s="1602"/>
      <c r="M42" s="1220"/>
      <c r="N42" s="1590"/>
      <c r="O42" s="1220"/>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5"/>
      <c r="Y42" s="1225"/>
      <c r="Z42" s="1225"/>
      <c r="AA42" s="1225"/>
      <c r="AB42" s="1225"/>
      <c r="AC42" s="1225"/>
    </row>
    <row r="43" spans="1:29" ht="15">
      <c r="A43" s="1182" t="s">
        <v>1048</v>
      </c>
      <c r="B43" s="1183"/>
      <c r="C43" s="1497" t="e">
        <f>R43</f>
        <v>#DIV/0!</v>
      </c>
      <c r="D43" s="1497"/>
      <c r="E43" s="1497"/>
      <c r="F43" s="1497"/>
      <c r="G43" s="1497"/>
      <c r="H43" s="1497"/>
      <c r="I43" s="1497"/>
      <c r="J43" s="1497"/>
      <c r="K43" s="1263"/>
      <c r="L43" s="1602"/>
      <c r="M43" s="1220"/>
      <c r="N43" s="1220"/>
      <c r="O43" s="1220"/>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3"/>
      <c r="M48" s="1604"/>
      <c r="N48" s="1604"/>
      <c r="O48" s="1604"/>
    </row>
    <row r="49" spans="1:17" s="1072" customFormat="1">
      <c r="A49" s="1190"/>
      <c r="B49" s="1191"/>
      <c r="C49" s="1498"/>
      <c r="D49" s="1190"/>
      <c r="E49" s="1190"/>
      <c r="F49" s="1190"/>
      <c r="G49" s="1190"/>
      <c r="H49" s="1190"/>
      <c r="I49" s="1190"/>
      <c r="J49" s="1190"/>
      <c r="K49" s="1267"/>
      <c r="L49" s="1603"/>
      <c r="M49" s="1604"/>
      <c r="N49" s="1604"/>
      <c r="O49" s="1604"/>
    </row>
    <row r="50" spans="1:17">
      <c r="A50" s="1185"/>
      <c r="B50" s="1191"/>
      <c r="C50" s="1498"/>
      <c r="D50" s="1185"/>
      <c r="E50" s="1185"/>
      <c r="F50" s="1185"/>
      <c r="G50" s="1185"/>
      <c r="H50" s="1185"/>
      <c r="I50" s="1185"/>
      <c r="J50" s="1185"/>
      <c r="K50" s="1265"/>
      <c r="L50" s="1274"/>
      <c r="M50" s="1220"/>
      <c r="N50" s="1220"/>
      <c r="O50" s="1220"/>
    </row>
    <row r="51" spans="1:17" ht="21">
      <c r="A51" s="1224" t="s">
        <v>1052</v>
      </c>
      <c r="B51" s="1225"/>
      <c r="C51" s="1226"/>
      <c r="D51" s="1226"/>
      <c r="E51" s="1226"/>
      <c r="F51" s="1227"/>
      <c r="G51" s="1227"/>
      <c r="H51" s="1226"/>
      <c r="I51" s="1226"/>
      <c r="J51" s="1226"/>
      <c r="K51" s="1443"/>
      <c r="L51" s="1444"/>
      <c r="M51" s="1277"/>
      <c r="N51" s="1277"/>
      <c r="O51" s="1277"/>
      <c r="P51" s="1605"/>
      <c r="Q51" s="1607"/>
    </row>
    <row r="52" spans="1:17" s="1074" customFormat="1" ht="15">
      <c r="A52" s="1499" t="s">
        <v>1011</v>
      </c>
      <c r="B52" s="1500"/>
      <c r="C52" s="1501" t="str">
        <f>YEAR(C7)&amp;"-"&amp;MONTH(C7)</f>
        <v>2023-6</v>
      </c>
      <c r="D52" s="1502">
        <f>EDATE(C52,-1)</f>
        <v>45047</v>
      </c>
      <c r="E52" s="1502">
        <f t="shared" ref="E52:O52" si="16">EDATE(D52,-1)</f>
        <v>45017</v>
      </c>
      <c r="F52" s="1502">
        <f t="shared" si="16"/>
        <v>44986</v>
      </c>
      <c r="G52" s="1502">
        <f t="shared" si="16"/>
        <v>44958</v>
      </c>
      <c r="H52" s="1502">
        <f t="shared" si="16"/>
        <v>44927</v>
      </c>
      <c r="I52" s="1502">
        <f t="shared" si="16"/>
        <v>44896</v>
      </c>
      <c r="J52" s="1502">
        <f t="shared" si="16"/>
        <v>44866</v>
      </c>
      <c r="K52" s="1502">
        <f t="shared" si="16"/>
        <v>44835</v>
      </c>
      <c r="L52" s="1502">
        <f t="shared" si="16"/>
        <v>44805</v>
      </c>
      <c r="M52" s="1502">
        <f t="shared" si="16"/>
        <v>44774</v>
      </c>
      <c r="N52" s="1502">
        <f t="shared" si="16"/>
        <v>44743</v>
      </c>
      <c r="O52" s="1502">
        <f t="shared" si="16"/>
        <v>44713</v>
      </c>
      <c r="P52" s="1606"/>
    </row>
    <row r="53" spans="1:17" s="1069" customFormat="1" ht="15">
      <c r="A53" s="1503"/>
      <c r="B53" s="1310"/>
      <c r="C53" s="1504">
        <v>100</v>
      </c>
      <c r="D53" s="1314"/>
      <c r="E53" s="1314"/>
      <c r="F53" s="1314"/>
      <c r="G53" s="1314"/>
      <c r="H53" s="1314"/>
      <c r="I53" s="1314"/>
      <c r="J53" s="1314"/>
      <c r="K53" s="1314"/>
      <c r="L53" s="1314"/>
      <c r="M53" s="1511"/>
      <c r="N53" s="1314"/>
      <c r="O53" s="1362"/>
      <c r="P53" s="1607"/>
    </row>
    <row r="54" spans="1:17" s="1069" customFormat="1" ht="15">
      <c r="A54" s="1305" t="s">
        <v>1053</v>
      </c>
      <c r="B54" s="1306"/>
      <c r="C54" s="1307"/>
      <c r="D54" s="1308"/>
      <c r="E54" s="1308"/>
      <c r="F54" s="1308"/>
      <c r="G54" s="1308"/>
      <c r="H54" s="1308"/>
      <c r="I54" s="1308"/>
      <c r="J54" s="1308"/>
      <c r="K54" s="1308"/>
      <c r="L54" s="1308"/>
      <c r="M54" s="1356"/>
      <c r="N54" s="1608"/>
      <c r="O54" s="1609"/>
      <c r="P54" s="1607"/>
      <c r="Q54" s="1607"/>
    </row>
    <row r="55" spans="1:17" s="1069" customFormat="1" ht="15">
      <c r="A55" s="1309" t="s">
        <v>1014</v>
      </c>
      <c r="B55" s="1310"/>
      <c r="C55" s="1311" t="s">
        <v>1054</v>
      </c>
      <c r="D55" s="1312"/>
      <c r="E55" s="1312"/>
      <c r="F55" s="1312"/>
      <c r="G55" s="1312"/>
      <c r="H55" s="1312"/>
      <c r="I55" s="1312"/>
      <c r="J55" s="1312"/>
      <c r="K55" s="1312"/>
      <c r="L55" s="1358"/>
      <c r="M55" s="1359"/>
      <c r="N55" s="1610"/>
      <c r="O55" s="1610"/>
      <c r="P55" s="1611"/>
      <c r="Q55" s="1607"/>
    </row>
    <row r="56" spans="1:17" s="1069" customFormat="1" ht="15">
      <c r="A56" s="1309"/>
      <c r="B56" s="1310"/>
      <c r="C56" s="1313">
        <v>100</v>
      </c>
      <c r="D56" s="1314"/>
      <c r="E56" s="1314"/>
      <c r="F56" s="1314"/>
      <c r="G56" s="1314"/>
      <c r="H56" s="1314"/>
      <c r="I56" s="1314"/>
      <c r="J56" s="1314"/>
      <c r="K56" s="1314"/>
      <c r="L56" s="1314"/>
      <c r="M56" s="1362"/>
      <c r="N56" s="1610"/>
      <c r="O56" s="1610"/>
      <c r="P56" s="1607"/>
      <c r="Q56" s="1607"/>
    </row>
    <row r="57" spans="1:17">
      <c r="A57" s="1315" t="s">
        <v>1055</v>
      </c>
      <c r="B57" s="1316" t="s">
        <v>1017</v>
      </c>
      <c r="C57" s="1338">
        <f>C9</f>
        <v>0</v>
      </c>
      <c r="D57" s="1258"/>
      <c r="E57" s="1258"/>
      <c r="F57" s="1258"/>
      <c r="G57" s="1258"/>
      <c r="H57" s="1258"/>
      <c r="I57" s="1258"/>
      <c r="J57" s="1258"/>
      <c r="K57" s="1363"/>
      <c r="L57" s="1364"/>
      <c r="M57" s="1365"/>
      <c r="N57" s="1612"/>
      <c r="O57" s="1612"/>
      <c r="P57" s="1613"/>
      <c r="Q57" s="1607"/>
    </row>
    <row r="58" spans="1:17" ht="15">
      <c r="A58" s="1317"/>
      <c r="B58" s="1318"/>
      <c r="C58" s="1319">
        <v>100</v>
      </c>
      <c r="D58" s="1319"/>
      <c r="E58" s="1319"/>
      <c r="F58" s="1319"/>
      <c r="G58" s="1319"/>
      <c r="H58" s="1319"/>
      <c r="I58" s="1319"/>
      <c r="J58" s="1319"/>
      <c r="K58" s="1319"/>
      <c r="L58" s="1319"/>
      <c r="M58" s="1368"/>
      <c r="N58" s="1614"/>
      <c r="O58" s="1614"/>
      <c r="P58" s="1613"/>
      <c r="Q58" s="1607"/>
    </row>
    <row r="59" spans="1:17" ht="27">
      <c r="A59" s="1317"/>
      <c r="B59" s="1320" t="s">
        <v>1020</v>
      </c>
      <c r="C59" s="1345"/>
      <c r="D59" s="1345"/>
      <c r="E59" s="1345"/>
      <c r="F59" s="1345"/>
      <c r="G59" s="1345"/>
      <c r="H59" s="1345"/>
      <c r="I59" s="1345"/>
      <c r="J59" s="1345"/>
      <c r="K59" s="1396"/>
      <c r="L59" s="1397"/>
      <c r="M59" s="1398"/>
      <c r="N59" s="1612"/>
      <c r="O59" s="1612"/>
      <c r="P59" s="1613"/>
      <c r="Q59" s="1607"/>
    </row>
    <row r="60" spans="1:17" ht="15">
      <c r="A60" s="1317"/>
      <c r="B60" s="1322"/>
      <c r="C60" s="1319"/>
      <c r="D60" s="1319"/>
      <c r="E60" s="1319"/>
      <c r="F60" s="1319"/>
      <c r="G60" s="1319"/>
      <c r="H60" s="1319"/>
      <c r="I60" s="1319"/>
      <c r="J60" s="1319"/>
      <c r="K60" s="1319"/>
      <c r="L60" s="1319"/>
      <c r="M60" s="1368"/>
      <c r="N60" s="1614"/>
      <c r="O60" s="1614"/>
      <c r="P60" s="1613"/>
      <c r="Q60" s="1607"/>
    </row>
    <row r="61" spans="1:17" ht="15">
      <c r="A61" s="1317"/>
      <c r="B61" s="1324" t="s">
        <v>1021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4"/>
      <c r="O61" s="1614"/>
      <c r="P61" s="1613"/>
      <c r="Q61" s="1607"/>
    </row>
    <row r="62" spans="1:17" ht="15">
      <c r="A62" s="1317"/>
      <c r="B62" s="1326"/>
      <c r="C62" s="1116">
        <v>0</v>
      </c>
      <c r="D62" s="1116">
        <v>2</v>
      </c>
      <c r="E62" s="1116"/>
      <c r="F62" s="1116"/>
      <c r="G62" s="1116"/>
      <c r="H62" s="1116"/>
      <c r="I62" s="1116"/>
      <c r="J62" s="1116"/>
      <c r="K62" s="1374"/>
      <c r="L62" s="1375"/>
      <c r="M62" s="1376"/>
      <c r="N62" s="1612"/>
      <c r="O62" s="1612"/>
      <c r="P62" s="1613"/>
      <c r="Q62" s="1607"/>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4"/>
      <c r="O63" s="1614"/>
      <c r="P63" s="1613"/>
      <c r="Q63" s="1607"/>
    </row>
    <row r="64" spans="1:17"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1022</v>
      </c>
      <c r="B70" s="1316" t="s">
        <v>1586</v>
      </c>
      <c r="C70" s="1337" t="s">
        <v>1056</v>
      </c>
      <c r="D70" s="1337" t="s">
        <v>1057</v>
      </c>
      <c r="E70" s="1337" t="s">
        <v>1058</v>
      </c>
      <c r="F70" s="1337" t="s">
        <v>1059</v>
      </c>
      <c r="G70" s="1337" t="s">
        <v>1060</v>
      </c>
      <c r="H70" s="1338"/>
      <c r="I70" s="1338"/>
      <c r="J70" s="1338"/>
      <c r="K70" s="1386"/>
      <c r="L70" s="1387"/>
      <c r="M70" s="1388"/>
      <c r="N70" s="1612"/>
      <c r="O70" s="1612"/>
      <c r="P70" s="1621"/>
      <c r="Q70" s="1607"/>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4"/>
      <c r="O71" s="1614"/>
      <c r="P71" s="1613"/>
      <c r="Q71" s="1607"/>
    </row>
    <row r="72" spans="1:17" ht="15">
      <c r="A72" s="1317"/>
      <c r="B72" s="1320" t="s">
        <v>1025</v>
      </c>
      <c r="C72" s="1339" t="s">
        <v>1056</v>
      </c>
      <c r="D72" s="1339" t="s">
        <v>1057</v>
      </c>
      <c r="E72" s="1339" t="s">
        <v>1058</v>
      </c>
      <c r="F72" s="1339" t="s">
        <v>1059</v>
      </c>
      <c r="G72" s="1339" t="s">
        <v>1060</v>
      </c>
      <c r="H72" s="1321"/>
      <c r="I72" s="1321"/>
      <c r="J72" s="1321"/>
      <c r="K72" s="1370"/>
      <c r="L72" s="1371"/>
      <c r="M72" s="1372"/>
      <c r="N72" s="1612"/>
      <c r="O72" s="1612"/>
      <c r="P72" s="1613"/>
      <c r="Q72" s="1607"/>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4"/>
      <c r="O73" s="1614"/>
      <c r="P73" s="1613"/>
      <c r="Q73" s="1607"/>
    </row>
    <row r="74" spans="1:17" ht="15">
      <c r="A74" s="1317"/>
      <c r="B74" s="1320" t="s">
        <v>1026</v>
      </c>
      <c r="C74" s="1339" t="s">
        <v>1056</v>
      </c>
      <c r="D74" s="1339" t="s">
        <v>1057</v>
      </c>
      <c r="E74" s="1339" t="s">
        <v>1058</v>
      </c>
      <c r="F74" s="1339" t="s">
        <v>1059</v>
      </c>
      <c r="G74" s="1339" t="s">
        <v>1060</v>
      </c>
      <c r="H74" s="1321"/>
      <c r="I74" s="1321"/>
      <c r="J74" s="1321"/>
      <c r="K74" s="1370"/>
      <c r="L74" s="1371"/>
      <c r="M74" s="1372"/>
      <c r="N74" s="1612"/>
      <c r="O74" s="1612"/>
      <c r="P74" s="1613"/>
      <c r="Q74" s="1607"/>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4"/>
      <c r="O75" s="1614"/>
      <c r="P75" s="1613"/>
      <c r="Q75" s="1607"/>
    </row>
    <row r="76" spans="1:17" ht="15">
      <c r="A76" s="1317"/>
      <c r="B76" s="1324" t="s">
        <v>1027</v>
      </c>
      <c r="C76" s="1344" t="s">
        <v>1061</v>
      </c>
      <c r="D76" s="1344" t="s">
        <v>1062</v>
      </c>
      <c r="E76" s="1344" t="s">
        <v>1063</v>
      </c>
      <c r="F76" s="1344" t="s">
        <v>1064</v>
      </c>
      <c r="G76" s="1344" t="s">
        <v>1065</v>
      </c>
      <c r="H76" s="1321"/>
      <c r="I76" s="1321"/>
      <c r="J76" s="1321"/>
      <c r="K76" s="1321"/>
      <c r="L76" s="1321"/>
      <c r="M76" s="1516"/>
      <c r="N76" s="1614"/>
      <c r="O76" s="1614"/>
      <c r="P76" s="1613"/>
      <c r="Q76" s="1607"/>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4"/>
      <c r="O77" s="1614"/>
      <c r="P77" s="1613"/>
      <c r="Q77" s="1607"/>
    </row>
    <row r="78" spans="1:17" ht="15">
      <c r="A78" s="1317"/>
      <c r="B78" s="1320" t="s">
        <v>1028</v>
      </c>
      <c r="C78" s="1339" t="s">
        <v>1056</v>
      </c>
      <c r="D78" s="1339" t="s">
        <v>1057</v>
      </c>
      <c r="E78" s="1339" t="s">
        <v>1058</v>
      </c>
      <c r="F78" s="1339" t="s">
        <v>1059</v>
      </c>
      <c r="G78" s="1339" t="s">
        <v>1060</v>
      </c>
      <c r="H78" s="1321"/>
      <c r="I78" s="1321"/>
      <c r="J78" s="1321"/>
      <c r="K78" s="1370"/>
      <c r="L78" s="1371"/>
      <c r="M78" s="1372"/>
      <c r="N78" s="1612"/>
      <c r="O78" s="1612"/>
      <c r="P78" s="1613"/>
      <c r="Q78" s="1607"/>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7"/>
      <c r="M80" s="1518"/>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7"/>
      <c r="M82" s="1518"/>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1032</v>
      </c>
      <c r="B88" s="1316" t="s">
        <v>1033</v>
      </c>
      <c r="C88" s="1258"/>
      <c r="D88" s="1258"/>
      <c r="E88" s="1258"/>
      <c r="F88" s="1258"/>
      <c r="G88" s="1258"/>
      <c r="H88" s="1258"/>
      <c r="I88" s="1258"/>
      <c r="J88" s="1258"/>
      <c r="K88" s="1363"/>
      <c r="L88" s="1364"/>
      <c r="M88" s="1365"/>
      <c r="N88" s="1612"/>
      <c r="O88" s="1612"/>
      <c r="P88" s="1613"/>
      <c r="Q88" s="1607"/>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4"/>
      <c r="O89" s="1614"/>
      <c r="P89" s="1613"/>
      <c r="Q89" s="1607"/>
    </row>
    <row r="90" spans="1:17" ht="15">
      <c r="A90" s="1317"/>
      <c r="B90" s="1320" t="s">
        <v>1035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0"/>
      <c r="O90" s="1610"/>
      <c r="P90" s="1613"/>
      <c r="Q90" s="1607"/>
    </row>
    <row r="91" spans="1:17" s="1071" customFormat="1">
      <c r="A91" s="1348"/>
      <c r="B91" s="1349"/>
      <c r="C91" s="1304"/>
      <c r="D91" s="1304"/>
      <c r="E91" s="1304"/>
      <c r="F91" s="1304"/>
      <c r="G91" s="1304"/>
      <c r="H91" s="1304"/>
      <c r="I91" s="1304"/>
      <c r="J91" s="1403"/>
      <c r="K91" s="1403"/>
      <c r="L91" s="1404"/>
      <c r="M91" s="1405"/>
      <c r="N91" s="1615"/>
      <c r="O91" s="1615"/>
      <c r="P91" s="1616"/>
      <c r="Q91" s="1617"/>
    </row>
    <row r="92" spans="1:17" s="1071" customFormat="1" ht="15">
      <c r="A92" s="1327"/>
      <c r="B92" s="1322"/>
      <c r="C92" s="1330"/>
      <c r="D92" s="1319"/>
      <c r="E92" s="1319"/>
      <c r="F92" s="1319"/>
      <c r="G92" s="1319"/>
      <c r="H92" s="1319"/>
      <c r="I92" s="1319"/>
      <c r="J92" s="1319"/>
      <c r="K92" s="1319"/>
      <c r="L92" s="1319"/>
      <c r="M92" s="1368"/>
      <c r="N92" s="1614"/>
      <c r="O92" s="1614"/>
      <c r="P92" s="1616"/>
      <c r="Q92" s="1617"/>
    </row>
    <row r="93" spans="1:17">
      <c r="A93" s="1351"/>
      <c r="B93" s="1320" t="s">
        <v>1036</v>
      </c>
      <c r="C93" s="1328"/>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4"/>
      <c r="O94" s="1614"/>
      <c r="P94" s="1613"/>
      <c r="Q94" s="1607"/>
    </row>
    <row r="95" spans="1:17">
      <c r="A95" s="1351"/>
      <c r="B95" s="1320" t="s">
        <v>1037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4"/>
      <c r="O96" s="1614"/>
      <c r="P96" s="1613"/>
      <c r="Q96" s="1607"/>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1" customFormat="1">
      <c r="A100" s="1348"/>
      <c r="B100" s="1320" t="s">
        <v>1039</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1"/>
      <c r="B102" s="1320" t="s">
        <v>1040</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4"/>
      <c r="O103" s="1614"/>
      <c r="P103" s="1613"/>
      <c r="Q103" s="1607"/>
    </row>
    <row r="104" spans="1:17">
      <c r="A104" s="1351"/>
      <c r="B104" s="1320" t="s">
        <v>1043</v>
      </c>
      <c r="C104" s="1328"/>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4" t="s">
        <v>1588</v>
      </c>
      <c r="C106" s="1339" t="s">
        <v>1056</v>
      </c>
      <c r="D106" s="1339" t="s">
        <v>1057</v>
      </c>
      <c r="E106" s="1339" t="s">
        <v>1058</v>
      </c>
      <c r="F106" s="1339" t="s">
        <v>1059</v>
      </c>
      <c r="G106" s="1339" t="s">
        <v>1060</v>
      </c>
      <c r="H106" s="1321"/>
      <c r="I106" s="1321"/>
      <c r="J106" s="1321"/>
      <c r="K106" s="1370"/>
      <c r="L106" s="1371"/>
      <c r="M106" s="1372"/>
      <c r="N106" s="1614"/>
      <c r="O106" s="1614"/>
      <c r="P106" s="1622"/>
      <c r="Q106" s="1624"/>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1" customFormat="1">
      <c r="A108" s="1348"/>
      <c r="B108" s="1320">
        <f>B38</f>
        <v>111</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估价对象为北京市房地产，为所有。根据《国有土地使用证》[]，估价对象（分摊）出让国有建设用地使用权面积为0平方米，建筑面积为20276.49平方米。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估价对象为北京市房地产,属开发建设的，该项目尚在开发建设中。根据《国有土地使用证》[]，估价对象（分摊）出让国有建设用地使用权面积为0平方米，规划建筑面积为20276.49平方米。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2023年6月1日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1590</v>
      </c>
      <c r="C1" s="1449" t="s">
        <v>990</v>
      </c>
      <c r="D1" s="1450"/>
      <c r="E1" s="1451"/>
      <c r="F1" s="1452"/>
      <c r="G1" s="1527" t="s">
        <v>993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8" customFormat="1" ht="28.5" customHeight="1">
      <c r="A2" s="1455" t="s">
        <v>994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561"/>
      <c r="Q2" s="1231"/>
      <c r="R2" s="1231"/>
      <c r="S2" s="1231"/>
      <c r="T2" s="1231"/>
      <c r="U2" s="1231"/>
      <c r="V2" s="1231"/>
      <c r="W2" s="1231"/>
      <c r="X2" s="1231"/>
      <c r="Y2" s="1231"/>
      <c r="Z2" s="1231"/>
      <c r="AA2" s="1231"/>
      <c r="AB2" s="1231"/>
      <c r="AC2" s="1291"/>
    </row>
    <row r="3" spans="1:29" s="1068" customFormat="1" ht="28.5" customHeight="1">
      <c r="A3" s="381" t="s">
        <v>996</v>
      </c>
      <c r="B3" s="1086" t="e">
        <f>IF(AND(C2="——",B37="元/平方米"),C39,ROUND(B2*10000/D3,0))</f>
        <v>#DIV/0!</v>
      </c>
      <c r="C3" s="1460" t="s">
        <v>997</v>
      </c>
      <c r="D3" s="1461">
        <f>SUMIF('数据-汇总表'!$C19:$C33,D1,'数据-汇总表'!$E19:$E33)</f>
        <v>0</v>
      </c>
      <c r="E3" s="1460" t="s">
        <v>1591</v>
      </c>
      <c r="F3" s="1461">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1"/>
      <c r="Q3" s="1231"/>
      <c r="R3" s="1231"/>
      <c r="S3" s="1231"/>
      <c r="T3" s="1231"/>
      <c r="U3" s="1231"/>
      <c r="V3" s="1231"/>
      <c r="W3" s="1231"/>
      <c r="X3" s="1231"/>
      <c r="Y3" s="1231"/>
      <c r="Z3" s="1231"/>
      <c r="AA3" s="1231"/>
      <c r="AB3" s="1292"/>
      <c r="AC3" s="1293"/>
    </row>
    <row r="4" spans="1:29" ht="15">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ht="15">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55"/>
      <c r="AC5" s="3655"/>
    </row>
    <row r="6" spans="1:29" ht="15">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56"/>
      <c r="AC6" s="3656"/>
    </row>
    <row r="7" spans="1:29" s="1069" customFormat="1" ht="15">
      <c r="A7" s="1094" t="s">
        <v>1011</v>
      </c>
      <c r="B7" s="1095"/>
      <c r="C7" s="1096">
        <f>'数据-取费表'!B2</f>
        <v>45078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7" t="s">
        <v>1012</v>
      </c>
      <c r="Q7" s="3636"/>
      <c r="R7" s="1280" t="s">
        <v>1013</v>
      </c>
      <c r="S7" s="1281">
        <f t="shared" ref="S7:S14" si="0">F7</f>
        <v>0</v>
      </c>
      <c r="T7" s="1280" t="s">
        <v>1013</v>
      </c>
      <c r="U7" s="1281">
        <f t="shared" ref="U7:U14" si="1">H7</f>
        <v>0</v>
      </c>
      <c r="V7" s="1280" t="s">
        <v>1013</v>
      </c>
      <c r="W7" s="1281">
        <f t="shared" ref="W7:W14" si="2">J7</f>
        <v>0</v>
      </c>
      <c r="X7" s="1282"/>
      <c r="Y7" s="3637" t="s">
        <v>1012</v>
      </c>
      <c r="Z7" s="3638"/>
      <c r="AA7" s="1294" t="e">
        <f>D7/F7</f>
        <v>#DIV/0!</v>
      </c>
      <c r="AB7" s="1294" t="e">
        <f>D7/H7</f>
        <v>#DIV/0!</v>
      </c>
      <c r="AC7" s="1294" t="e">
        <f>D7/J7</f>
        <v>#DIV/0!</v>
      </c>
    </row>
    <row r="8" spans="1:29" s="1069" customFormat="1" ht="15">
      <c r="A8" s="1094" t="s">
        <v>1014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36" si="3">D8/F8</f>
        <v>1</v>
      </c>
      <c r="AB8" s="1294">
        <f t="shared" ref="AB8:AB36" si="4">D8/H8</f>
        <v>1</v>
      </c>
      <c r="AC8" s="1294">
        <f t="shared" ref="AC8:AC36" si="5">D8/J8</f>
        <v>1</v>
      </c>
    </row>
    <row r="9" spans="1:29" s="1069" customFormat="1">
      <c r="A9" s="1529" t="s">
        <v>1016</v>
      </c>
      <c r="B9" s="1530" t="s">
        <v>1017</v>
      </c>
      <c r="C9" s="1462"/>
      <c r="D9" s="1105">
        <v>100</v>
      </c>
      <c r="E9" s="1463"/>
      <c r="F9" s="1105">
        <f>SUMIF(53:53,E9,54:54)-SUMIF(53:53,C9,54:54)+100</f>
        <v>100</v>
      </c>
      <c r="G9" s="1531"/>
      <c r="H9" s="1105">
        <f>SUMIF(53:53,G9,54:54)-SUMIF(53:53,C9,54:54)+100</f>
        <v>100</v>
      </c>
      <c r="I9" s="1531"/>
      <c r="J9" s="1105">
        <f>SUMIF(53:53,I9,54:54)-SUMIF(53:53,C9,54:54)+100</f>
        <v>100</v>
      </c>
      <c r="K9" s="1238"/>
      <c r="L9" s="1239"/>
      <c r="M9" s="1240"/>
      <c r="N9" s="1240"/>
      <c r="O9" s="1240"/>
      <c r="P9" s="3640" t="s">
        <v>1018</v>
      </c>
      <c r="Q9" s="1284" t="str">
        <f t="shared" ref="Q9:Q14" si="6">B9</f>
        <v>用途</v>
      </c>
      <c r="R9" s="1280" t="s">
        <v>1013</v>
      </c>
      <c r="S9" s="1281">
        <f t="shared" si="0"/>
        <v>100</v>
      </c>
      <c r="T9" s="1280" t="s">
        <v>1013</v>
      </c>
      <c r="U9" s="1281">
        <f t="shared" si="1"/>
        <v>100</v>
      </c>
      <c r="V9" s="1280" t="s">
        <v>1013</v>
      </c>
      <c r="W9" s="1281">
        <f t="shared" si="2"/>
        <v>100</v>
      </c>
      <c r="X9" s="1282"/>
      <c r="Y9" s="3617" t="s">
        <v>1019</v>
      </c>
      <c r="Z9" s="1295" t="str">
        <f t="shared" ref="Z9:Z14" si="7">Q9</f>
        <v>用途</v>
      </c>
      <c r="AA9" s="1294">
        <f t="shared" si="3"/>
        <v>1</v>
      </c>
      <c r="AB9" s="1294">
        <f t="shared" si="4"/>
        <v>1</v>
      </c>
      <c r="AC9" s="1294">
        <f t="shared" si="5"/>
        <v>1</v>
      </c>
    </row>
    <row r="10" spans="1:29" s="1070" customFormat="1" ht="27">
      <c r="A10" s="1532"/>
      <c r="B10" s="1533" t="s">
        <v>1020</v>
      </c>
      <c r="C10" s="1465"/>
      <c r="D10" s="1109">
        <v>100</v>
      </c>
      <c r="E10" s="1465"/>
      <c r="F10" s="1109">
        <f>SUMIF(55:55,E10,56:56)-SUMIF(55:55,C10,56:56)+100</f>
        <v>100</v>
      </c>
      <c r="G10" s="1534"/>
      <c r="H10" s="1109">
        <f>SUMIF(55:55,G10,56:56)-SUMIF(55:55,C10,56:56)+100</f>
        <v>100</v>
      </c>
      <c r="I10" s="1465"/>
      <c r="J10" s="1109">
        <f>SUMIF(55:55,I10,56:56)-SUMIF(55:55,C10,56:56)+100</f>
        <v>100</v>
      </c>
      <c r="K10" s="1238"/>
      <c r="L10" s="1243"/>
      <c r="M10" s="1244"/>
      <c r="N10" s="1244"/>
      <c r="O10" s="1244"/>
      <c r="P10" s="3640"/>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535"/>
      <c r="B11" s="1536">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0"/>
      <c r="Q11" s="1284">
        <f t="shared" si="6"/>
        <v>111</v>
      </c>
      <c r="R11" s="1280" t="s">
        <v>1013</v>
      </c>
      <c r="S11" s="1281">
        <f t="shared" si="0"/>
        <v>100</v>
      </c>
      <c r="T11" s="1280" t="s">
        <v>1013</v>
      </c>
      <c r="U11" s="1281">
        <f t="shared" si="1"/>
        <v>100</v>
      </c>
      <c r="V11" s="1280" t="s">
        <v>1013</v>
      </c>
      <c r="W11" s="1281">
        <f t="shared" si="2"/>
        <v>100</v>
      </c>
      <c r="X11" s="1282"/>
      <c r="Y11" s="3617"/>
      <c r="Z11" s="1295">
        <f t="shared" si="7"/>
        <v>111</v>
      </c>
      <c r="AA11" s="1294">
        <f t="shared" si="3"/>
        <v>1</v>
      </c>
      <c r="AB11" s="1294">
        <f t="shared" si="4"/>
        <v>1</v>
      </c>
      <c r="AC11" s="1294">
        <f t="shared" si="5"/>
        <v>1</v>
      </c>
    </row>
    <row r="12" spans="1:29" s="1069" customFormat="1" ht="15">
      <c r="A12" s="1537"/>
      <c r="B12" s="1536">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538"/>
      <c r="B13" s="1536">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85.5">
      <c r="A14" s="1088" t="s">
        <v>1022</v>
      </c>
      <c r="B14" s="1125" t="s">
        <v>1025</v>
      </c>
      <c r="C14" s="1126" t="str">
        <f>IF(B1="工业",估价对象房地状况!G4,估价对象房地状况!C6)</f>
        <v>估价对象周边道路状况、公共交通通达情况、停车便捷程度，综合评价交通便捷度较好</v>
      </c>
      <c r="D14" s="1127">
        <v>100</v>
      </c>
      <c r="E14" s="1128"/>
      <c r="F14" s="1469">
        <f>SUMIF(63:63,E15,64:64)-SUMIF(63:63,C15,64:64)+100</f>
        <v>100</v>
      </c>
      <c r="G14" s="1250"/>
      <c r="H14" s="1127">
        <f>SUMIF(63:63,G15,64:64)-SUMIF(63:63,C15,64:64)+100</f>
        <v>100</v>
      </c>
      <c r="I14" s="1128"/>
      <c r="J14" s="1127">
        <f>SUMIF(63:63,I15,64:64)-SUMIF(63:63,C15,64:64)+100</f>
        <v>100</v>
      </c>
      <c r="K14" s="1508"/>
      <c r="L14" s="1249"/>
      <c r="M14" s="1237"/>
      <c r="N14" s="1237"/>
      <c r="O14" s="1237"/>
      <c r="P14" s="3647" t="s">
        <v>1024</v>
      </c>
      <c r="Q14" s="664" t="str">
        <f t="shared" si="6"/>
        <v>交通便捷度</v>
      </c>
      <c r="R14" s="1285" t="s">
        <v>1013</v>
      </c>
      <c r="S14" s="1286">
        <f t="shared" si="0"/>
        <v>100</v>
      </c>
      <c r="T14" s="1285" t="s">
        <v>1013</v>
      </c>
      <c r="U14" s="1286">
        <f t="shared" si="1"/>
        <v>100</v>
      </c>
      <c r="V14" s="1285" t="s">
        <v>1013</v>
      </c>
      <c r="W14" s="1286">
        <f t="shared" si="2"/>
        <v>100</v>
      </c>
      <c r="X14" s="1279"/>
      <c r="Y14" s="3647" t="s">
        <v>1024</v>
      </c>
      <c r="Z14" s="1269" t="str">
        <f t="shared" si="7"/>
        <v>交通便捷度</v>
      </c>
      <c r="AA14" s="1296">
        <f t="shared" si="3"/>
        <v>1</v>
      </c>
      <c r="AB14" s="1296">
        <f t="shared" si="4"/>
        <v>1</v>
      </c>
      <c r="AC14" s="1296">
        <f t="shared" si="5"/>
        <v>1</v>
      </c>
    </row>
    <row r="15" spans="1:29" ht="15">
      <c r="A15" s="1090"/>
      <c r="B15" s="1539"/>
      <c r="C15" s="1130"/>
      <c r="D15" s="1131"/>
      <c r="E15" s="1130"/>
      <c r="F15" s="1470"/>
      <c r="G15" s="1130"/>
      <c r="H15" s="1133"/>
      <c r="I15" s="1130"/>
      <c r="J15" s="1131"/>
      <c r="K15" s="1509"/>
      <c r="L15" s="1249"/>
      <c r="M15" s="1237"/>
      <c r="N15" s="1237"/>
      <c r="O15" s="1237"/>
      <c r="P15" s="3648"/>
      <c r="Q15" s="664"/>
      <c r="R15" s="1285"/>
      <c r="S15" s="1286"/>
      <c r="T15" s="1285"/>
      <c r="U15" s="1286"/>
      <c r="V15" s="1285"/>
      <c r="W15" s="1286"/>
      <c r="X15" s="1279"/>
      <c r="Y15" s="3648"/>
      <c r="Z15" s="1269"/>
      <c r="AA15" s="1296">
        <v>1</v>
      </c>
      <c r="AB15" s="1296">
        <v>1</v>
      </c>
      <c r="AC15" s="1296">
        <v>1</v>
      </c>
    </row>
    <row r="16" spans="1:29" ht="42.75">
      <c r="A16" s="1090"/>
      <c r="B16" s="1134" t="s">
        <v>1026</v>
      </c>
      <c r="C16" s="1135" t="str">
        <f>IF(B1="工业",估价对象房地状况!G5,估价对象房地状况!C7)</f>
        <v>估价对象所在区域公共配套设施齐备情况</v>
      </c>
      <c r="D16" s="1137">
        <v>100</v>
      </c>
      <c r="E16" s="1423"/>
      <c r="F16" s="1471">
        <f>SUMIF(65:65,E17,66:66)-SUMIF(65:65,C17,66:66)+100</f>
        <v>100</v>
      </c>
      <c r="G16" s="1431"/>
      <c r="H16" s="1137">
        <f>SUMIF(65:65,G17,66:66)-SUMIF(65:65,C17,66:66)+100</f>
        <v>100</v>
      </c>
      <c r="I16" s="1423"/>
      <c r="J16" s="1137">
        <f>SUMIF(65:65,I17,66:66)-SUMIF(65:65,C17,66:66)+100</f>
        <v>100</v>
      </c>
      <c r="K16" s="1508"/>
      <c r="L16" s="1249"/>
      <c r="M16" s="1237"/>
      <c r="N16" s="1237"/>
      <c r="O16" s="1237"/>
      <c r="P16" s="3648"/>
      <c r="Q16" s="664" t="str">
        <f>B16</f>
        <v>公共配套设施</v>
      </c>
      <c r="R16" s="1285" t="s">
        <v>1013</v>
      </c>
      <c r="S16" s="1286">
        <f>F16</f>
        <v>100</v>
      </c>
      <c r="T16" s="1285" t="s">
        <v>1013</v>
      </c>
      <c r="U16" s="1286">
        <f>H16</f>
        <v>100</v>
      </c>
      <c r="V16" s="1285" t="s">
        <v>1013</v>
      </c>
      <c r="W16" s="1286">
        <f>J16</f>
        <v>100</v>
      </c>
      <c r="X16" s="1279"/>
      <c r="Y16" s="3648"/>
      <c r="Z16" s="1269" t="str">
        <f>Q16</f>
        <v>公共配套设施</v>
      </c>
      <c r="AA16" s="1296">
        <f t="shared" si="3"/>
        <v>1</v>
      </c>
      <c r="AB16" s="1296">
        <f t="shared" si="4"/>
        <v>1</v>
      </c>
      <c r="AC16" s="1296">
        <f t="shared" si="5"/>
        <v>1</v>
      </c>
    </row>
    <row r="17" spans="1:29" ht="15">
      <c r="A17" s="1090"/>
      <c r="B17" s="1138"/>
      <c r="C17" s="1421"/>
      <c r="D17" s="1131"/>
      <c r="E17" s="1130"/>
      <c r="F17" s="1470"/>
      <c r="G17" s="1130"/>
      <c r="H17" s="1131"/>
      <c r="I17" s="1130"/>
      <c r="J17" s="1131"/>
      <c r="K17" s="1509"/>
      <c r="L17" s="1249"/>
      <c r="M17" s="1237"/>
      <c r="N17" s="1237"/>
      <c r="O17" s="1237"/>
      <c r="P17" s="3648"/>
      <c r="Q17" s="664"/>
      <c r="R17" s="1285"/>
      <c r="S17" s="1286"/>
      <c r="T17" s="1285"/>
      <c r="U17" s="1286"/>
      <c r="V17" s="1285"/>
      <c r="W17" s="1286"/>
      <c r="X17" s="1279"/>
      <c r="Y17" s="3648"/>
      <c r="Z17" s="1269"/>
      <c r="AA17" s="1296">
        <v>1</v>
      </c>
      <c r="AB17" s="1296">
        <v>1</v>
      </c>
      <c r="AC17" s="1296">
        <v>1</v>
      </c>
    </row>
    <row r="18" spans="1:29" ht="28.5">
      <c r="A18" s="1090"/>
      <c r="B18" s="1141" t="s">
        <v>1027</v>
      </c>
      <c r="C18" s="1135" t="str">
        <f>IF(B1="工业",估价对象房地状况!G6,估价对象房地状况!C8)</f>
        <v>估价对象所在区域基础设施水平</v>
      </c>
      <c r="D18" s="1133">
        <v>100</v>
      </c>
      <c r="E18" s="1136"/>
      <c r="F18" s="1471">
        <f>SUMIF(67:67,E19,68:68)-SUMIF(67:67,C19,68:68)+100</f>
        <v>100</v>
      </c>
      <c r="G18" s="1251"/>
      <c r="H18" s="1137">
        <f>SUMIF(67:67,G19,68:68)-SUMIF(67:67,C19,68:68)+100</f>
        <v>100</v>
      </c>
      <c r="I18" s="1136"/>
      <c r="J18" s="1137">
        <f>SUMIF(67:67,I19,68:68)-SUMIF(67:67,C19,68:68)+100</f>
        <v>100</v>
      </c>
      <c r="K18" s="1508"/>
      <c r="L18" s="1249"/>
      <c r="M18" s="1237"/>
      <c r="N18" s="1237"/>
      <c r="O18" s="1237"/>
      <c r="P18" s="3648"/>
      <c r="Q18" s="664" t="str">
        <f>B18</f>
        <v>基础设施水平</v>
      </c>
      <c r="R18" s="1285" t="s">
        <v>1013</v>
      </c>
      <c r="S18" s="1286">
        <f>F18</f>
        <v>100</v>
      </c>
      <c r="T18" s="1285" t="s">
        <v>1013</v>
      </c>
      <c r="U18" s="1286">
        <f>H18</f>
        <v>100</v>
      </c>
      <c r="V18" s="1285" t="s">
        <v>1013</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2"/>
      <c r="G19" s="1421"/>
      <c r="H19" s="1131"/>
      <c r="I19" s="1130"/>
      <c r="J19" s="1131"/>
      <c r="K19" s="1510"/>
      <c r="L19" s="1249"/>
      <c r="M19" s="1237"/>
      <c r="N19" s="1237"/>
      <c r="O19" s="1237"/>
      <c r="P19" s="3648"/>
      <c r="Q19" s="664"/>
      <c r="R19" s="1285"/>
      <c r="S19" s="1286"/>
      <c r="T19" s="1285"/>
      <c r="U19" s="1286"/>
      <c r="V19" s="1285"/>
      <c r="W19" s="1286"/>
      <c r="X19" s="1279"/>
      <c r="Y19" s="3648"/>
      <c r="Z19" s="1269"/>
      <c r="AA19" s="1296">
        <v>1</v>
      </c>
      <c r="AB19" s="1296">
        <v>1</v>
      </c>
      <c r="AC19" s="1296">
        <v>1</v>
      </c>
    </row>
    <row r="20" spans="1:29" ht="57">
      <c r="A20" s="1090"/>
      <c r="B20" s="1134" t="s">
        <v>1551</v>
      </c>
      <c r="C20" s="1135" t="str">
        <f>IF(B1="工业",估价对象房地状况!G7,估价对象房地状况!C9)</f>
        <v>区域自然环境：；人文环境；综合评价环境状况一般</v>
      </c>
      <c r="D20" s="1137">
        <v>100</v>
      </c>
      <c r="E20" s="1423"/>
      <c r="F20" s="1471">
        <f>SUMIF(69:69,E21,70:70)-SUMIF(69:69,C21,70:70)+100</f>
        <v>100</v>
      </c>
      <c r="G20" s="1431"/>
      <c r="H20" s="1133">
        <f>SUMIF(69:69,G21,70:70)-SUMIF(69:69,C21,70:70)+100</f>
        <v>100</v>
      </c>
      <c r="I20" s="1136"/>
      <c r="J20" s="1133">
        <f>SUMIF(69:69,I21,70:70)-SUMIF(69:69,C21,70:70)+100</f>
        <v>100</v>
      </c>
      <c r="K20" s="1508"/>
      <c r="L20" s="1249"/>
      <c r="M20" s="1237"/>
      <c r="N20" s="1237"/>
      <c r="O20" s="1237"/>
      <c r="P20" s="3648"/>
      <c r="Q20" s="664" t="str">
        <f>B20</f>
        <v>自然及人文环境</v>
      </c>
      <c r="R20" s="1285" t="s">
        <v>1013</v>
      </c>
      <c r="S20" s="1286">
        <f>F20</f>
        <v>100</v>
      </c>
      <c r="T20" s="1285" t="s">
        <v>1013</v>
      </c>
      <c r="U20" s="1286">
        <f>H20</f>
        <v>100</v>
      </c>
      <c r="V20" s="1285" t="s">
        <v>1013</v>
      </c>
      <c r="W20" s="1286">
        <f>J20</f>
        <v>100</v>
      </c>
      <c r="X20" s="1279"/>
      <c r="Y20" s="3648"/>
      <c r="Z20" s="1269" t="str">
        <f>Q20</f>
        <v>自然及人文环境</v>
      </c>
      <c r="AA20" s="1296">
        <f t="shared" si="3"/>
        <v>1</v>
      </c>
      <c r="AB20" s="1296">
        <f t="shared" si="4"/>
        <v>1</v>
      </c>
      <c r="AC20" s="1296">
        <f t="shared" si="5"/>
        <v>1</v>
      </c>
    </row>
    <row r="21" spans="1:29" ht="15">
      <c r="A21" s="1090"/>
      <c r="B21" s="1138"/>
      <c r="C21" s="1130"/>
      <c r="D21" s="1131"/>
      <c r="E21" s="1130"/>
      <c r="F21" s="1470"/>
      <c r="G21" s="1130"/>
      <c r="H21" s="1131"/>
      <c r="I21" s="1130"/>
      <c r="J21" s="1131"/>
      <c r="K21" s="1509"/>
      <c r="L21" s="1249"/>
      <c r="M21" s="1237"/>
      <c r="N21" s="1237"/>
      <c r="O21" s="1237"/>
      <c r="P21" s="3648"/>
      <c r="Q21" s="664"/>
      <c r="R21" s="1285"/>
      <c r="S21" s="1286"/>
      <c r="T21" s="1285"/>
      <c r="U21" s="1286"/>
      <c r="V21" s="1285"/>
      <c r="W21" s="1286"/>
      <c r="X21" s="1279"/>
      <c r="Y21" s="3648"/>
      <c r="Z21" s="1269"/>
      <c r="AA21" s="1296">
        <v>1</v>
      </c>
      <c r="AB21" s="1296">
        <v>1</v>
      </c>
      <c r="AC21" s="1296">
        <v>1</v>
      </c>
    </row>
    <row r="22" spans="1:29" ht="15">
      <c r="A22" s="1090"/>
      <c r="B22" s="1134" t="s">
        <v>1030</v>
      </c>
      <c r="C22" s="1144"/>
      <c r="D22" s="1133">
        <v>100</v>
      </c>
      <c r="E22" s="1144"/>
      <c r="F22" s="1473">
        <f>SUMIF(71:71,E22,72:72)-SUMIF(71:71,C22,72:72)+100</f>
        <v>100</v>
      </c>
      <c r="G22" s="1144"/>
      <c r="H22" s="1119">
        <f>SUMIF(71:71,G22,72:72)-SUMIF(71:71,C22,72:72)+100</f>
        <v>100</v>
      </c>
      <c r="I22" s="1144"/>
      <c r="J22" s="1119">
        <f>SUMIF(71:71,I22,72:72)-SUMIF(71:71,C22,72:72)+100</f>
        <v>100</v>
      </c>
      <c r="K22" s="1255"/>
      <c r="L22" s="1249"/>
      <c r="M22" s="1237"/>
      <c r="N22" s="1237"/>
      <c r="O22" s="1237"/>
      <c r="P22" s="3648"/>
      <c r="Q22" s="664" t="str">
        <f>B22</f>
        <v>楼层</v>
      </c>
      <c r="R22" s="1285" t="s">
        <v>1013</v>
      </c>
      <c r="S22" s="1286">
        <f>F22</f>
        <v>100</v>
      </c>
      <c r="T22" s="1285" t="s">
        <v>1013</v>
      </c>
      <c r="U22" s="1286">
        <f>H22</f>
        <v>100</v>
      </c>
      <c r="V22" s="1285" t="s">
        <v>1013</v>
      </c>
      <c r="W22" s="1286">
        <f>J22</f>
        <v>100</v>
      </c>
      <c r="X22" s="1279"/>
      <c r="Y22" s="3648"/>
      <c r="Z22" s="1269" t="str">
        <f>Q22</f>
        <v>楼层</v>
      </c>
      <c r="AA22" s="1296">
        <f t="shared" si="3"/>
        <v>1</v>
      </c>
      <c r="AB22" s="1296">
        <f t="shared" si="4"/>
        <v>1</v>
      </c>
      <c r="AC22" s="1296">
        <f t="shared" si="5"/>
        <v>1</v>
      </c>
    </row>
    <row r="23" spans="1:29" ht="15">
      <c r="A23" s="1090"/>
      <c r="B23" s="1540">
        <v>111</v>
      </c>
      <c r="C23" s="1108"/>
      <c r="D23" s="1119">
        <v>100</v>
      </c>
      <c r="E23" s="1108"/>
      <c r="F23" s="1473">
        <f>SUMIF(73:73,E23,74:74)-SUMIF(73:73,C23,74:74)+100</f>
        <v>100</v>
      </c>
      <c r="G23" s="1108"/>
      <c r="H23" s="1119">
        <f>SUMIF(73:73,G23,74:74)-SUMIF(73:73,C23,74:74)+100</f>
        <v>100</v>
      </c>
      <c r="I23" s="1108"/>
      <c r="J23" s="1119">
        <f>SUMIF(73:73,I23,74:74)-SUMIF(73:73,C23,74:74)+100</f>
        <v>100</v>
      </c>
      <c r="K23" s="1254"/>
      <c r="L23" s="1249"/>
      <c r="M23" s="1237"/>
      <c r="N23" s="1237"/>
      <c r="O23" s="1237"/>
      <c r="P23" s="3648"/>
      <c r="Q23" s="664">
        <f>B23</f>
        <v>111</v>
      </c>
      <c r="R23" s="1285" t="s">
        <v>1013</v>
      </c>
      <c r="S23" s="1286">
        <f>F23</f>
        <v>100</v>
      </c>
      <c r="T23" s="1285" t="s">
        <v>1013</v>
      </c>
      <c r="U23" s="1286">
        <f>H23</f>
        <v>100</v>
      </c>
      <c r="V23" s="1285" t="s">
        <v>1013</v>
      </c>
      <c r="W23" s="1286">
        <f>J23</f>
        <v>100</v>
      </c>
      <c r="X23" s="1279"/>
      <c r="Y23" s="3648"/>
      <c r="Z23" s="1269">
        <f>Q23</f>
        <v>111</v>
      </c>
      <c r="AA23" s="1296">
        <f t="shared" si="3"/>
        <v>1</v>
      </c>
      <c r="AB23" s="1296">
        <f t="shared" si="4"/>
        <v>1</v>
      </c>
      <c r="AC23" s="1296">
        <f t="shared" si="5"/>
        <v>1</v>
      </c>
    </row>
    <row r="24" spans="1:29" ht="15">
      <c r="A24" s="1090"/>
      <c r="B24" s="1540">
        <v>111</v>
      </c>
      <c r="C24" s="1108"/>
      <c r="D24" s="1119">
        <v>100</v>
      </c>
      <c r="E24" s="1108"/>
      <c r="F24" s="1473">
        <f>SUMIF(75:75,E24,76:76)-SUMIF(75:75,C24,76:76)+100</f>
        <v>100</v>
      </c>
      <c r="G24" s="1108"/>
      <c r="H24" s="1119">
        <f>SUMIF(75:75,G24,76:76)-SUMIF(75:75,C24,76:76)+100</f>
        <v>100</v>
      </c>
      <c r="I24" s="1108"/>
      <c r="J24" s="1119">
        <f>SUMIF(75:75,I24,76:76)-SUMIF(75:75,C24,76:76)+100</f>
        <v>100</v>
      </c>
      <c r="K24" s="1254"/>
      <c r="L24" s="1249"/>
      <c r="M24" s="1237"/>
      <c r="N24" s="1237"/>
      <c r="O24" s="1237"/>
      <c r="P24" s="3648"/>
      <c r="Q24" s="664">
        <f t="shared" ref="Q24:Q36" si="11">B24</f>
        <v>111</v>
      </c>
      <c r="R24" s="1285" t="s">
        <v>1013</v>
      </c>
      <c r="S24" s="1286">
        <f>F24</f>
        <v>100</v>
      </c>
      <c r="T24" s="1285" t="s">
        <v>1013</v>
      </c>
      <c r="U24" s="1286">
        <f>H24</f>
        <v>100</v>
      </c>
      <c r="V24" s="1285" t="s">
        <v>1013</v>
      </c>
      <c r="W24" s="1286">
        <f>J24</f>
        <v>100</v>
      </c>
      <c r="X24" s="1279"/>
      <c r="Y24" s="3648"/>
      <c r="Z24" s="1269">
        <f>Q24</f>
        <v>111</v>
      </c>
      <c r="AA24" s="1296">
        <f t="shared" si="3"/>
        <v>1</v>
      </c>
      <c r="AB24" s="1296">
        <f t="shared" si="4"/>
        <v>1</v>
      </c>
      <c r="AC24" s="1296">
        <f t="shared" si="5"/>
        <v>1</v>
      </c>
    </row>
    <row r="25" spans="1:29" s="1069" customFormat="1" ht="15">
      <c r="A25" s="1140"/>
      <c r="B25" s="1541">
        <v>111</v>
      </c>
      <c r="C25" s="1122"/>
      <c r="D25" s="1542">
        <v>100</v>
      </c>
      <c r="E25" s="1543"/>
      <c r="F25" s="1544">
        <f>SUMIF(77:77,E25,78:78)-SUMIF(77:77,C25,78:78)+100</f>
        <v>100</v>
      </c>
      <c r="G25" s="1543"/>
      <c r="H25" s="1542">
        <f>SUMIF(77:77,G25,78:78)-SUMIF(77:77,C25,78:78)+100</f>
        <v>100</v>
      </c>
      <c r="I25" s="1543"/>
      <c r="J25" s="1542">
        <f>SUMIF(77:77,I25,78:78)-SUMIF(77:77,C25,78:78)+100</f>
        <v>100</v>
      </c>
      <c r="K25" s="1254"/>
      <c r="L25" s="1239"/>
      <c r="M25" s="1240"/>
      <c r="N25" s="1240"/>
      <c r="O25" s="1240"/>
      <c r="P25" s="3648"/>
      <c r="Q25" s="1284">
        <f t="shared" si="11"/>
        <v>111</v>
      </c>
      <c r="R25" s="1280" t="s">
        <v>1013</v>
      </c>
      <c r="S25" s="1281">
        <f>F25</f>
        <v>100</v>
      </c>
      <c r="T25" s="1280" t="s">
        <v>1013</v>
      </c>
      <c r="U25" s="1281">
        <f>H25</f>
        <v>100</v>
      </c>
      <c r="V25" s="1280" t="s">
        <v>1013</v>
      </c>
      <c r="W25" s="1281">
        <f>J25</f>
        <v>100</v>
      </c>
      <c r="X25" s="1282"/>
      <c r="Y25" s="3648"/>
      <c r="Z25" s="1295">
        <f>Q25</f>
        <v>111</v>
      </c>
      <c r="AA25" s="1296">
        <f t="shared" si="3"/>
        <v>1</v>
      </c>
      <c r="AB25" s="1296">
        <f t="shared" si="4"/>
        <v>1</v>
      </c>
      <c r="AC25" s="1296">
        <f t="shared" si="5"/>
        <v>1</v>
      </c>
    </row>
    <row r="26" spans="1:29" ht="28.5">
      <c r="A26" s="1545" t="s">
        <v>1032</v>
      </c>
      <c r="B26" s="1546" t="s">
        <v>1592</v>
      </c>
      <c r="C26" s="1547" t="str">
        <f>B1</f>
        <v>车库</v>
      </c>
      <c r="D26" s="1131">
        <v>100</v>
      </c>
      <c r="E26" s="1130"/>
      <c r="F26" s="1470">
        <f>SUMIF(79:79,E26,80:80)-SUMIF(79:79,C26,80:80)+100</f>
        <v>0</v>
      </c>
      <c r="G26" s="1130"/>
      <c r="H26" s="1131">
        <f>SUMIF(79:79,G26,80:80)-SUMIF(79:79,C26,80:80)+100</f>
        <v>0</v>
      </c>
      <c r="I26" s="1130"/>
      <c r="J26" s="1131">
        <f>SUMIF(79:79,I26,80:80)-SUMIF(79:79,C26,80:80)+100</f>
        <v>0</v>
      </c>
      <c r="K26" s="1255"/>
      <c r="L26" s="1249"/>
      <c r="M26" s="1237"/>
      <c r="N26" s="1237"/>
      <c r="O26" s="1237"/>
      <c r="P26" s="3713" t="s">
        <v>1034</v>
      </c>
      <c r="Q26" s="664" t="str">
        <f t="shared" si="11"/>
        <v>配套类型</v>
      </c>
      <c r="R26" s="1285" t="s">
        <v>1013</v>
      </c>
      <c r="S26" s="1286">
        <f t="shared" ref="S26:S36" si="12">F26</f>
        <v>0</v>
      </c>
      <c r="T26" s="1285" t="s">
        <v>1013</v>
      </c>
      <c r="U26" s="1286">
        <f t="shared" ref="U26:U36" si="13">H26</f>
        <v>0</v>
      </c>
      <c r="V26" s="1285" t="s">
        <v>1013</v>
      </c>
      <c r="W26" s="1286">
        <f t="shared" ref="W26:W36" si="14">J26</f>
        <v>0</v>
      </c>
      <c r="X26" s="1279"/>
      <c r="Y26" s="3649" t="s">
        <v>1034</v>
      </c>
      <c r="Z26" s="1269" t="str">
        <f t="shared" ref="Z26:Z36" si="15">Q26</f>
        <v>配套类型</v>
      </c>
      <c r="AA26" s="1296" t="e">
        <f t="shared" si="3"/>
        <v>#DIV/0!</v>
      </c>
      <c r="AB26" s="1296" t="e">
        <f t="shared" si="4"/>
        <v>#DIV/0!</v>
      </c>
      <c r="AC26" s="1296" t="e">
        <f t="shared" si="5"/>
        <v>#DIV/0!</v>
      </c>
    </row>
    <row r="27" spans="1:29" s="1071" customFormat="1" ht="15">
      <c r="A27" s="1548"/>
      <c r="B27" s="1147" t="s">
        <v>1593</v>
      </c>
      <c r="C27" s="1549"/>
      <c r="D27" s="1109">
        <v>100</v>
      </c>
      <c r="E27" s="1549"/>
      <c r="F27" s="1473">
        <f>SUMIF(81:81,E27,82:82)-SUMIF(81:81,C27,82:82)+100</f>
        <v>100</v>
      </c>
      <c r="G27" s="1549"/>
      <c r="H27" s="1119">
        <f>SUMIF(81:81,G27,82:82)-SUMIF(81:81,C27,82:82)+100</f>
        <v>100</v>
      </c>
      <c r="I27" s="1549"/>
      <c r="J27" s="1119">
        <f>SUMIF(81:81,I27,82:82)-SUMIF(81:81,C27,82:82)+100</f>
        <v>100</v>
      </c>
      <c r="K27" s="1254"/>
      <c r="L27" s="1247"/>
      <c r="M27" s="1256"/>
      <c r="N27" s="1256"/>
      <c r="O27" s="1256"/>
      <c r="P27" s="3649"/>
      <c r="Q27" s="1512" t="str">
        <f t="shared" si="11"/>
        <v>项目停车位配比</v>
      </c>
      <c r="R27" s="1287" t="s">
        <v>1013</v>
      </c>
      <c r="S27" s="1288">
        <f t="shared" si="12"/>
        <v>100</v>
      </c>
      <c r="T27" s="1287" t="s">
        <v>1013</v>
      </c>
      <c r="U27" s="1288">
        <f t="shared" si="13"/>
        <v>100</v>
      </c>
      <c r="V27" s="1287" t="s">
        <v>1013</v>
      </c>
      <c r="W27" s="1288">
        <f t="shared" si="14"/>
        <v>100</v>
      </c>
      <c r="X27" s="1289"/>
      <c r="Y27" s="3649"/>
      <c r="Z27" s="1297" t="str">
        <f t="shared" si="15"/>
        <v>项目停车位配比</v>
      </c>
      <c r="AA27" s="1296">
        <f t="shared" si="3"/>
        <v>1</v>
      </c>
      <c r="AB27" s="1296">
        <f t="shared" si="4"/>
        <v>1</v>
      </c>
      <c r="AC27" s="1296">
        <f t="shared" si="5"/>
        <v>1</v>
      </c>
    </row>
    <row r="28" spans="1:29" ht="15">
      <c r="A28" s="1550"/>
      <c r="B28" s="1147" t="s">
        <v>1037</v>
      </c>
      <c r="C28" s="1483"/>
      <c r="D28" s="1119">
        <v>100</v>
      </c>
      <c r="E28" s="1483"/>
      <c r="F28" s="1473">
        <f>SUMIF(83:83,E28,84:84)-SUMIF(83:83,C28,84:84)+100</f>
        <v>100</v>
      </c>
      <c r="G28" s="1483"/>
      <c r="H28" s="1119">
        <f>SUMIF(83:83,G28,84:84)-SUMIF(83:83,C28,84:84)+100</f>
        <v>100</v>
      </c>
      <c r="I28" s="1483"/>
      <c r="J28" s="1119">
        <f>SUMIF(83:83,I28,84:84)-SUMIF(83:83,C28,84:84)+100</f>
        <v>100</v>
      </c>
      <c r="K28" s="1255"/>
      <c r="L28" s="1249"/>
      <c r="M28" s="1237"/>
      <c r="N28" s="1237"/>
      <c r="O28" s="1237"/>
      <c r="P28" s="3649"/>
      <c r="Q28" s="664" t="str">
        <f t="shared" si="11"/>
        <v>公共部分装修</v>
      </c>
      <c r="R28" s="1285" t="s">
        <v>1013</v>
      </c>
      <c r="S28" s="1286">
        <f t="shared" si="12"/>
        <v>100</v>
      </c>
      <c r="T28" s="1285" t="s">
        <v>1013</v>
      </c>
      <c r="U28" s="1286">
        <f t="shared" si="13"/>
        <v>100</v>
      </c>
      <c r="V28" s="1285" t="s">
        <v>1013</v>
      </c>
      <c r="W28" s="1286">
        <f t="shared" si="14"/>
        <v>100</v>
      </c>
      <c r="X28" s="1279"/>
      <c r="Y28" s="3649"/>
      <c r="Z28" s="1269" t="str">
        <f t="shared" si="15"/>
        <v>公共部分装修</v>
      </c>
      <c r="AA28" s="1296">
        <f t="shared" si="3"/>
        <v>1</v>
      </c>
      <c r="AB28" s="1296">
        <f t="shared" si="4"/>
        <v>1</v>
      </c>
      <c r="AC28" s="1296">
        <f t="shared" si="5"/>
        <v>1</v>
      </c>
    </row>
    <row r="29" spans="1:29" ht="15">
      <c r="A29" s="1550"/>
      <c r="B29" s="1147" t="s">
        <v>1594</v>
      </c>
      <c r="C29" s="1480"/>
      <c r="D29" s="1119">
        <v>100</v>
      </c>
      <c r="E29" s="1480"/>
      <c r="F29" s="1473" t="e">
        <f>LOOKUP(E29,86:86,87:87)-LOOKUP(C29,86:86,87:87)+100</f>
        <v>#N/A</v>
      </c>
      <c r="G29" s="1480"/>
      <c r="H29" s="1473" t="e">
        <f>LOOKUP(G29,86:86,87:87)-LOOKUP(C29,86:86,87:87)+100</f>
        <v>#N/A</v>
      </c>
      <c r="I29" s="1480"/>
      <c r="J29" s="1119" t="e">
        <f>LOOKUP(I29,86:86,87:87)-LOOKUP(C29,86:86,87:87)+100</f>
        <v>#N/A</v>
      </c>
      <c r="K29" s="1255"/>
      <c r="L29" s="1249"/>
      <c r="M29" s="1237"/>
      <c r="N29" s="1237"/>
      <c r="O29" s="1237"/>
      <c r="P29" s="3649"/>
      <c r="Q29" s="664" t="str">
        <f t="shared" si="11"/>
        <v>成新率</v>
      </c>
      <c r="R29" s="1285" t="s">
        <v>1013</v>
      </c>
      <c r="S29" s="1286" t="e">
        <f t="shared" si="12"/>
        <v>#N/A</v>
      </c>
      <c r="T29" s="1285" t="s">
        <v>1013</v>
      </c>
      <c r="U29" s="1286" t="e">
        <f t="shared" si="13"/>
        <v>#N/A</v>
      </c>
      <c r="V29" s="1285" t="s">
        <v>1013</v>
      </c>
      <c r="W29" s="1286" t="e">
        <f t="shared" si="14"/>
        <v>#N/A</v>
      </c>
      <c r="X29" s="1279"/>
      <c r="Y29" s="3649"/>
      <c r="Z29" s="1269" t="str">
        <f t="shared" si="15"/>
        <v>成新率</v>
      </c>
      <c r="AA29" s="1296" t="e">
        <f t="shared" si="3"/>
        <v>#N/A</v>
      </c>
      <c r="AB29" s="1296" t="e">
        <f t="shared" si="4"/>
        <v>#N/A</v>
      </c>
      <c r="AC29" s="1296" t="e">
        <f t="shared" si="5"/>
        <v>#N/A</v>
      </c>
    </row>
    <row r="30" spans="1:29" ht="15">
      <c r="A30" s="1550"/>
      <c r="B30" s="1147" t="s">
        <v>1595</v>
      </c>
      <c r="C30" s="1484"/>
      <c r="D30" s="1119">
        <v>100</v>
      </c>
      <c r="E30" s="1484"/>
      <c r="F30" s="1473">
        <f>SUMIF(88:88,E30,89:89)-SUMIF(88:88,C30,89:89)+100</f>
        <v>100</v>
      </c>
      <c r="G30" s="1484"/>
      <c r="H30" s="1119">
        <f>SUMIF(88:88,E30,89:89)-SUMIF(88:88,C30,89:89)+100</f>
        <v>100</v>
      </c>
      <c r="I30" s="1484"/>
      <c r="J30" s="1119">
        <f>SUMIF(88:88,E30,89:89)-SUMIF(88:88,C30,89:89)+100</f>
        <v>100</v>
      </c>
      <c r="K30" s="1255"/>
      <c r="L30" s="1249"/>
      <c r="M30" s="1237"/>
      <c r="N30" s="1237"/>
      <c r="O30" s="1237"/>
      <c r="P30" s="3649"/>
      <c r="Q30" s="664" t="str">
        <f t="shared" si="11"/>
        <v>物业等级</v>
      </c>
      <c r="R30" s="1285" t="s">
        <v>1013</v>
      </c>
      <c r="S30" s="1286">
        <f t="shared" si="12"/>
        <v>100</v>
      </c>
      <c r="T30" s="1285" t="s">
        <v>1013</v>
      </c>
      <c r="U30" s="1286">
        <f t="shared" si="13"/>
        <v>100</v>
      </c>
      <c r="V30" s="1285" t="s">
        <v>1013</v>
      </c>
      <c r="W30" s="1286">
        <f t="shared" si="14"/>
        <v>100</v>
      </c>
      <c r="X30" s="1279"/>
      <c r="Y30" s="3649"/>
      <c r="Z30" s="1269" t="str">
        <f t="shared" si="15"/>
        <v>物业等级</v>
      </c>
      <c r="AA30" s="1296">
        <f t="shared" si="3"/>
        <v>1</v>
      </c>
      <c r="AB30" s="1296">
        <f t="shared" si="4"/>
        <v>1</v>
      </c>
      <c r="AC30" s="1296">
        <f t="shared" si="5"/>
        <v>1</v>
      </c>
    </row>
    <row r="31" spans="1:29" s="1069" customFormat="1" ht="15">
      <c r="A31" s="1551"/>
      <c r="B31" s="1147" t="s">
        <v>1596</v>
      </c>
      <c r="C31" s="1467"/>
      <c r="D31" s="1109">
        <v>100</v>
      </c>
      <c r="E31" s="1467"/>
      <c r="F31" s="1473" t="e">
        <f>LOOKUP(E31,91:91,92:92)-LOOKUP(C31,91:91,92:92)+100</f>
        <v>#N/A</v>
      </c>
      <c r="G31" s="1467"/>
      <c r="H31" s="1119" t="e">
        <f>LOOKUP(G31,91:91,92:92)-LOOKUP(C31,91:91,92:92)+100</f>
        <v>#N/A</v>
      </c>
      <c r="I31" s="1467"/>
      <c r="J31" s="1119" t="e">
        <f>LOOKUP(I31,91:91,92:92)-LOOKUP(C31,91:91,92:92)+100</f>
        <v>#N/A</v>
      </c>
      <c r="K31" s="1255"/>
      <c r="L31" s="1239"/>
      <c r="M31" s="1240"/>
      <c r="N31" s="1240"/>
      <c r="O31" s="1240"/>
      <c r="P31" s="3649"/>
      <c r="Q31" s="1284" t="str">
        <f t="shared" si="11"/>
        <v>停车位面积</v>
      </c>
      <c r="R31" s="1280" t="s">
        <v>1013</v>
      </c>
      <c r="S31" s="1281" t="e">
        <f t="shared" si="12"/>
        <v>#N/A</v>
      </c>
      <c r="T31" s="1280" t="s">
        <v>1013</v>
      </c>
      <c r="U31" s="1281" t="e">
        <f t="shared" si="13"/>
        <v>#N/A</v>
      </c>
      <c r="V31" s="1280" t="s">
        <v>1013</v>
      </c>
      <c r="W31" s="1281" t="e">
        <f t="shared" si="14"/>
        <v>#N/A</v>
      </c>
      <c r="X31" s="1282"/>
      <c r="Y31" s="3649"/>
      <c r="Z31" s="1295" t="str">
        <f t="shared" si="15"/>
        <v>停车位面积</v>
      </c>
      <c r="AA31" s="1294" t="e">
        <f t="shared" si="3"/>
        <v>#N/A</v>
      </c>
      <c r="AB31" s="1294" t="e">
        <f t="shared" si="4"/>
        <v>#N/A</v>
      </c>
      <c r="AC31" s="1294" t="e">
        <f t="shared" si="5"/>
        <v>#N/A</v>
      </c>
    </row>
    <row r="32" spans="1:29" ht="15">
      <c r="A32" s="1550"/>
      <c r="B32" s="1147" t="s">
        <v>1597</v>
      </c>
      <c r="C32" s="1483"/>
      <c r="D32" s="1119">
        <v>100</v>
      </c>
      <c r="E32" s="1483"/>
      <c r="F32" s="1473">
        <f>SUMIF(93:93,E32,94:94)-SUMIF(93:93,C32,94:94)+100</f>
        <v>100</v>
      </c>
      <c r="G32" s="1483"/>
      <c r="H32" s="1119">
        <f>SUMIF(93:93,G32,94:94)-SUMIF(93:93,C32,94:94)+100</f>
        <v>100</v>
      </c>
      <c r="I32" s="1483"/>
      <c r="J32" s="1119">
        <f>SUMIF(93:93,I32,94:94)-SUMIF(93:93,C32,94:94)+100</f>
        <v>100</v>
      </c>
      <c r="K32" s="1255"/>
      <c r="L32" s="1249"/>
      <c r="M32" s="1237"/>
      <c r="N32" s="1237"/>
      <c r="O32" s="1237"/>
      <c r="P32" s="3649" t="s">
        <v>1034</v>
      </c>
      <c r="Q32" s="664" t="str">
        <f t="shared" si="11"/>
        <v>车位类型</v>
      </c>
      <c r="R32" s="1285" t="s">
        <v>1013</v>
      </c>
      <c r="S32" s="1286">
        <f t="shared" si="12"/>
        <v>100</v>
      </c>
      <c r="T32" s="1285" t="s">
        <v>1013</v>
      </c>
      <c r="U32" s="1286">
        <f t="shared" si="13"/>
        <v>100</v>
      </c>
      <c r="V32" s="1285" t="s">
        <v>1013</v>
      </c>
      <c r="W32" s="1286">
        <f t="shared" si="14"/>
        <v>100</v>
      </c>
      <c r="X32" s="1279"/>
      <c r="Y32" s="3649" t="s">
        <v>1034</v>
      </c>
      <c r="Z32" s="1269" t="str">
        <f t="shared" si="15"/>
        <v>车位类型</v>
      </c>
      <c r="AA32" s="1296">
        <f t="shared" si="3"/>
        <v>1</v>
      </c>
      <c r="AB32" s="1296">
        <f t="shared" si="4"/>
        <v>1</v>
      </c>
      <c r="AC32" s="1296">
        <f t="shared" si="5"/>
        <v>1</v>
      </c>
    </row>
    <row r="33" spans="1:29" ht="15">
      <c r="A33" s="1550"/>
      <c r="B33" s="1147" t="s">
        <v>1598</v>
      </c>
      <c r="C33" s="1483"/>
      <c r="D33" s="1119">
        <v>100</v>
      </c>
      <c r="E33" s="1483"/>
      <c r="F33" s="1473">
        <f>SUMIF(95:95,E33,96:96)-SUMIF(95:95,C33,96:96)+100</f>
        <v>100</v>
      </c>
      <c r="G33" s="1483"/>
      <c r="H33" s="1119">
        <f>SUMIF(95:95,G33,96:96)-SUMIF(95:95,C33,96:96)+100</f>
        <v>100</v>
      </c>
      <c r="I33" s="1483"/>
      <c r="J33" s="1119">
        <f>SUMIF(95:95,I33,96:96)-SUMIF(95:95,C33,96:96)+100</f>
        <v>100</v>
      </c>
      <c r="K33" s="1255"/>
      <c r="L33" s="1249"/>
      <c r="M33" s="1237"/>
      <c r="N33" s="1237"/>
      <c r="O33" s="1237"/>
      <c r="P33" s="3649"/>
      <c r="Q33" s="664" t="str">
        <f t="shared" si="11"/>
        <v>是否直接入户</v>
      </c>
      <c r="R33" s="1285" t="s">
        <v>1013</v>
      </c>
      <c r="S33" s="1286">
        <f t="shared" si="12"/>
        <v>100</v>
      </c>
      <c r="T33" s="1285" t="s">
        <v>1013</v>
      </c>
      <c r="U33" s="1286">
        <f t="shared" si="13"/>
        <v>100</v>
      </c>
      <c r="V33" s="1285" t="s">
        <v>1013</v>
      </c>
      <c r="W33" s="1286">
        <f t="shared" si="14"/>
        <v>100</v>
      </c>
      <c r="X33" s="1279"/>
      <c r="Y33" s="3649"/>
      <c r="Z33" s="1269" t="str">
        <f t="shared" si="15"/>
        <v>是否直接入户</v>
      </c>
      <c r="AA33" s="1296">
        <f t="shared" si="3"/>
        <v>1</v>
      </c>
      <c r="AB33" s="1296">
        <f t="shared" si="4"/>
        <v>1</v>
      </c>
      <c r="AC33" s="1296">
        <f t="shared" si="5"/>
        <v>1</v>
      </c>
    </row>
    <row r="34" spans="1:29" ht="15">
      <c r="A34" s="1550"/>
      <c r="B34" s="1540">
        <v>111</v>
      </c>
      <c r="C34" s="1108"/>
      <c r="D34" s="1119">
        <v>100</v>
      </c>
      <c r="E34" s="1108"/>
      <c r="F34" s="1473">
        <f>SUMIF(97:97,E34,98:98)-SUMIF(97:97,C34,98:98)+100</f>
        <v>100</v>
      </c>
      <c r="G34" s="1108"/>
      <c r="H34" s="1119">
        <f>SUMIF(97:97,G34,98:98)-SUMIF(97:97,C34,98:98)+100</f>
        <v>100</v>
      </c>
      <c r="I34" s="1108"/>
      <c r="J34" s="1119">
        <f>SUMIF(97:97,I34,98:98)-SUMIF(97:97,C34,98:98)+100</f>
        <v>100</v>
      </c>
      <c r="K34" s="1254"/>
      <c r="L34" s="1249"/>
      <c r="M34" s="1237"/>
      <c r="N34" s="1237"/>
      <c r="O34" s="1237"/>
      <c r="P34" s="3649"/>
      <c r="Q34" s="664">
        <f t="shared" si="11"/>
        <v>111</v>
      </c>
      <c r="R34" s="1285" t="s">
        <v>1013</v>
      </c>
      <c r="S34" s="1286">
        <f t="shared" si="12"/>
        <v>100</v>
      </c>
      <c r="T34" s="1285" t="s">
        <v>1013</v>
      </c>
      <c r="U34" s="1286">
        <f t="shared" si="13"/>
        <v>100</v>
      </c>
      <c r="V34" s="1285" t="s">
        <v>1013</v>
      </c>
      <c r="W34" s="1286">
        <f t="shared" si="14"/>
        <v>100</v>
      </c>
      <c r="X34" s="1279"/>
      <c r="Y34" s="3649"/>
      <c r="Z34" s="1269">
        <f t="shared" si="15"/>
        <v>111</v>
      </c>
      <c r="AA34" s="1296">
        <f t="shared" si="3"/>
        <v>1</v>
      </c>
      <c r="AB34" s="1296">
        <f t="shared" si="4"/>
        <v>1</v>
      </c>
      <c r="AC34" s="1296">
        <f t="shared" si="5"/>
        <v>1</v>
      </c>
    </row>
    <row r="35" spans="1:29" s="1071" customFormat="1" ht="15">
      <c r="A35" s="1548"/>
      <c r="B35" s="1540">
        <v>111</v>
      </c>
      <c r="C35" s="1108"/>
      <c r="D35" s="1119">
        <v>100</v>
      </c>
      <c r="E35" s="1108"/>
      <c r="F35" s="1473">
        <f>SUMIF(99:99,E35,100:100)-SUMIF(99:99,C35,100:100)+100</f>
        <v>100</v>
      </c>
      <c r="G35" s="1108"/>
      <c r="H35" s="1119">
        <f>SUMIF(99:99,G35,100:100)-SUMIF(99:99,C35,100:100)+100</f>
        <v>100</v>
      </c>
      <c r="I35" s="1108"/>
      <c r="J35" s="1119">
        <f>SUMIF(99:99,I35,100:100)-SUMIF(99:99,C35,100:100)+100</f>
        <v>100</v>
      </c>
      <c r="K35" s="1254"/>
      <c r="L35" s="1247"/>
      <c r="M35" s="1256"/>
      <c r="N35" s="1256"/>
      <c r="O35" s="1256"/>
      <c r="P35" s="3649"/>
      <c r="Q35" s="1512">
        <f t="shared" si="11"/>
        <v>111</v>
      </c>
      <c r="R35" s="1287" t="s">
        <v>1013</v>
      </c>
      <c r="S35" s="1288">
        <f t="shared" si="12"/>
        <v>100</v>
      </c>
      <c r="T35" s="1287" t="s">
        <v>1013</v>
      </c>
      <c r="U35" s="1288">
        <f t="shared" si="13"/>
        <v>100</v>
      </c>
      <c r="V35" s="1287" t="s">
        <v>1013</v>
      </c>
      <c r="W35" s="1288">
        <f t="shared" si="14"/>
        <v>100</v>
      </c>
      <c r="X35" s="1289"/>
      <c r="Y35" s="3649"/>
      <c r="Z35" s="1297">
        <f t="shared" si="15"/>
        <v>111</v>
      </c>
      <c r="AA35" s="1296">
        <f t="shared" si="3"/>
        <v>1</v>
      </c>
      <c r="AB35" s="1296">
        <f t="shared" si="4"/>
        <v>1</v>
      </c>
      <c r="AC35" s="1296">
        <f t="shared" si="5"/>
        <v>1</v>
      </c>
    </row>
    <row r="36" spans="1:29" ht="15">
      <c r="A36" s="1552"/>
      <c r="B36" s="1541">
        <v>111</v>
      </c>
      <c r="C36" s="1118"/>
      <c r="D36" s="1119">
        <v>100</v>
      </c>
      <c r="E36" s="1108"/>
      <c r="F36" s="1473">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9"/>
      <c r="Q36" s="664">
        <f t="shared" si="11"/>
        <v>111</v>
      </c>
      <c r="R36" s="1285" t="s">
        <v>1013</v>
      </c>
      <c r="S36" s="1286">
        <f t="shared" si="12"/>
        <v>100</v>
      </c>
      <c r="T36" s="1285" t="s">
        <v>1013</v>
      </c>
      <c r="U36" s="1286">
        <f t="shared" si="13"/>
        <v>100</v>
      </c>
      <c r="V36" s="1285" t="s">
        <v>1013</v>
      </c>
      <c r="W36" s="1286">
        <f t="shared" si="14"/>
        <v>100</v>
      </c>
      <c r="X36" s="1279"/>
      <c r="Y36" s="3649"/>
      <c r="Z36" s="1269">
        <f t="shared" si="15"/>
        <v>111</v>
      </c>
      <c r="AA36" s="1296">
        <f t="shared" si="3"/>
        <v>1</v>
      </c>
      <c r="AB36" s="1296">
        <f t="shared" si="4"/>
        <v>1</v>
      </c>
      <c r="AC36" s="1296">
        <f t="shared" si="5"/>
        <v>1</v>
      </c>
    </row>
    <row r="37" spans="1:29" ht="15">
      <c r="A37" s="1168" t="s">
        <v>1599</v>
      </c>
      <c r="B37" s="1553" t="s">
        <v>1600</v>
      </c>
      <c r="C37" s="1488" t="s">
        <v>124</v>
      </c>
      <c r="D37" s="1489"/>
      <c r="E37" s="1490"/>
      <c r="F37" s="1491"/>
      <c r="G37" s="1492"/>
      <c r="H37" s="1493"/>
      <c r="I37" s="1490"/>
      <c r="J37" s="1493"/>
      <c r="K37" s="1562"/>
      <c r="L37" s="1261"/>
      <c r="M37" s="1185"/>
      <c r="N37" s="1237"/>
      <c r="O37" s="1185"/>
      <c r="P37" s="3640" t="str">
        <f>A37</f>
        <v>成交单价</v>
      </c>
      <c r="Q37" s="3640"/>
      <c r="R37" s="3641">
        <f>E37</f>
        <v>0</v>
      </c>
      <c r="S37" s="3641"/>
      <c r="T37" s="3641">
        <f>G37</f>
        <v>0</v>
      </c>
      <c r="U37" s="3641"/>
      <c r="V37" s="3641">
        <f>I37</f>
        <v>0</v>
      </c>
      <c r="W37" s="3641"/>
      <c r="X37" s="1225"/>
      <c r="Y37" s="1298"/>
      <c r="Z37" s="1225"/>
      <c r="AA37" s="1225"/>
      <c r="AB37" s="1225"/>
      <c r="AC37" s="1225"/>
    </row>
    <row r="38" spans="1:29" ht="15">
      <c r="A38" s="1176" t="s">
        <v>1046</v>
      </c>
      <c r="B38" s="1494" t="str">
        <f>B37</f>
        <v>元/平方米</v>
      </c>
      <c r="C38" s="1495" t="e">
        <f>R39</f>
        <v>#DIV/0!</v>
      </c>
      <c r="D38" s="1179" t="s">
        <v>1047</v>
      </c>
      <c r="E38" s="1496" t="e">
        <f>R38</f>
        <v>#DIV/0!</v>
      </c>
      <c r="F38" s="1180"/>
      <c r="G38" s="1495" t="e">
        <f>T38</f>
        <v>#DIV/0!</v>
      </c>
      <c r="H38" s="1180"/>
      <c r="I38" s="1496" t="e">
        <f>V38</f>
        <v>#DIV/0!</v>
      </c>
      <c r="J38" s="1180"/>
      <c r="K38" s="1262">
        <f>F38+H38+J38</f>
        <v>0</v>
      </c>
      <c r="L38" s="1261"/>
      <c r="M38" s="1185"/>
      <c r="N38" s="1185"/>
      <c r="O38" s="1185"/>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5"/>
      <c r="Y38" s="1225"/>
      <c r="Z38" s="1225"/>
      <c r="AA38" s="1225"/>
      <c r="AB38" s="1225"/>
      <c r="AC38" s="1225"/>
    </row>
    <row r="39" spans="1:29" ht="15">
      <c r="A39" s="1182" t="s">
        <v>1601</v>
      </c>
      <c r="B39" s="1183"/>
      <c r="C39" s="1497" t="e">
        <f>R39</f>
        <v>#DIV/0!</v>
      </c>
      <c r="D39" s="1497"/>
      <c r="E39" s="1497"/>
      <c r="F39" s="1497"/>
      <c r="G39" s="1497"/>
      <c r="H39" s="1497"/>
      <c r="I39" s="1497"/>
      <c r="J39" s="1497"/>
      <c r="K39" s="1563"/>
      <c r="L39" s="1261"/>
      <c r="M39" s="1185"/>
      <c r="N39" s="1185"/>
      <c r="O39" s="1185"/>
      <c r="P39" s="3703" t="str">
        <f>A39</f>
        <v>估价对象XX用房的比较价值（楼面单价，元/平方米）</v>
      </c>
      <c r="Q39" s="3704"/>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4"/>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4"/>
      <c r="Q41" s="1185"/>
      <c r="R41" s="1185"/>
      <c r="S41" s="1185"/>
      <c r="T41" s="1185"/>
      <c r="U41" s="1185"/>
      <c r="V41" s="1185"/>
      <c r="W41" s="1185"/>
      <c r="X41" s="1185"/>
      <c r="Y41" s="1185"/>
      <c r="Z41" s="1185"/>
      <c r="AA41" s="1185"/>
      <c r="AB41" s="1185"/>
      <c r="AC41" s="1185"/>
    </row>
    <row r="42" spans="1:29" ht="13.5" customHeight="1">
      <c r="A42" s="1185"/>
      <c r="B42" s="1185"/>
      <c r="C42" s="1187" t="s">
        <v>1049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4"/>
      <c r="Q42" s="1185"/>
      <c r="R42" s="1185"/>
      <c r="S42" s="1185"/>
      <c r="T42" s="1185"/>
      <c r="U42" s="1185"/>
      <c r="V42" s="1185"/>
      <c r="W42" s="1185"/>
      <c r="X42" s="1185"/>
      <c r="Y42" s="1185"/>
      <c r="Z42" s="1185"/>
      <c r="AA42" s="1185"/>
      <c r="AB42" s="1185"/>
      <c r="AC42" s="1185"/>
    </row>
    <row r="43" spans="1:29" ht="13.5" customHeight="1">
      <c r="A43" s="1185"/>
      <c r="B43" s="1185"/>
      <c r="C43" s="1187" t="s">
        <v>1050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4"/>
      <c r="Q43" s="1185"/>
      <c r="R43" s="1185"/>
      <c r="S43" s="1185"/>
      <c r="T43" s="1185"/>
      <c r="U43" s="1185"/>
      <c r="V43" s="1185"/>
      <c r="W43" s="1185"/>
      <c r="X43" s="1185"/>
      <c r="Y43" s="1185"/>
      <c r="Z43" s="1185"/>
      <c r="AA43" s="1185"/>
      <c r="AB43" s="1185"/>
      <c r="AC43" s="1185"/>
    </row>
    <row r="44" spans="1:29" s="1072" customFormat="1" ht="13.5" customHeight="1">
      <c r="A44" s="1190"/>
      <c r="B44" s="1190"/>
      <c r="C44" s="1187" t="s">
        <v>1051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5"/>
      <c r="Q44" s="1190"/>
      <c r="R44" s="1190"/>
      <c r="S44" s="1190"/>
      <c r="T44" s="1190"/>
      <c r="U44" s="1190"/>
      <c r="V44" s="1190"/>
      <c r="W44" s="1190"/>
      <c r="X44" s="1190"/>
      <c r="Y44" s="1190"/>
      <c r="Z44" s="1190"/>
      <c r="AA44" s="1190"/>
      <c r="AB44" s="1190"/>
      <c r="AC44" s="1190"/>
    </row>
    <row r="45" spans="1:29" s="1072" customFormat="1">
      <c r="A45" s="1190"/>
      <c r="B45" s="1191"/>
      <c r="C45" s="1498"/>
      <c r="D45" s="1190"/>
      <c r="E45" s="1190"/>
      <c r="F45" s="1190"/>
      <c r="G45" s="1190"/>
      <c r="H45" s="1190"/>
      <c r="I45" s="1190"/>
      <c r="J45" s="1190"/>
      <c r="K45" s="1267"/>
      <c r="L45" s="1268"/>
      <c r="M45" s="1190"/>
      <c r="N45" s="1190"/>
      <c r="O45" s="1190"/>
      <c r="P45" s="1565"/>
      <c r="Q45" s="1190"/>
      <c r="R45" s="1190"/>
      <c r="S45" s="1190"/>
      <c r="T45" s="1190"/>
      <c r="U45" s="1190"/>
      <c r="V45" s="1190"/>
      <c r="W45" s="1190"/>
      <c r="X45" s="1190"/>
      <c r="Y45" s="1190"/>
      <c r="Z45" s="1190"/>
      <c r="AA45" s="1190"/>
      <c r="AB45" s="1190"/>
      <c r="AC45" s="1190"/>
    </row>
    <row r="46" spans="1:29">
      <c r="A46" s="1185"/>
      <c r="B46" s="1191"/>
      <c r="C46" s="1498"/>
      <c r="D46" s="1185"/>
      <c r="E46" s="1185"/>
      <c r="F46" s="1185"/>
      <c r="G46" s="1185"/>
      <c r="H46" s="1185"/>
      <c r="I46" s="1185"/>
      <c r="J46" s="1185"/>
      <c r="K46" s="1265"/>
      <c r="L46" s="1266"/>
      <c r="M46" s="1185"/>
      <c r="N46" s="1185"/>
      <c r="O46" s="1185"/>
      <c r="P46" s="1564"/>
      <c r="Q46" s="1185"/>
      <c r="R46" s="1185"/>
      <c r="S46" s="1185"/>
      <c r="T46" s="1185"/>
      <c r="U46" s="1185"/>
      <c r="V46" s="1185"/>
      <c r="W46" s="1185"/>
      <c r="X46" s="1185"/>
      <c r="Y46" s="1185"/>
      <c r="Z46" s="1185"/>
      <c r="AA46" s="1185"/>
      <c r="AB46" s="1185"/>
      <c r="AC46" s="1185"/>
    </row>
    <row r="47" spans="1:29" ht="21">
      <c r="A47" s="1554" t="s">
        <v>1052</v>
      </c>
      <c r="B47" s="1220"/>
      <c r="C47" s="1277"/>
      <c r="D47" s="1277"/>
      <c r="E47" s="1277"/>
      <c r="F47" s="1555"/>
      <c r="G47" s="1555"/>
      <c r="H47" s="1277"/>
      <c r="I47" s="1277"/>
      <c r="J47" s="1277"/>
      <c r="K47" s="1443"/>
      <c r="L47" s="1444"/>
      <c r="M47" s="1277"/>
      <c r="N47" s="1278"/>
      <c r="O47" s="1278"/>
      <c r="P47" s="1566"/>
      <c r="Q47" s="1290"/>
      <c r="R47" s="1185"/>
      <c r="S47" s="1185"/>
      <c r="T47" s="1185"/>
      <c r="U47" s="1185"/>
      <c r="V47" s="1185"/>
      <c r="W47" s="1185"/>
      <c r="X47" s="1185"/>
      <c r="Y47" s="1185"/>
      <c r="Z47" s="1185"/>
      <c r="AA47" s="1185"/>
      <c r="AB47" s="1185"/>
      <c r="AC47" s="1185"/>
    </row>
    <row r="48" spans="1:29" s="1074" customFormat="1" ht="15">
      <c r="A48" s="1499" t="s">
        <v>1011</v>
      </c>
      <c r="B48" s="1500"/>
      <c r="C48" s="1501" t="str">
        <f>YEAR(C7)&amp;"-"&amp;MONTH(C7)</f>
        <v>2023-6</v>
      </c>
      <c r="D48" s="1502">
        <f>EDATE(C48,-1)</f>
        <v>45047</v>
      </c>
      <c r="E48" s="1502">
        <f t="shared" ref="E48:O48" si="16">EDATE(D48,-1)</f>
        <v>45017</v>
      </c>
      <c r="F48" s="1502">
        <f t="shared" si="16"/>
        <v>44986</v>
      </c>
      <c r="G48" s="1502">
        <f t="shared" si="16"/>
        <v>44958</v>
      </c>
      <c r="H48" s="1502">
        <f t="shared" si="16"/>
        <v>44927</v>
      </c>
      <c r="I48" s="1502">
        <f t="shared" si="16"/>
        <v>44896</v>
      </c>
      <c r="J48" s="1502">
        <f t="shared" si="16"/>
        <v>44866</v>
      </c>
      <c r="K48" s="1502">
        <f t="shared" si="16"/>
        <v>44835</v>
      </c>
      <c r="L48" s="1502">
        <f t="shared" si="16"/>
        <v>44805</v>
      </c>
      <c r="M48" s="1502">
        <f t="shared" si="16"/>
        <v>44774</v>
      </c>
      <c r="N48" s="1502">
        <f t="shared" si="16"/>
        <v>44743</v>
      </c>
      <c r="O48" s="1502">
        <f t="shared" si="16"/>
        <v>44713</v>
      </c>
      <c r="P48" s="1567"/>
      <c r="Q48" s="1409"/>
      <c r="R48" s="1409"/>
      <c r="S48" s="1409"/>
      <c r="T48" s="1409"/>
      <c r="U48" s="1409"/>
      <c r="V48" s="1409"/>
      <c r="W48" s="1409"/>
      <c r="X48" s="1409"/>
      <c r="Y48" s="1409"/>
      <c r="Z48" s="1409"/>
      <c r="AA48" s="1409"/>
      <c r="AB48" s="1409"/>
      <c r="AC48" s="1409"/>
    </row>
    <row r="49" spans="1:29" s="1069" customFormat="1" ht="15">
      <c r="A49" s="1503"/>
      <c r="B49" s="1310"/>
      <c r="C49" s="1556">
        <v>100</v>
      </c>
      <c r="D49" s="1314"/>
      <c r="E49" s="1314"/>
      <c r="F49" s="1314"/>
      <c r="G49" s="1314"/>
      <c r="H49" s="1314"/>
      <c r="I49" s="1314"/>
      <c r="J49" s="1314"/>
      <c r="K49" s="1314"/>
      <c r="L49" s="1314"/>
      <c r="M49" s="1511"/>
      <c r="N49" s="1314"/>
      <c r="O49" s="1511"/>
      <c r="P49" s="1568"/>
      <c r="Q49" s="1410"/>
      <c r="R49" s="1410"/>
      <c r="S49" s="1410"/>
      <c r="T49" s="1410"/>
      <c r="U49" s="1410"/>
      <c r="V49" s="1410"/>
      <c r="W49" s="1410"/>
      <c r="X49" s="1410"/>
      <c r="Y49" s="1410"/>
      <c r="Z49" s="1410"/>
      <c r="AA49" s="1410"/>
      <c r="AB49" s="1410"/>
      <c r="AC49" s="1410"/>
    </row>
    <row r="50" spans="1:29" s="1069" customFormat="1" ht="15">
      <c r="A50" s="1305" t="s">
        <v>1053</v>
      </c>
      <c r="B50" s="1306"/>
      <c r="C50" s="1307"/>
      <c r="D50" s="1308"/>
      <c r="E50" s="1308"/>
      <c r="F50" s="1308"/>
      <c r="G50" s="1308"/>
      <c r="H50" s="1308"/>
      <c r="I50" s="1308"/>
      <c r="J50" s="1308"/>
      <c r="K50" s="1308"/>
      <c r="L50" s="1308"/>
      <c r="M50" s="1356"/>
      <c r="N50" s="1308"/>
      <c r="O50" s="1356"/>
      <c r="P50" s="1568"/>
      <c r="Q50" s="1290"/>
      <c r="R50" s="1410"/>
      <c r="S50" s="1410"/>
      <c r="T50" s="1410"/>
      <c r="U50" s="1410"/>
      <c r="V50" s="1410"/>
      <c r="W50" s="1410"/>
      <c r="X50" s="1410"/>
      <c r="Y50" s="1410"/>
      <c r="Z50" s="1410"/>
      <c r="AA50" s="1410"/>
      <c r="AB50" s="1410"/>
      <c r="AC50" s="1410"/>
    </row>
    <row r="51" spans="1:29" s="1069" customFormat="1" ht="15">
      <c r="A51" s="1309" t="s">
        <v>1014</v>
      </c>
      <c r="B51" s="1310"/>
      <c r="C51" s="1311" t="s">
        <v>1054</v>
      </c>
      <c r="D51" s="1312"/>
      <c r="E51" s="1312"/>
      <c r="F51" s="1312"/>
      <c r="G51" s="1312"/>
      <c r="H51" s="1312"/>
      <c r="I51" s="1312"/>
      <c r="J51" s="1312"/>
      <c r="K51" s="1312"/>
      <c r="L51" s="1358"/>
      <c r="M51" s="1359"/>
      <c r="N51" s="1360"/>
      <c r="O51" s="1360"/>
      <c r="P51" s="1569"/>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8"/>
      <c r="Q52" s="1290"/>
      <c r="R52" s="1410"/>
      <c r="S52" s="1410"/>
      <c r="T52" s="1410"/>
      <c r="U52" s="1410"/>
      <c r="V52" s="1410"/>
      <c r="W52" s="1410"/>
      <c r="X52" s="1410"/>
      <c r="Y52" s="1410"/>
      <c r="Z52" s="1410"/>
      <c r="AA52" s="1410"/>
      <c r="AB52" s="1410"/>
      <c r="AC52" s="1410"/>
    </row>
    <row r="53" spans="1:29">
      <c r="A53" s="1315" t="s">
        <v>1055</v>
      </c>
      <c r="B53" s="1316" t="s">
        <v>1017</v>
      </c>
      <c r="C53" s="1338">
        <f>C9</f>
        <v>0</v>
      </c>
      <c r="D53" s="1258"/>
      <c r="E53" s="1258"/>
      <c r="F53" s="1258"/>
      <c r="G53" s="1258"/>
      <c r="H53" s="1258"/>
      <c r="I53" s="1258"/>
      <c r="J53" s="1258"/>
      <c r="K53" s="1363"/>
      <c r="L53" s="1364"/>
      <c r="M53" s="1365"/>
      <c r="N53" s="1366"/>
      <c r="O53" s="1366"/>
      <c r="P53" s="1570"/>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0"/>
      <c r="Q54" s="1290"/>
      <c r="R54" s="1185"/>
      <c r="S54" s="1185"/>
      <c r="T54" s="1185"/>
      <c r="U54" s="1185"/>
      <c r="V54" s="1185"/>
      <c r="W54" s="1185"/>
      <c r="X54" s="1185"/>
      <c r="Y54" s="1185"/>
      <c r="Z54" s="1185"/>
      <c r="AA54" s="1185"/>
      <c r="AB54" s="1185"/>
      <c r="AC54" s="1185"/>
    </row>
    <row r="55" spans="1:29" ht="27">
      <c r="A55" s="1317"/>
      <c r="B55" s="1320" t="s">
        <v>1020</v>
      </c>
      <c r="C55" s="1345"/>
      <c r="D55" s="1345"/>
      <c r="E55" s="1345"/>
      <c r="F55" s="1345"/>
      <c r="G55" s="1345"/>
      <c r="H55" s="1345"/>
      <c r="I55" s="1345"/>
      <c r="J55" s="1345"/>
      <c r="K55" s="1396"/>
      <c r="L55" s="1397"/>
      <c r="M55" s="1398"/>
      <c r="N55" s="1366"/>
      <c r="O55" s="1366"/>
      <c r="P55" s="1570"/>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0"/>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0"/>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0"/>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1"/>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1"/>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2"/>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1"/>
      <c r="Q62" s="1411"/>
      <c r="R62" s="1412"/>
      <c r="S62" s="1412"/>
      <c r="T62" s="1412"/>
      <c r="U62" s="1412"/>
      <c r="V62" s="1412"/>
      <c r="W62" s="1412"/>
      <c r="X62" s="1412"/>
      <c r="Y62" s="1412"/>
      <c r="Z62" s="1412"/>
      <c r="AA62" s="1412"/>
      <c r="AB62" s="1412"/>
      <c r="AC62" s="1412"/>
    </row>
    <row r="63" spans="1:29">
      <c r="A63" s="1315" t="s">
        <v>1022</v>
      </c>
      <c r="B63" s="1316" t="s">
        <v>1025</v>
      </c>
      <c r="C63" s="1337" t="s">
        <v>1056</v>
      </c>
      <c r="D63" s="1337" t="s">
        <v>1057</v>
      </c>
      <c r="E63" s="1337" t="s">
        <v>1058</v>
      </c>
      <c r="F63" s="1337" t="s">
        <v>1059</v>
      </c>
      <c r="G63" s="1337" t="s">
        <v>1060</v>
      </c>
      <c r="H63" s="1338"/>
      <c r="I63" s="1338"/>
      <c r="J63" s="1338"/>
      <c r="K63" s="1386"/>
      <c r="L63" s="1387"/>
      <c r="M63" s="1388"/>
      <c r="N63" s="1366"/>
      <c r="O63" s="1366"/>
      <c r="P63" s="1573"/>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0"/>
      <c r="Q64" s="1290"/>
      <c r="R64" s="1185"/>
      <c r="S64" s="1185"/>
      <c r="T64" s="1185"/>
      <c r="U64" s="1185"/>
      <c r="V64" s="1185"/>
      <c r="W64" s="1185"/>
      <c r="X64" s="1185"/>
      <c r="Y64" s="1185"/>
      <c r="Z64" s="1185"/>
      <c r="AA64" s="1185"/>
      <c r="AB64" s="1185"/>
      <c r="AC64" s="1185"/>
    </row>
    <row r="65" spans="1:29" ht="15">
      <c r="A65" s="1317"/>
      <c r="B65" s="1320" t="s">
        <v>1026</v>
      </c>
      <c r="C65" s="1339" t="s">
        <v>1056</v>
      </c>
      <c r="D65" s="1339" t="s">
        <v>1057</v>
      </c>
      <c r="E65" s="1339" t="s">
        <v>1058</v>
      </c>
      <c r="F65" s="1339" t="s">
        <v>1059</v>
      </c>
      <c r="G65" s="1339" t="s">
        <v>1060</v>
      </c>
      <c r="H65" s="1321"/>
      <c r="I65" s="1321"/>
      <c r="J65" s="1321"/>
      <c r="K65" s="1370"/>
      <c r="L65" s="1371"/>
      <c r="M65" s="1372"/>
      <c r="N65" s="1366"/>
      <c r="O65" s="1366"/>
      <c r="P65" s="1570"/>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0"/>
      <c r="Q66" s="1290"/>
      <c r="R66" s="1185"/>
      <c r="S66" s="1185"/>
      <c r="T66" s="1185"/>
      <c r="U66" s="1185"/>
      <c r="V66" s="1185"/>
      <c r="W66" s="1185"/>
      <c r="X66" s="1185"/>
      <c r="Y66" s="1185"/>
      <c r="Z66" s="1185"/>
      <c r="AA66" s="1185"/>
      <c r="AB66" s="1185"/>
      <c r="AC66" s="1185"/>
    </row>
    <row r="67" spans="1:29" ht="15">
      <c r="A67" s="1317"/>
      <c r="B67" s="1324" t="s">
        <v>1027</v>
      </c>
      <c r="C67" s="1344" t="s">
        <v>1061</v>
      </c>
      <c r="D67" s="1344" t="s">
        <v>1062</v>
      </c>
      <c r="E67" s="1344" t="s">
        <v>1063</v>
      </c>
      <c r="F67" s="1344" t="s">
        <v>1064</v>
      </c>
      <c r="G67" s="1344" t="s">
        <v>1065</v>
      </c>
      <c r="H67" s="1321"/>
      <c r="I67" s="1321"/>
      <c r="J67" s="1321"/>
      <c r="K67" s="1321"/>
      <c r="L67" s="1321"/>
      <c r="M67" s="1516"/>
      <c r="N67" s="1369"/>
      <c r="O67" s="1369"/>
      <c r="P67" s="1570"/>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0"/>
      <c r="Q68" s="1290"/>
      <c r="R68" s="1185"/>
      <c r="S68" s="1185"/>
      <c r="T68" s="1185"/>
      <c r="U68" s="1185"/>
      <c r="V68" s="1185"/>
      <c r="W68" s="1185"/>
      <c r="X68" s="1185"/>
      <c r="Y68" s="1185"/>
      <c r="Z68" s="1185"/>
      <c r="AA68" s="1185"/>
      <c r="AB68" s="1185"/>
      <c r="AC68" s="1185"/>
    </row>
    <row r="69" spans="1:29" ht="15">
      <c r="A69" s="1317"/>
      <c r="B69" s="1320" t="s">
        <v>1551</v>
      </c>
      <c r="C69" s="1339" t="s">
        <v>1056</v>
      </c>
      <c r="D69" s="1339" t="s">
        <v>1057</v>
      </c>
      <c r="E69" s="1339" t="s">
        <v>1058</v>
      </c>
      <c r="F69" s="1339" t="s">
        <v>1059</v>
      </c>
      <c r="G69" s="1339" t="s">
        <v>1060</v>
      </c>
      <c r="H69" s="1321"/>
      <c r="I69" s="1321"/>
      <c r="J69" s="1321"/>
      <c r="K69" s="1370"/>
      <c r="L69" s="1371"/>
      <c r="M69" s="1372"/>
      <c r="N69" s="1366"/>
      <c r="O69" s="1366"/>
      <c r="P69" s="1570"/>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0"/>
      <c r="Q70" s="1290"/>
      <c r="R70" s="1185"/>
      <c r="S70" s="1185"/>
      <c r="T70" s="1185"/>
      <c r="U70" s="1185"/>
      <c r="V70" s="1185"/>
      <c r="W70" s="1185"/>
      <c r="X70" s="1185"/>
      <c r="Y70" s="1185"/>
      <c r="Z70" s="1185"/>
      <c r="AA70" s="1185"/>
      <c r="AB70" s="1185"/>
      <c r="AC70" s="1185"/>
    </row>
    <row r="71" spans="1:29" ht="15">
      <c r="A71" s="1317"/>
      <c r="B71" s="1320" t="s">
        <v>1030</v>
      </c>
      <c r="C71" s="1328"/>
      <c r="D71" s="1328"/>
      <c r="E71" s="1328"/>
      <c r="F71" s="1328"/>
      <c r="G71" s="1328"/>
      <c r="H71" s="1345"/>
      <c r="I71" s="1345"/>
      <c r="J71" s="1345"/>
      <c r="K71" s="1396"/>
      <c r="L71" s="1397"/>
      <c r="M71" s="1398"/>
      <c r="N71" s="1366"/>
      <c r="O71" s="1366"/>
      <c r="P71" s="1570"/>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0"/>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7"/>
      <c r="M73" s="1518"/>
      <c r="N73" s="1360"/>
      <c r="O73" s="1360"/>
      <c r="P73" s="1570"/>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0"/>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8"/>
      <c r="N75" s="1360"/>
      <c r="O75" s="1360"/>
      <c r="P75" s="1570"/>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0"/>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1"/>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1"/>
      <c r="Q78" s="1411"/>
      <c r="R78" s="1412"/>
      <c r="S78" s="1412"/>
      <c r="T78" s="1412"/>
      <c r="U78" s="1412"/>
      <c r="V78" s="1412"/>
      <c r="W78" s="1412"/>
      <c r="X78" s="1412"/>
      <c r="Y78" s="1412"/>
      <c r="Z78" s="1412"/>
      <c r="AA78" s="1412"/>
      <c r="AB78" s="1412"/>
      <c r="AC78" s="1412"/>
    </row>
    <row r="79" spans="1:29" ht="27">
      <c r="A79" s="1315" t="s">
        <v>1032</v>
      </c>
      <c r="B79" s="1316" t="s">
        <v>1602</v>
      </c>
      <c r="C79" s="1338" t="str">
        <f>C26</f>
        <v>车库</v>
      </c>
      <c r="D79" s="1258"/>
      <c r="E79" s="1258"/>
      <c r="F79" s="1258"/>
      <c r="G79" s="1258"/>
      <c r="H79" s="1258"/>
      <c r="I79" s="1258"/>
      <c r="J79" s="1258"/>
      <c r="K79" s="1363"/>
      <c r="L79" s="1364"/>
      <c r="M79" s="1365"/>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0"/>
      <c r="Q80" s="1290"/>
      <c r="R80" s="1185"/>
      <c r="S80" s="1185"/>
      <c r="T80" s="1185"/>
      <c r="U80" s="1185"/>
      <c r="V80" s="1185"/>
      <c r="W80" s="1185"/>
      <c r="X80" s="1185"/>
      <c r="Y80" s="1185"/>
      <c r="Z80" s="1185"/>
      <c r="AA80" s="1185"/>
      <c r="AB80" s="1185"/>
      <c r="AC80" s="1185"/>
    </row>
    <row r="81" spans="1:29" ht="15">
      <c r="A81" s="1317"/>
      <c r="B81" s="1320" t="s">
        <v>1593</v>
      </c>
      <c r="C81" s="1574"/>
      <c r="D81" s="1574"/>
      <c r="E81" s="1574"/>
      <c r="F81" s="1574"/>
      <c r="G81" s="1574"/>
      <c r="H81" s="1574"/>
      <c r="I81" s="1574"/>
      <c r="J81" s="1574"/>
      <c r="K81" s="1575"/>
      <c r="L81" s="1576"/>
      <c r="M81" s="1577"/>
      <c r="N81" s="1360"/>
      <c r="O81" s="1360"/>
      <c r="P81" s="1570"/>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1"/>
      <c r="Q82" s="1411"/>
      <c r="R82" s="1412"/>
      <c r="S82" s="1412"/>
      <c r="T82" s="1412"/>
      <c r="U82" s="1412"/>
      <c r="V82" s="1412"/>
      <c r="W82" s="1412"/>
      <c r="X82" s="1412"/>
      <c r="Y82" s="1412"/>
      <c r="Z82" s="1412"/>
      <c r="AA82" s="1412"/>
      <c r="AB82" s="1412"/>
      <c r="AC82" s="1412"/>
    </row>
    <row r="83" spans="1:29">
      <c r="A83" s="1351"/>
      <c r="B83" s="1320" t="s">
        <v>1037</v>
      </c>
      <c r="C83" s="1328"/>
      <c r="D83" s="1328"/>
      <c r="E83" s="1345"/>
      <c r="F83" s="1345"/>
      <c r="G83" s="1345"/>
      <c r="H83" s="1345"/>
      <c r="I83" s="1345"/>
      <c r="J83" s="1345"/>
      <c r="K83" s="1396"/>
      <c r="L83" s="1397"/>
      <c r="M83" s="1398"/>
      <c r="N83" s="1366"/>
      <c r="O83" s="1366"/>
      <c r="P83" s="1570"/>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0"/>
      <c r="Q84" s="1290"/>
      <c r="R84" s="1185"/>
      <c r="S84" s="1185"/>
      <c r="T84" s="1185"/>
      <c r="U84" s="1185"/>
      <c r="V84" s="1185"/>
      <c r="W84" s="1185"/>
      <c r="X84" s="1185"/>
      <c r="Y84" s="1185"/>
      <c r="Z84" s="1185"/>
      <c r="AA84" s="1185"/>
      <c r="AB84" s="1185"/>
      <c r="AC84" s="1185"/>
    </row>
    <row r="85" spans="1:29">
      <c r="A85" s="1351"/>
      <c r="B85" s="1320" t="s">
        <v>1594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0"/>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8"/>
      <c r="J86" s="1578"/>
      <c r="K86" s="1579"/>
      <c r="L86" s="1580"/>
      <c r="M86" s="1581"/>
      <c r="N86" s="1366"/>
      <c r="O86" s="1366"/>
      <c r="P86" s="1570"/>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0"/>
      <c r="Q87" s="1290"/>
      <c r="R87" s="1185"/>
      <c r="S87" s="1185"/>
      <c r="T87" s="1185"/>
      <c r="U87" s="1185"/>
      <c r="V87" s="1185"/>
      <c r="W87" s="1185"/>
      <c r="X87" s="1185"/>
      <c r="Y87" s="1185"/>
      <c r="Z87" s="1185"/>
      <c r="AA87" s="1185"/>
      <c r="AB87" s="1185"/>
      <c r="AC87" s="1185"/>
    </row>
    <row r="88" spans="1:29">
      <c r="A88" s="1351"/>
      <c r="B88" s="1324" t="s">
        <v>1595</v>
      </c>
      <c r="C88" s="1258"/>
      <c r="D88" s="1258"/>
      <c r="E88" s="1258"/>
      <c r="F88" s="1258"/>
      <c r="G88" s="1258"/>
      <c r="H88" s="1258"/>
      <c r="I88" s="1258"/>
      <c r="J88" s="1258"/>
      <c r="K88" s="1363"/>
      <c r="L88" s="1364"/>
      <c r="M88" s="1365"/>
      <c r="N88" s="1366"/>
      <c r="O88" s="1366"/>
      <c r="P88" s="1570"/>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0"/>
      <c r="Q89" s="1290"/>
      <c r="R89" s="1185"/>
      <c r="S89" s="1185"/>
      <c r="T89" s="1185"/>
      <c r="U89" s="1185"/>
      <c r="V89" s="1185"/>
      <c r="W89" s="1185"/>
      <c r="X89" s="1185"/>
      <c r="Y89" s="1185"/>
      <c r="Z89" s="1185"/>
      <c r="AA89" s="1185"/>
      <c r="AB89" s="1185"/>
      <c r="AC89" s="1185"/>
    </row>
    <row r="90" spans="1:29" s="1071" customFormat="1">
      <c r="A90" s="1348"/>
      <c r="B90" s="1320" t="s">
        <v>1596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1"/>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1"/>
      <c r="Q92" s="1411"/>
      <c r="R92" s="1412"/>
      <c r="S92" s="1412"/>
      <c r="T92" s="1412"/>
      <c r="U92" s="1412"/>
      <c r="V92" s="1412"/>
      <c r="W92" s="1412"/>
      <c r="X92" s="1412"/>
      <c r="Y92" s="1412"/>
      <c r="Z92" s="1412"/>
      <c r="AA92" s="1412"/>
      <c r="AB92" s="1412"/>
      <c r="AC92" s="1412"/>
    </row>
    <row r="93" spans="1:29">
      <c r="A93" s="1351"/>
      <c r="B93" s="1320" t="s">
        <v>1597</v>
      </c>
      <c r="C93" s="1328"/>
      <c r="D93" s="1328"/>
      <c r="E93" s="1345"/>
      <c r="F93" s="1345"/>
      <c r="G93" s="1345"/>
      <c r="H93" s="1345"/>
      <c r="I93" s="1345"/>
      <c r="J93" s="1345"/>
      <c r="K93" s="1396"/>
      <c r="L93" s="1397"/>
      <c r="M93" s="1398"/>
      <c r="N93" s="1366"/>
      <c r="O93" s="1366"/>
      <c r="P93" s="1570"/>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0"/>
      <c r="Q94" s="1290"/>
      <c r="R94" s="1185"/>
      <c r="S94" s="1185"/>
      <c r="T94" s="1185"/>
      <c r="U94" s="1185"/>
      <c r="V94" s="1185"/>
      <c r="W94" s="1185"/>
      <c r="X94" s="1185"/>
      <c r="Y94" s="1185"/>
      <c r="Z94" s="1185"/>
      <c r="AA94" s="1185"/>
      <c r="AB94" s="1185"/>
      <c r="AC94" s="1185"/>
    </row>
    <row r="95" spans="1:29">
      <c r="A95" s="1351"/>
      <c r="B95" s="1320" t="s">
        <v>1598</v>
      </c>
      <c r="C95" s="1258"/>
      <c r="D95" s="1258"/>
      <c r="E95" s="1258"/>
      <c r="F95" s="1258"/>
      <c r="G95" s="1258"/>
      <c r="H95" s="1258"/>
      <c r="I95" s="1258"/>
      <c r="J95" s="1258"/>
      <c r="K95" s="1363"/>
      <c r="L95" s="1364"/>
      <c r="M95" s="1365"/>
      <c r="N95" s="1366"/>
      <c r="O95" s="1366"/>
      <c r="P95" s="1570"/>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0"/>
      <c r="Q96" s="1290"/>
      <c r="R96" s="1185"/>
      <c r="S96" s="1185"/>
      <c r="T96" s="1185"/>
      <c r="U96" s="1185"/>
      <c r="V96" s="1185"/>
      <c r="W96" s="1185"/>
      <c r="X96" s="1185"/>
      <c r="Y96" s="1185"/>
      <c r="Z96" s="1185"/>
      <c r="AA96" s="1185"/>
      <c r="AB96" s="1185"/>
      <c r="AC96" s="1185"/>
    </row>
    <row r="97" spans="1:29">
      <c r="A97" s="1351"/>
      <c r="B97" s="1514">
        <f>B34</f>
        <v>111</v>
      </c>
      <c r="C97" s="1116"/>
      <c r="D97" s="1116"/>
      <c r="E97" s="1116"/>
      <c r="F97" s="1116"/>
      <c r="G97" s="1328"/>
      <c r="H97" s="1329"/>
      <c r="I97" s="1329"/>
      <c r="J97" s="1329"/>
      <c r="K97" s="1329"/>
      <c r="L97" s="1377"/>
      <c r="M97" s="1378"/>
      <c r="N97" s="1369"/>
      <c r="O97" s="1369"/>
      <c r="P97" s="1582"/>
      <c r="Q97" s="1525"/>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0"/>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1"/>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1"/>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0"/>
      <c r="Q102" s="1290"/>
      <c r="R102" s="1185"/>
      <c r="S102" s="1185"/>
      <c r="T102" s="1185"/>
      <c r="U102" s="1185"/>
      <c r="V102" s="1185"/>
      <c r="W102" s="1185"/>
      <c r="X102" s="1185"/>
      <c r="Y102" s="1185"/>
      <c r="Z102" s="1185"/>
      <c r="AA102" s="1185"/>
      <c r="AB102" s="1185"/>
      <c r="AC102" s="1185"/>
    </row>
    <row r="103" spans="1:29">
      <c r="N103" s="1185"/>
      <c r="O103" s="1185"/>
      <c r="P103" s="1564"/>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1603</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IF(E1="项目模式",IF(C2="——",ROUND(C37*D3/10000,0),ROUND(C37*D3/10000,0)-D2),IF(E1="单套模式",IF(C2="——",ROUND(C37*D3/10000,4),ROUND(C37*D3/10000,4)-D2)))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IF(C2="——",C37,ROUND(B2*10000/D3,0))</f>
        <v>#DIV/0!</v>
      </c>
      <c r="C3" s="1460" t="s">
        <v>997</v>
      </c>
      <c r="D3" s="1461">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ht="15">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55"/>
      <c r="AC5" s="3655"/>
    </row>
    <row r="6" spans="1:29" ht="15">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56"/>
      <c r="AC6" s="3656"/>
    </row>
    <row r="7" spans="1:29" s="1069" customFormat="1" ht="15">
      <c r="A7" s="1094" t="s">
        <v>1011</v>
      </c>
      <c r="B7" s="1095"/>
      <c r="C7" s="1096">
        <f>'数据-取费表'!B2</f>
        <v>45078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7" t="s">
        <v>1012</v>
      </c>
      <c r="Q7" s="3636"/>
      <c r="R7" s="1280" t="s">
        <v>1013</v>
      </c>
      <c r="S7" s="1281">
        <f t="shared" ref="S7:S14" si="0">F7</f>
        <v>0</v>
      </c>
      <c r="T7" s="1280" t="s">
        <v>1013</v>
      </c>
      <c r="U7" s="1281">
        <f t="shared" ref="U7:U14" si="1">H7</f>
        <v>0</v>
      </c>
      <c r="V7" s="1280" t="s">
        <v>1013</v>
      </c>
      <c r="W7" s="1281">
        <f t="shared" ref="W7:W14" si="2">J7</f>
        <v>0</v>
      </c>
      <c r="X7" s="1282"/>
      <c r="Y7" s="3637" t="s">
        <v>1012</v>
      </c>
      <c r="Z7" s="3638"/>
      <c r="AA7" s="1294" t="e">
        <f>D7/F7</f>
        <v>#DIV/0!</v>
      </c>
      <c r="AB7" s="1294" t="e">
        <f>D7/H7</f>
        <v>#DIV/0!</v>
      </c>
      <c r="AC7" s="1294" t="e">
        <f>D7/J7</f>
        <v>#DIV/0!</v>
      </c>
    </row>
    <row r="8" spans="1:29" s="1069" customFormat="1" ht="15">
      <c r="A8" s="1094" t="s">
        <v>1014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34" si="3">D8/F8</f>
        <v>1</v>
      </c>
      <c r="AB8" s="1294">
        <f t="shared" ref="AB8:AB34" si="4">D8/H8</f>
        <v>1</v>
      </c>
      <c r="AC8" s="1294">
        <f t="shared" ref="AC8:AC34" si="5">D8/J8</f>
        <v>1</v>
      </c>
    </row>
    <row r="9" spans="1:29" s="1069" customFormat="1">
      <c r="A9" s="1102" t="s">
        <v>1016</v>
      </c>
      <c r="B9" s="1103" t="s">
        <v>1017</v>
      </c>
      <c r="C9" s="1462"/>
      <c r="D9" s="1105">
        <v>100</v>
      </c>
      <c r="E9" s="1463"/>
      <c r="F9" s="1464">
        <f>SUMIF(51:51,E9,52:52)-SUMIF(51:51,C9,52:52)+100</f>
        <v>100</v>
      </c>
      <c r="G9" s="1463"/>
      <c r="H9" s="1105">
        <f>SUMIF(51:51,G9,52:52)-SUMIF(51:51,C9,52:52)+100</f>
        <v>100</v>
      </c>
      <c r="I9" s="1463"/>
      <c r="J9" s="1105">
        <f>SUMIF(51:51,I9,52:52)-SUMIF(51:51,C9,52:52)+100</f>
        <v>100</v>
      </c>
      <c r="K9" s="1238"/>
      <c r="L9" s="1239"/>
      <c r="M9" s="1240"/>
      <c r="N9" s="1240"/>
      <c r="O9" s="1241"/>
      <c r="P9" s="3640" t="s">
        <v>1018</v>
      </c>
      <c r="Q9" s="1284" t="str">
        <f t="shared" ref="Q9:Q14" si="6">B9</f>
        <v>用途</v>
      </c>
      <c r="R9" s="1280" t="s">
        <v>1013</v>
      </c>
      <c r="S9" s="1281">
        <f t="shared" si="0"/>
        <v>100</v>
      </c>
      <c r="T9" s="1280" t="s">
        <v>1013</v>
      </c>
      <c r="U9" s="1281">
        <f t="shared" si="1"/>
        <v>100</v>
      </c>
      <c r="V9" s="1280" t="s">
        <v>1013</v>
      </c>
      <c r="W9" s="1281">
        <f t="shared" si="2"/>
        <v>100</v>
      </c>
      <c r="X9" s="1282"/>
      <c r="Y9" s="3617" t="s">
        <v>1019</v>
      </c>
      <c r="Z9" s="1295" t="str">
        <f t="shared" ref="Z9:Z14" si="7">Q9</f>
        <v>用途</v>
      </c>
      <c r="AA9" s="1294">
        <f t="shared" si="3"/>
        <v>1</v>
      </c>
      <c r="AB9" s="1294">
        <f t="shared" si="4"/>
        <v>1</v>
      </c>
      <c r="AC9" s="1294">
        <f t="shared" si="5"/>
        <v>1</v>
      </c>
    </row>
    <row r="10" spans="1:29" s="1070" customFormat="1" ht="27">
      <c r="A10" s="1106"/>
      <c r="B10" s="1107" t="s">
        <v>1020</v>
      </c>
      <c r="C10" s="1465"/>
      <c r="D10" s="1109">
        <v>100</v>
      </c>
      <c r="E10" s="1465"/>
      <c r="F10" s="1466">
        <f>SUMIF(53:53,E10,54:54)-SUMIF(53:53,C10,54:54)+100</f>
        <v>100</v>
      </c>
      <c r="G10" s="1465"/>
      <c r="H10" s="1109">
        <f>SUMIF(53:53,G10,54:54)-SUMIF(53:53,C10,54:54)+100</f>
        <v>100</v>
      </c>
      <c r="I10" s="1465"/>
      <c r="J10" s="1109">
        <f>SUMIF(53:53,I10,54:54)-SUMIF(53:53,C10,54:54)+100</f>
        <v>100</v>
      </c>
      <c r="K10" s="1238"/>
      <c r="L10" s="1243"/>
      <c r="M10" s="1244"/>
      <c r="N10" s="1244"/>
      <c r="O10" s="1245"/>
      <c r="P10" s="3640"/>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14">
        <v>111</v>
      </c>
      <c r="C11" s="1108"/>
      <c r="D11" s="1109">
        <v>100</v>
      </c>
      <c r="E11" s="1467"/>
      <c r="F11" s="1466">
        <f>SUMIF(55:55,E11,56:56)-SUMIF(55:55,C11,56:56)+100</f>
        <v>100</v>
      </c>
      <c r="G11" s="1467"/>
      <c r="H11" s="1109">
        <f>SUMIF(55:55,G11,56:56)-SUMIF(55:55,C11,56:56)+100</f>
        <v>100</v>
      </c>
      <c r="I11" s="1467"/>
      <c r="J11" s="1109">
        <f>SUMIF(55:55,I11,56:56)-SUMIF(55:55,C11,56:56)+100</f>
        <v>100</v>
      </c>
      <c r="K11" s="1254"/>
      <c r="L11" s="1247"/>
      <c r="M11" s="1237"/>
      <c r="N11" s="1237"/>
      <c r="O11" s="1248"/>
      <c r="P11" s="3640"/>
      <c r="Q11" s="1284">
        <f t="shared" si="6"/>
        <v>111</v>
      </c>
      <c r="R11" s="1280" t="s">
        <v>1013</v>
      </c>
      <c r="S11" s="1281">
        <f t="shared" si="0"/>
        <v>100</v>
      </c>
      <c r="T11" s="1280" t="s">
        <v>1013</v>
      </c>
      <c r="U11" s="1281">
        <f t="shared" si="1"/>
        <v>100</v>
      </c>
      <c r="V11" s="1280" t="s">
        <v>1013</v>
      </c>
      <c r="W11" s="1281">
        <f t="shared" si="2"/>
        <v>100</v>
      </c>
      <c r="X11" s="1282"/>
      <c r="Y11" s="3617"/>
      <c r="Z11" s="1295">
        <f t="shared" si="7"/>
        <v>111</v>
      </c>
      <c r="AA11" s="1294">
        <f t="shared" si="3"/>
        <v>1</v>
      </c>
      <c r="AB11" s="1294">
        <f t="shared" si="4"/>
        <v>1</v>
      </c>
      <c r="AC11" s="1294">
        <f t="shared" si="5"/>
        <v>1</v>
      </c>
    </row>
    <row r="12" spans="1:29" s="1069" customFormat="1" ht="15">
      <c r="A12" s="1113"/>
      <c r="B12" s="1114">
        <v>111</v>
      </c>
      <c r="C12" s="1108"/>
      <c r="D12" s="1115">
        <v>100</v>
      </c>
      <c r="E12" s="1467"/>
      <c r="F12" s="1466">
        <f>SUMIF(57:57,E12,58:58)-SUMIF(57:57,C12,58:58)+100</f>
        <v>100</v>
      </c>
      <c r="G12" s="1467"/>
      <c r="H12" s="1109">
        <f>SUMIF(57:57,G12,58:58)-SUMIF(57:57,C12,58:58)+100</f>
        <v>100</v>
      </c>
      <c r="I12" s="1467"/>
      <c r="J12" s="1109">
        <f>SUMIF(57:57,I12,58:58)-SUMIF(57:57,C12,58:58)+100</f>
        <v>100</v>
      </c>
      <c r="K12" s="1254"/>
      <c r="L12" s="1239"/>
      <c r="M12" s="1240"/>
      <c r="N12" s="1240"/>
      <c r="O12" s="1241"/>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467"/>
      <c r="F13" s="1466">
        <f>SUMIF(59:59,E13,60:60)-SUMIF(59:59,C13,60:60)+100</f>
        <v>100</v>
      </c>
      <c r="G13" s="1468"/>
      <c r="H13" s="1123">
        <f>SUMIF(59:59,G13,60:60)-SUMIF(59:59,C13,60:60)+100</f>
        <v>100</v>
      </c>
      <c r="I13" s="1467"/>
      <c r="J13" s="1119">
        <f>SUMIF(59:59,I13,60:60)-SUMIF(59:59,C13,60:60)+100</f>
        <v>100</v>
      </c>
      <c r="K13" s="1254"/>
      <c r="L13" s="1249"/>
      <c r="M13" s="1237"/>
      <c r="N13" s="1237"/>
      <c r="O13" s="124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85.5">
      <c r="A14" s="1124" t="s">
        <v>1022</v>
      </c>
      <c r="B14" s="1417" t="s">
        <v>1025</v>
      </c>
      <c r="C14" s="1126" t="str">
        <f>IF(B1="工业",估价对象房地状况!G4,估价对象房地状况!C6)</f>
        <v>估价对象周边道路状况、公共交通通达情况、停车便捷程度，综合评价交通便捷度较好</v>
      </c>
      <c r="D14" s="1127">
        <v>100</v>
      </c>
      <c r="E14" s="1128"/>
      <c r="F14" s="1469">
        <f>SUMIF(61:61,E15,62:62)-SUMIF(61:61,C15,62:62)+100</f>
        <v>100</v>
      </c>
      <c r="G14" s="1250"/>
      <c r="H14" s="1127">
        <f>SUMIF(61:61,G15,62:62)-SUMIF(61:61,C15,62:62)+100</f>
        <v>100</v>
      </c>
      <c r="I14" s="1128"/>
      <c r="J14" s="1127">
        <f>SUMIF(61:61,I15,62:62)-SUMIF(61:61,C15,62:62)+100</f>
        <v>100</v>
      </c>
      <c r="K14" s="1508"/>
      <c r="L14" s="1249"/>
      <c r="M14" s="1237"/>
      <c r="N14" s="1237"/>
      <c r="O14" s="1248"/>
      <c r="P14" s="3647" t="s">
        <v>1024</v>
      </c>
      <c r="Q14" s="664" t="str">
        <f t="shared" si="6"/>
        <v>交通便捷度</v>
      </c>
      <c r="R14" s="1285" t="s">
        <v>1013</v>
      </c>
      <c r="S14" s="1286">
        <f t="shared" si="0"/>
        <v>100</v>
      </c>
      <c r="T14" s="1285" t="s">
        <v>1013</v>
      </c>
      <c r="U14" s="1286">
        <f t="shared" si="1"/>
        <v>100</v>
      </c>
      <c r="V14" s="1285" t="s">
        <v>1013</v>
      </c>
      <c r="W14" s="1286">
        <f t="shared" si="2"/>
        <v>100</v>
      </c>
      <c r="X14" s="1279"/>
      <c r="Y14" s="3647" t="s">
        <v>1024</v>
      </c>
      <c r="Z14" s="1269" t="str">
        <f t="shared" si="7"/>
        <v>交通便捷度</v>
      </c>
      <c r="AA14" s="1296">
        <f t="shared" si="3"/>
        <v>1</v>
      </c>
      <c r="AB14" s="1296">
        <f t="shared" si="4"/>
        <v>1</v>
      </c>
      <c r="AC14" s="1296">
        <f t="shared" si="5"/>
        <v>1</v>
      </c>
    </row>
    <row r="15" spans="1:29" ht="15">
      <c r="A15" s="1110"/>
      <c r="B15" s="1419"/>
      <c r="C15" s="1130"/>
      <c r="D15" s="1131"/>
      <c r="E15" s="1130"/>
      <c r="F15" s="1470"/>
      <c r="G15" s="1130"/>
      <c r="H15" s="1133"/>
      <c r="I15" s="1130"/>
      <c r="J15" s="1131"/>
      <c r="K15" s="1509"/>
      <c r="L15" s="1249"/>
      <c r="M15" s="1237"/>
      <c r="N15" s="1237"/>
      <c r="O15" s="1248"/>
      <c r="P15" s="3648"/>
      <c r="Q15" s="664"/>
      <c r="R15" s="1285"/>
      <c r="S15" s="1286"/>
      <c r="T15" s="1285"/>
      <c r="U15" s="1286"/>
      <c r="V15" s="1285"/>
      <c r="W15" s="1286"/>
      <c r="X15" s="1279"/>
      <c r="Y15" s="3648"/>
      <c r="Z15" s="1269"/>
      <c r="AA15" s="1296">
        <v>1</v>
      </c>
      <c r="AB15" s="1296">
        <v>1</v>
      </c>
      <c r="AC15" s="1296">
        <v>1</v>
      </c>
    </row>
    <row r="16" spans="1:29" ht="42.75">
      <c r="A16" s="1110"/>
      <c r="B16" s="1420" t="s">
        <v>1026</v>
      </c>
      <c r="C16" s="1135" t="str">
        <f>IF(B1="工业",估价对象房地状况!G5,估价对象房地状况!C7)</f>
        <v>估价对象所在区域公共配套设施齐备情况</v>
      </c>
      <c r="D16" s="1137">
        <v>100</v>
      </c>
      <c r="E16" s="1423"/>
      <c r="F16" s="1471">
        <f>SUMIF(63:63,E17,64:64)-SUMIF(63:63,C17,64:64)+100</f>
        <v>100</v>
      </c>
      <c r="G16" s="1431"/>
      <c r="H16" s="1137">
        <f>SUMIF(63:63,G17,64:64)-SUMIF(63:63,C17,64:64)+100</f>
        <v>100</v>
      </c>
      <c r="I16" s="1423"/>
      <c r="J16" s="1137">
        <f>SUMIF(63:63,I17,64:64)-SUMIF(63:63,C17,64:64)+100</f>
        <v>100</v>
      </c>
      <c r="K16" s="1508"/>
      <c r="L16" s="1249"/>
      <c r="M16" s="1237"/>
      <c r="N16" s="1237"/>
      <c r="O16" s="1248"/>
      <c r="P16" s="3648"/>
      <c r="Q16" s="664" t="str">
        <f>B16</f>
        <v>公共配套设施</v>
      </c>
      <c r="R16" s="1285" t="s">
        <v>1013</v>
      </c>
      <c r="S16" s="1286">
        <f>F16</f>
        <v>100</v>
      </c>
      <c r="T16" s="1285" t="s">
        <v>1013</v>
      </c>
      <c r="U16" s="1286">
        <f>H16</f>
        <v>100</v>
      </c>
      <c r="V16" s="1285" t="s">
        <v>1013</v>
      </c>
      <c r="W16" s="1286">
        <f>J16</f>
        <v>100</v>
      </c>
      <c r="X16" s="1279"/>
      <c r="Y16" s="3648"/>
      <c r="Z16" s="1269" t="str">
        <f>Q16</f>
        <v>公共配套设施</v>
      </c>
      <c r="AA16" s="1296">
        <f t="shared" si="3"/>
        <v>1</v>
      </c>
      <c r="AB16" s="1296">
        <f t="shared" si="4"/>
        <v>1</v>
      </c>
      <c r="AC16" s="1296">
        <f t="shared" si="5"/>
        <v>1</v>
      </c>
    </row>
    <row r="17" spans="1:29" ht="15">
      <c r="A17" s="1110"/>
      <c r="B17" s="1158"/>
      <c r="C17" s="1421"/>
      <c r="D17" s="1131"/>
      <c r="E17" s="1130"/>
      <c r="F17" s="1470"/>
      <c r="G17" s="1130"/>
      <c r="H17" s="1131"/>
      <c r="I17" s="1130"/>
      <c r="J17" s="1131"/>
      <c r="K17" s="1509"/>
      <c r="L17" s="1249"/>
      <c r="M17" s="1237"/>
      <c r="N17" s="1237"/>
      <c r="O17" s="1248"/>
      <c r="P17" s="3648"/>
      <c r="Q17" s="664"/>
      <c r="R17" s="1285"/>
      <c r="S17" s="1286"/>
      <c r="T17" s="1285"/>
      <c r="U17" s="1286"/>
      <c r="V17" s="1285"/>
      <c r="W17" s="1286"/>
      <c r="X17" s="1279"/>
      <c r="Y17" s="3648"/>
      <c r="Z17" s="1269"/>
      <c r="AA17" s="1296">
        <v>1</v>
      </c>
      <c r="AB17" s="1296">
        <v>1</v>
      </c>
      <c r="AC17" s="1296">
        <v>1</v>
      </c>
    </row>
    <row r="18" spans="1:29" ht="28.5">
      <c r="A18" s="1110"/>
      <c r="B18" s="1424" t="s">
        <v>1027</v>
      </c>
      <c r="C18" s="1135" t="str">
        <f>IF(B1="工业",估价对象房地状况!G6,估价对象房地状况!C8)</f>
        <v>估价对象所在区域基础设施水平</v>
      </c>
      <c r="D18" s="1137">
        <v>100</v>
      </c>
      <c r="E18" s="1136"/>
      <c r="F18" s="1471">
        <f>SUMIF(65:65,E19,66:66)-SUMIF(65:65,C19,66:66)+100</f>
        <v>100</v>
      </c>
      <c r="G18" s="1251"/>
      <c r="H18" s="1137">
        <f>SUMIF(65:65,G19,66:66)-SUMIF(65:65,C19,66:66)+100</f>
        <v>100</v>
      </c>
      <c r="I18" s="1423"/>
      <c r="J18" s="1137">
        <f>SUMIF(65:65,I19,66:66)-SUMIF(65:65,C19,66:66)+100</f>
        <v>100</v>
      </c>
      <c r="K18" s="1508"/>
      <c r="L18" s="1249"/>
      <c r="M18" s="1237"/>
      <c r="N18" s="1237"/>
      <c r="O18" s="1248"/>
      <c r="P18" s="3648"/>
      <c r="Q18" s="664" t="str">
        <f>B18</f>
        <v>基础设施水平</v>
      </c>
      <c r="R18" s="1285" t="s">
        <v>1013</v>
      </c>
      <c r="S18" s="1286">
        <f>F18</f>
        <v>100</v>
      </c>
      <c r="T18" s="1285" t="s">
        <v>1013</v>
      </c>
      <c r="U18" s="1286">
        <f>H18</f>
        <v>100</v>
      </c>
      <c r="V18" s="1285" t="s">
        <v>1013</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2"/>
      <c r="G19" s="1421"/>
      <c r="H19" s="1131"/>
      <c r="I19" s="1130"/>
      <c r="J19" s="1131"/>
      <c r="K19" s="1510"/>
      <c r="L19" s="1249"/>
      <c r="M19" s="1237"/>
      <c r="N19" s="1237"/>
      <c r="O19" s="1248"/>
      <c r="P19" s="3648"/>
      <c r="Q19" s="664"/>
      <c r="R19" s="1285"/>
      <c r="S19" s="1286"/>
      <c r="T19" s="1285"/>
      <c r="U19" s="1286"/>
      <c r="V19" s="1285"/>
      <c r="W19" s="1286"/>
      <c r="X19" s="1279"/>
      <c r="Y19" s="3648"/>
      <c r="Z19" s="1269"/>
      <c r="AA19" s="1296">
        <v>1</v>
      </c>
      <c r="AB19" s="1296">
        <v>1</v>
      </c>
      <c r="AC19" s="1296">
        <v>1</v>
      </c>
    </row>
    <row r="20" spans="1:29" ht="57">
      <c r="A20" s="1110"/>
      <c r="B20" s="1420" t="s">
        <v>1551</v>
      </c>
      <c r="C20" s="1135" t="str">
        <f>IF(B1="工业",估价对象房地状况!G7,估价对象房地状况!C9)</f>
        <v>区域自然环境：；人文环境；综合评价环境状况一般</v>
      </c>
      <c r="D20" s="1137">
        <v>100</v>
      </c>
      <c r="E20" s="1423"/>
      <c r="F20" s="1471">
        <f>SUMIF(67:67,E21,68:68)-SUMIF(67:67,C21,68:68)+100</f>
        <v>100</v>
      </c>
      <c r="G20" s="1431"/>
      <c r="H20" s="1133">
        <f>SUMIF(67:67,G21,68:68)-SUMIF(67:67,C21,68:68)+100</f>
        <v>100</v>
      </c>
      <c r="I20" s="1136"/>
      <c r="J20" s="1133">
        <f>SUMIF(67:67,I21,68:68)-SUMIF(67:67,C21,68:68)+100</f>
        <v>100</v>
      </c>
      <c r="K20" s="1508"/>
      <c r="L20" s="1249"/>
      <c r="M20" s="1237"/>
      <c r="N20" s="1237"/>
      <c r="O20" s="1248"/>
      <c r="P20" s="3648"/>
      <c r="Q20" s="664" t="str">
        <f>B20</f>
        <v>自然及人文环境</v>
      </c>
      <c r="R20" s="1285" t="s">
        <v>1013</v>
      </c>
      <c r="S20" s="1286">
        <f>F20</f>
        <v>100</v>
      </c>
      <c r="T20" s="1285" t="s">
        <v>1013</v>
      </c>
      <c r="U20" s="1286">
        <f>H20</f>
        <v>100</v>
      </c>
      <c r="V20" s="1285" t="s">
        <v>1013</v>
      </c>
      <c r="W20" s="1286">
        <f>J20</f>
        <v>100</v>
      </c>
      <c r="X20" s="1279"/>
      <c r="Y20" s="3648"/>
      <c r="Z20" s="1269" t="str">
        <f>Q20</f>
        <v>自然及人文环境</v>
      </c>
      <c r="AA20" s="1296">
        <f t="shared" si="3"/>
        <v>1</v>
      </c>
      <c r="AB20" s="1296">
        <f t="shared" si="4"/>
        <v>1</v>
      </c>
      <c r="AC20" s="1296">
        <f t="shared" si="5"/>
        <v>1</v>
      </c>
    </row>
    <row r="21" spans="1:29" ht="15">
      <c r="A21" s="1110"/>
      <c r="B21" s="1158"/>
      <c r="C21" s="1130"/>
      <c r="D21" s="1131"/>
      <c r="E21" s="1130"/>
      <c r="F21" s="1470"/>
      <c r="G21" s="1130"/>
      <c r="H21" s="1131"/>
      <c r="I21" s="1130"/>
      <c r="J21" s="1131"/>
      <c r="K21" s="1509"/>
      <c r="L21" s="1249"/>
      <c r="M21" s="1237"/>
      <c r="N21" s="1237"/>
      <c r="O21" s="1248"/>
      <c r="P21" s="3648"/>
      <c r="Q21" s="664"/>
      <c r="R21" s="1285"/>
      <c r="S21" s="1286"/>
      <c r="T21" s="1285"/>
      <c r="U21" s="1286"/>
      <c r="V21" s="1285"/>
      <c r="W21" s="1286"/>
      <c r="X21" s="1279"/>
      <c r="Y21" s="3648"/>
      <c r="Z21" s="1269"/>
      <c r="AA21" s="1296">
        <v>1</v>
      </c>
      <c r="AB21" s="1296">
        <v>1</v>
      </c>
      <c r="AC21" s="1296">
        <v>1</v>
      </c>
    </row>
    <row r="22" spans="1:29" ht="15">
      <c r="A22" s="1110"/>
      <c r="B22" s="1420" t="s">
        <v>1030</v>
      </c>
      <c r="C22" s="1144"/>
      <c r="D22" s="1133">
        <v>100</v>
      </c>
      <c r="E22" s="1144"/>
      <c r="F22" s="1473">
        <f>SUMIF(69:69,E22,70:70)-SUMIF(69:69,C22,70:70)+100</f>
        <v>100</v>
      </c>
      <c r="G22" s="1144"/>
      <c r="H22" s="1119">
        <f>SUMIF(69:69,G22,70:70)-SUMIF(69:69,C22,70:70)+100</f>
        <v>100</v>
      </c>
      <c r="I22" s="1144"/>
      <c r="J22" s="1119">
        <f>SUMIF(69:69,I22,70:70)-SUMIF(69:69,C22,70:70)+100</f>
        <v>100</v>
      </c>
      <c r="K22" s="1255"/>
      <c r="L22" s="1249"/>
      <c r="M22" s="1237"/>
      <c r="N22" s="1237"/>
      <c r="O22" s="1248"/>
      <c r="P22" s="3648"/>
      <c r="Q22" s="664" t="str">
        <f>B22</f>
        <v>楼层</v>
      </c>
      <c r="R22" s="1285" t="s">
        <v>1013</v>
      </c>
      <c r="S22" s="1286">
        <f>F22</f>
        <v>100</v>
      </c>
      <c r="T22" s="1285" t="s">
        <v>1013</v>
      </c>
      <c r="U22" s="1286">
        <f>H22</f>
        <v>100</v>
      </c>
      <c r="V22" s="1285" t="s">
        <v>1013</v>
      </c>
      <c r="W22" s="1286">
        <f>J22</f>
        <v>100</v>
      </c>
      <c r="X22" s="1279"/>
      <c r="Y22" s="3648"/>
      <c r="Z22" s="1269" t="str">
        <f>Q22</f>
        <v>楼层</v>
      </c>
      <c r="AA22" s="1296">
        <f t="shared" si="3"/>
        <v>1</v>
      </c>
      <c r="AB22" s="1296">
        <f t="shared" si="4"/>
        <v>1</v>
      </c>
      <c r="AC22" s="1296">
        <f t="shared" si="5"/>
        <v>1</v>
      </c>
    </row>
    <row r="23" spans="1:29" ht="15">
      <c r="A23" s="1090"/>
      <c r="B23" s="1114">
        <v>111</v>
      </c>
      <c r="C23" s="1108"/>
      <c r="D23" s="1119">
        <v>100</v>
      </c>
      <c r="E23" s="1118"/>
      <c r="F23" s="1473">
        <f>SUMIF(71:71,E23,72:72)-SUMIF(71:71,C23,72:72)+100</f>
        <v>100</v>
      </c>
      <c r="G23" s="1118"/>
      <c r="H23" s="1119">
        <f>SUMIF(71:71,G23,72:72)-SUMIF(71:71,C23,72:72)+100</f>
        <v>100</v>
      </c>
      <c r="I23" s="1118"/>
      <c r="J23" s="1119">
        <f>SUMIF(71:71,I23,72:72)-SUMIF(71:71,C23,72:72)+100</f>
        <v>100</v>
      </c>
      <c r="K23" s="1254"/>
      <c r="L23" s="1249"/>
      <c r="M23" s="1237"/>
      <c r="N23" s="1237"/>
      <c r="O23" s="1248"/>
      <c r="P23" s="3648"/>
      <c r="Q23" s="664">
        <f>B23</f>
        <v>111</v>
      </c>
      <c r="R23" s="1285" t="s">
        <v>1013</v>
      </c>
      <c r="S23" s="1286">
        <f>F23</f>
        <v>100</v>
      </c>
      <c r="T23" s="1285" t="s">
        <v>1013</v>
      </c>
      <c r="U23" s="1286">
        <f>H23</f>
        <v>100</v>
      </c>
      <c r="V23" s="1285" t="s">
        <v>1013</v>
      </c>
      <c r="W23" s="1286">
        <f>J23</f>
        <v>100</v>
      </c>
      <c r="X23" s="1279"/>
      <c r="Y23" s="3648"/>
      <c r="Z23" s="1269">
        <f>Q23</f>
        <v>111</v>
      </c>
      <c r="AA23" s="1296">
        <f t="shared" si="3"/>
        <v>1</v>
      </c>
      <c r="AB23" s="1296">
        <f t="shared" si="4"/>
        <v>1</v>
      </c>
      <c r="AC23" s="1296">
        <f t="shared" si="5"/>
        <v>1</v>
      </c>
    </row>
    <row r="24" spans="1:29" ht="15">
      <c r="A24" s="1110"/>
      <c r="B24" s="1114">
        <v>111</v>
      </c>
      <c r="C24" s="1108"/>
      <c r="D24" s="1119">
        <v>100</v>
      </c>
      <c r="E24" s="1118"/>
      <c r="F24" s="1473">
        <f>SUMIF(73:73,E24,74:74)-SUMIF(73:73,C24,74:74)+100</f>
        <v>100</v>
      </c>
      <c r="G24" s="1118"/>
      <c r="H24" s="1119">
        <f>SUMIF(73:73,G24,74:74)-SUMIF(73:73,C24,74:74)+100</f>
        <v>100</v>
      </c>
      <c r="I24" s="1118"/>
      <c r="J24" s="1119">
        <f>SUMIF(73:73,I24,74:74)-SUMIF(73:73,C24,74:74)+100</f>
        <v>100</v>
      </c>
      <c r="K24" s="1254"/>
      <c r="L24" s="1249"/>
      <c r="M24" s="1237"/>
      <c r="N24" s="1237"/>
      <c r="O24" s="1248"/>
      <c r="P24" s="3648"/>
      <c r="Q24" s="664">
        <f t="shared" ref="Q24:Q34" si="11">B24</f>
        <v>111</v>
      </c>
      <c r="R24" s="1285" t="s">
        <v>1013</v>
      </c>
      <c r="S24" s="1286">
        <f>F24</f>
        <v>100</v>
      </c>
      <c r="T24" s="1285" t="s">
        <v>1013</v>
      </c>
      <c r="U24" s="1286">
        <f>H24</f>
        <v>100</v>
      </c>
      <c r="V24" s="1285" t="s">
        <v>1013</v>
      </c>
      <c r="W24" s="1286">
        <f>J24</f>
        <v>100</v>
      </c>
      <c r="X24" s="1279"/>
      <c r="Y24" s="3648"/>
      <c r="Z24" s="1269">
        <f>Q24</f>
        <v>111</v>
      </c>
      <c r="AA24" s="1296">
        <f t="shared" si="3"/>
        <v>1</v>
      </c>
      <c r="AB24" s="1296">
        <f t="shared" si="4"/>
        <v>1</v>
      </c>
      <c r="AC24" s="1296">
        <f t="shared" si="5"/>
        <v>1</v>
      </c>
    </row>
    <row r="25" spans="1:29" s="1069" customFormat="1" ht="15">
      <c r="A25" s="1113"/>
      <c r="B25" s="1114">
        <v>111</v>
      </c>
      <c r="C25" s="1474"/>
      <c r="D25" s="1475">
        <v>100</v>
      </c>
      <c r="E25" s="1474"/>
      <c r="F25" s="1476">
        <f>SUMIF(75:75,E25,76:76)-SUMIF(75:75,C25,76:76)+100</f>
        <v>100</v>
      </c>
      <c r="G25" s="1474"/>
      <c r="H25" s="1475">
        <f>SUMIF(75:75,G25,76:76)-SUMIF(75:75,C25,76:76)+100</f>
        <v>100</v>
      </c>
      <c r="I25" s="1474"/>
      <c r="J25" s="1475">
        <f>SUMIF(75:75,I25,76:76)-SUMIF(75:75,C25,76:76)+100</f>
        <v>100</v>
      </c>
      <c r="K25" s="1254"/>
      <c r="L25" s="1239"/>
      <c r="M25" s="1240"/>
      <c r="N25" s="1240"/>
      <c r="O25" s="1241"/>
      <c r="P25" s="3648"/>
      <c r="Q25" s="1284">
        <f t="shared" si="11"/>
        <v>111</v>
      </c>
      <c r="R25" s="1280" t="s">
        <v>1013</v>
      </c>
      <c r="S25" s="1281">
        <f>F25</f>
        <v>100</v>
      </c>
      <c r="T25" s="1280" t="s">
        <v>1013</v>
      </c>
      <c r="U25" s="1281">
        <f>H25</f>
        <v>100</v>
      </c>
      <c r="V25" s="1280" t="s">
        <v>1013</v>
      </c>
      <c r="W25" s="1281">
        <f>J25</f>
        <v>100</v>
      </c>
      <c r="X25" s="1282"/>
      <c r="Y25" s="3648"/>
      <c r="Z25" s="1295">
        <f>Q25</f>
        <v>111</v>
      </c>
      <c r="AA25" s="1296">
        <f t="shared" si="3"/>
        <v>1</v>
      </c>
      <c r="AB25" s="1296">
        <f t="shared" si="4"/>
        <v>1</v>
      </c>
      <c r="AC25" s="1296">
        <f t="shared" si="5"/>
        <v>1</v>
      </c>
    </row>
    <row r="26" spans="1:29" ht="28.5">
      <c r="A26" s="1477" t="s">
        <v>1032</v>
      </c>
      <c r="B26" s="1103" t="s">
        <v>1037</v>
      </c>
      <c r="C26" s="1478"/>
      <c r="D26" s="1160">
        <v>100</v>
      </c>
      <c r="E26" s="1478"/>
      <c r="F26" s="1479">
        <f>SUMIF(77:77,E26,78:78)-SUMIF(77:77,C26,78:78)+100</f>
        <v>100</v>
      </c>
      <c r="G26" s="1478"/>
      <c r="H26" s="1160">
        <f>SUMIF(77:77,G26,78:78)-SUMIF(77:77,C26,78:78)+100</f>
        <v>100</v>
      </c>
      <c r="I26" s="1478"/>
      <c r="J26" s="1160">
        <f>SUMIF(77:77,I26,78:78)-SUMIF(77:77,C26,78:78)+100</f>
        <v>100</v>
      </c>
      <c r="K26" s="1255"/>
      <c r="L26" s="1249"/>
      <c r="M26" s="1237"/>
      <c r="N26" s="1237"/>
      <c r="O26" s="1248"/>
      <c r="P26" s="3713" t="s">
        <v>1034</v>
      </c>
      <c r="Q26" s="664" t="str">
        <f t="shared" si="11"/>
        <v>公共部分装修</v>
      </c>
      <c r="R26" s="1285" t="s">
        <v>1013</v>
      </c>
      <c r="S26" s="1286">
        <f t="shared" ref="S26:S34" si="12">F26</f>
        <v>100</v>
      </c>
      <c r="T26" s="1285" t="s">
        <v>1013</v>
      </c>
      <c r="U26" s="1286">
        <f t="shared" ref="U26:U34" si="13">H26</f>
        <v>100</v>
      </c>
      <c r="V26" s="1285" t="s">
        <v>1013</v>
      </c>
      <c r="W26" s="1286">
        <f t="shared" ref="W26:W34" si="14">J26</f>
        <v>100</v>
      </c>
      <c r="X26" s="1279"/>
      <c r="Y26" s="3649" t="s">
        <v>1034</v>
      </c>
      <c r="Z26" s="1269" t="str">
        <f t="shared" ref="Z26:Z34" si="15">Q26</f>
        <v>公共部分装修</v>
      </c>
      <c r="AA26" s="1296">
        <f t="shared" si="3"/>
        <v>1</v>
      </c>
      <c r="AB26" s="1296">
        <f t="shared" si="4"/>
        <v>1</v>
      </c>
      <c r="AC26" s="1296">
        <f t="shared" si="5"/>
        <v>1</v>
      </c>
    </row>
    <row r="27" spans="1:29" s="1071" customFormat="1" ht="15">
      <c r="A27" s="1166"/>
      <c r="B27" s="1107" t="s">
        <v>1594</v>
      </c>
      <c r="C27" s="1480"/>
      <c r="D27" s="1109">
        <v>100</v>
      </c>
      <c r="E27" s="1481"/>
      <c r="F27" s="1473" t="e">
        <f>LOOKUP(E27,80:80,81:81)-LOOKUP(C27,80:80,81:81)+100</f>
        <v>#N/A</v>
      </c>
      <c r="G27" s="1482"/>
      <c r="H27" s="1119" t="e">
        <f>LOOKUP(G27,80:80,81:81)-LOOKUP(C27,80:80,81:81)+100</f>
        <v>#N/A</v>
      </c>
      <c r="I27" s="1482"/>
      <c r="J27" s="1119" t="e">
        <f>LOOKUP(I27,80:80,81:81)-LOOKUP(C27,80:80,81:81)+100</f>
        <v>#N/A</v>
      </c>
      <c r="K27" s="1255"/>
      <c r="L27" s="1247"/>
      <c r="M27" s="1256"/>
      <c r="N27" s="1256"/>
      <c r="O27" s="1257"/>
      <c r="P27" s="3649"/>
      <c r="Q27" s="1512" t="str">
        <f t="shared" si="11"/>
        <v>成新率</v>
      </c>
      <c r="R27" s="1287" t="s">
        <v>1013</v>
      </c>
      <c r="S27" s="1288" t="e">
        <f t="shared" si="12"/>
        <v>#N/A</v>
      </c>
      <c r="T27" s="1287" t="s">
        <v>1013</v>
      </c>
      <c r="U27" s="1288" t="e">
        <f t="shared" si="13"/>
        <v>#N/A</v>
      </c>
      <c r="V27" s="1287" t="s">
        <v>1013</v>
      </c>
      <c r="W27" s="1288" t="e">
        <f t="shared" si="14"/>
        <v>#N/A</v>
      </c>
      <c r="X27" s="1289"/>
      <c r="Y27" s="3649"/>
      <c r="Z27" s="1297" t="str">
        <f t="shared" si="15"/>
        <v>成新率</v>
      </c>
      <c r="AA27" s="1296" t="e">
        <f t="shared" si="3"/>
        <v>#N/A</v>
      </c>
      <c r="AB27" s="1296" t="e">
        <f t="shared" si="4"/>
        <v>#N/A</v>
      </c>
      <c r="AC27" s="1296" t="e">
        <f t="shared" si="5"/>
        <v>#N/A</v>
      </c>
    </row>
    <row r="28" spans="1:29" ht="15">
      <c r="A28" s="1161"/>
      <c r="B28" s="1107" t="s">
        <v>1595</v>
      </c>
      <c r="C28" s="1483"/>
      <c r="D28" s="1119">
        <v>100</v>
      </c>
      <c r="E28" s="1483"/>
      <c r="F28" s="1473">
        <f>SUMIF(82:82,E28,83:83)-SUMIF(82:82,C28,83:83)+100</f>
        <v>100</v>
      </c>
      <c r="G28" s="1483"/>
      <c r="H28" s="1119">
        <f>SUMIF(82:82,G28,83:83)-SUMIF(82:82,C28,83:83)+100</f>
        <v>100</v>
      </c>
      <c r="I28" s="1483"/>
      <c r="J28" s="1119">
        <f>SUMIF(82:82,I28,83:83)-SUMIF(82:82,C28,83:83)+100</f>
        <v>100</v>
      </c>
      <c r="K28" s="1255"/>
      <c r="L28" s="1249"/>
      <c r="M28" s="1237"/>
      <c r="N28" s="1237"/>
      <c r="O28" s="1248"/>
      <c r="P28" s="3649"/>
      <c r="Q28" s="664" t="str">
        <f t="shared" si="11"/>
        <v>物业等级</v>
      </c>
      <c r="R28" s="1285" t="s">
        <v>1013</v>
      </c>
      <c r="S28" s="1286">
        <f t="shared" si="12"/>
        <v>100</v>
      </c>
      <c r="T28" s="1285" t="s">
        <v>1013</v>
      </c>
      <c r="U28" s="1286">
        <f t="shared" si="13"/>
        <v>100</v>
      </c>
      <c r="V28" s="1285" t="s">
        <v>1013</v>
      </c>
      <c r="W28" s="1286">
        <f t="shared" si="14"/>
        <v>100</v>
      </c>
      <c r="X28" s="1279"/>
      <c r="Y28" s="3649"/>
      <c r="Z28" s="1269" t="str">
        <f t="shared" si="15"/>
        <v>物业等级</v>
      </c>
      <c r="AA28" s="1296">
        <f t="shared" si="3"/>
        <v>1</v>
      </c>
      <c r="AB28" s="1296">
        <f t="shared" si="4"/>
        <v>1</v>
      </c>
      <c r="AC28" s="1296">
        <f t="shared" si="5"/>
        <v>1</v>
      </c>
    </row>
    <row r="29" spans="1:29" ht="15">
      <c r="A29" s="1161"/>
      <c r="B29" s="1107" t="s">
        <v>1604</v>
      </c>
      <c r="C29" s="1484"/>
      <c r="D29" s="1119">
        <v>100</v>
      </c>
      <c r="E29" s="1484"/>
      <c r="F29" s="1473">
        <f>SUMIF(84:84,E29,85:85)-SUMIF(84:84,C29,85:85)+100</f>
        <v>100</v>
      </c>
      <c r="G29" s="1484"/>
      <c r="H29" s="1119">
        <f>SUMIF(84:84,G29,85:85)-SUMIF(84:84,C29,85:85)+100</f>
        <v>100</v>
      </c>
      <c r="I29" s="1484"/>
      <c r="J29" s="1119">
        <f>SUMIF(84:84,I29,85:85)-SUMIF(84:84,C29,85:85)+100</f>
        <v>100</v>
      </c>
      <c r="K29" s="1255"/>
      <c r="L29" s="1249"/>
      <c r="M29" s="1237"/>
      <c r="N29" s="1237"/>
      <c r="O29" s="1248"/>
      <c r="P29" s="3649"/>
      <c r="Q29" s="664" t="str">
        <f t="shared" si="11"/>
        <v>有无电梯</v>
      </c>
      <c r="R29" s="1285" t="s">
        <v>1013</v>
      </c>
      <c r="S29" s="1286">
        <f t="shared" si="12"/>
        <v>100</v>
      </c>
      <c r="T29" s="1285" t="s">
        <v>1013</v>
      </c>
      <c r="U29" s="1286">
        <f t="shared" si="13"/>
        <v>100</v>
      </c>
      <c r="V29" s="1285" t="s">
        <v>1013</v>
      </c>
      <c r="W29" s="1286">
        <f t="shared" si="14"/>
        <v>100</v>
      </c>
      <c r="X29" s="1279"/>
      <c r="Y29" s="3649"/>
      <c r="Z29" s="1269" t="str">
        <f t="shared" si="15"/>
        <v>有无电梯</v>
      </c>
      <c r="AA29" s="1296">
        <f t="shared" si="3"/>
        <v>1</v>
      </c>
      <c r="AB29" s="1296">
        <f t="shared" si="4"/>
        <v>1</v>
      </c>
      <c r="AC29" s="1296">
        <f t="shared" si="5"/>
        <v>1</v>
      </c>
    </row>
    <row r="30" spans="1:29" ht="15">
      <c r="A30" s="1161"/>
      <c r="B30" s="1107" t="s">
        <v>596</v>
      </c>
      <c r="C30" s="1467"/>
      <c r="D30" s="1119">
        <v>100</v>
      </c>
      <c r="E30" s="1467"/>
      <c r="F30" s="1473" t="e">
        <f>LOOKUP(E30,87:87,88:88)-LOOKUP(C30,87:87,88:88)+100</f>
        <v>#N/A</v>
      </c>
      <c r="G30" s="1467"/>
      <c r="H30" s="1119" t="e">
        <f>LOOKUP(G30,87:87,88:88)-LOOKUP(C30,87:87,88:88)+100</f>
        <v>#N/A</v>
      </c>
      <c r="I30" s="1467"/>
      <c r="J30" s="1119" t="e">
        <f>LOOKUP(I30,87:87,88:88)-LOOKUP(C30,87:87,88:88)+100</f>
        <v>#N/A</v>
      </c>
      <c r="K30" s="1254"/>
      <c r="L30" s="1249"/>
      <c r="M30" s="1237"/>
      <c r="N30" s="1237"/>
      <c r="O30" s="1248"/>
      <c r="P30" s="3649"/>
      <c r="Q30" s="664" t="str">
        <f t="shared" si="11"/>
        <v>建筑面积</v>
      </c>
      <c r="R30" s="1285" t="s">
        <v>1013</v>
      </c>
      <c r="S30" s="1286" t="e">
        <f t="shared" si="12"/>
        <v>#N/A</v>
      </c>
      <c r="T30" s="1285" t="s">
        <v>1013</v>
      </c>
      <c r="U30" s="1286" t="e">
        <f t="shared" si="13"/>
        <v>#N/A</v>
      </c>
      <c r="V30" s="1285" t="s">
        <v>1013</v>
      </c>
      <c r="W30" s="1286" t="e">
        <f t="shared" si="14"/>
        <v>#N/A</v>
      </c>
      <c r="X30" s="1279"/>
      <c r="Y30" s="3649"/>
      <c r="Z30" s="1269" t="str">
        <f t="shared" si="15"/>
        <v>建筑面积</v>
      </c>
      <c r="AA30" s="1296" t="e">
        <f t="shared" si="3"/>
        <v>#N/A</v>
      </c>
      <c r="AB30" s="1296" t="e">
        <f t="shared" si="4"/>
        <v>#N/A</v>
      </c>
      <c r="AC30" s="1296" t="e">
        <f t="shared" si="5"/>
        <v>#N/A</v>
      </c>
    </row>
    <row r="31" spans="1:29" s="1069" customFormat="1" ht="15">
      <c r="A31" s="1163"/>
      <c r="B31" s="1107" t="s">
        <v>1605</v>
      </c>
      <c r="C31" s="1484"/>
      <c r="D31" s="1109">
        <v>100</v>
      </c>
      <c r="E31" s="1484"/>
      <c r="F31" s="1473">
        <f>SUMIF(89:89,E31,90:90)-SUMIF(89:89,C31,90:90)+100</f>
        <v>100</v>
      </c>
      <c r="G31" s="1484"/>
      <c r="H31" s="1119">
        <f>SUMIF(89:89,G31,90:90)-SUMIF(89:89,C31,90:90)+100</f>
        <v>100</v>
      </c>
      <c r="I31" s="1484"/>
      <c r="J31" s="1119">
        <f>SUMIF(89:89,I31,90:90)-SUMIF(89:89,C31,90:90)+100</f>
        <v>100</v>
      </c>
      <c r="K31" s="1255"/>
      <c r="L31" s="1239"/>
      <c r="M31" s="1240"/>
      <c r="N31" s="1240"/>
      <c r="O31" s="1241"/>
      <c r="P31" s="3649"/>
      <c r="Q31" s="1284" t="str">
        <f t="shared" si="11"/>
        <v>是否封闭</v>
      </c>
      <c r="R31" s="1280" t="s">
        <v>1013</v>
      </c>
      <c r="S31" s="1281">
        <f t="shared" si="12"/>
        <v>100</v>
      </c>
      <c r="T31" s="1280" t="s">
        <v>1013</v>
      </c>
      <c r="U31" s="1281">
        <f t="shared" si="13"/>
        <v>100</v>
      </c>
      <c r="V31" s="1280" t="s">
        <v>1013</v>
      </c>
      <c r="W31" s="1281">
        <f t="shared" si="14"/>
        <v>100</v>
      </c>
      <c r="X31" s="1282"/>
      <c r="Y31" s="3649"/>
      <c r="Z31" s="1295" t="str">
        <f t="shared" si="15"/>
        <v>是否封闭</v>
      </c>
      <c r="AA31" s="1294">
        <f t="shared" si="3"/>
        <v>1</v>
      </c>
      <c r="AB31" s="1294">
        <f t="shared" si="4"/>
        <v>1</v>
      </c>
      <c r="AC31" s="1294">
        <f t="shared" si="5"/>
        <v>1</v>
      </c>
    </row>
    <row r="32" spans="1:29" ht="15">
      <c r="A32" s="1161"/>
      <c r="B32" s="1114">
        <v>111</v>
      </c>
      <c r="C32" s="1108"/>
      <c r="D32" s="1119">
        <v>100</v>
      </c>
      <c r="E32" s="1467"/>
      <c r="F32" s="1473">
        <f>SUMIF(91:91,E32,92:92)-SUMIF(91:91,C32,92:92)+100</f>
        <v>100</v>
      </c>
      <c r="G32" s="1467"/>
      <c r="H32" s="1119">
        <f>SUMIF(91:91,G32,92:92)-SUMIF(91:91,C32,92:92)+100</f>
        <v>100</v>
      </c>
      <c r="I32" s="1467"/>
      <c r="J32" s="1119">
        <f>SUMIF(91:91,I32,92:92)-SUMIF(91:91,C32,92:92)+100</f>
        <v>100</v>
      </c>
      <c r="K32" s="1254"/>
      <c r="L32" s="1249"/>
      <c r="M32" s="1237"/>
      <c r="N32" s="1237"/>
      <c r="O32" s="1248"/>
      <c r="P32" s="3649" t="s">
        <v>1034</v>
      </c>
      <c r="Q32" s="664">
        <f t="shared" si="11"/>
        <v>111</v>
      </c>
      <c r="R32" s="1285" t="s">
        <v>1013</v>
      </c>
      <c r="S32" s="1286">
        <f t="shared" si="12"/>
        <v>100</v>
      </c>
      <c r="T32" s="1285" t="s">
        <v>1013</v>
      </c>
      <c r="U32" s="1286">
        <f t="shared" si="13"/>
        <v>100</v>
      </c>
      <c r="V32" s="1285" t="s">
        <v>1013</v>
      </c>
      <c r="W32" s="1286">
        <f t="shared" si="14"/>
        <v>100</v>
      </c>
      <c r="X32" s="1279"/>
      <c r="Y32" s="3649" t="s">
        <v>1034</v>
      </c>
      <c r="Z32" s="1269">
        <f t="shared" si="15"/>
        <v>111</v>
      </c>
      <c r="AA32" s="1296">
        <f t="shared" si="3"/>
        <v>1</v>
      </c>
      <c r="AB32" s="1296">
        <f t="shared" si="4"/>
        <v>1</v>
      </c>
      <c r="AC32" s="1296">
        <f t="shared" si="5"/>
        <v>1</v>
      </c>
    </row>
    <row r="33" spans="1:30" ht="15">
      <c r="A33" s="1161"/>
      <c r="B33" s="1114">
        <v>111</v>
      </c>
      <c r="C33" s="1108"/>
      <c r="D33" s="1119">
        <v>100</v>
      </c>
      <c r="E33" s="1467"/>
      <c r="F33" s="1473">
        <f>SUMIF(93:93,E33,94:94)-SUMIF(93:93,C33,94:94)+100</f>
        <v>100</v>
      </c>
      <c r="G33" s="1467"/>
      <c r="H33" s="1119">
        <f>SUMIF(93:93,G33,94:94)-SUMIF(93:93,C33,94:94)+100</f>
        <v>100</v>
      </c>
      <c r="I33" s="1467"/>
      <c r="J33" s="1119">
        <f>SUMIF(93:93,I33,94:94)-SUMIF(93:93,C33,94:94)+100</f>
        <v>100</v>
      </c>
      <c r="K33" s="1254"/>
      <c r="L33" s="1249"/>
      <c r="M33" s="1237"/>
      <c r="N33" s="1237"/>
      <c r="O33" s="1248"/>
      <c r="P33" s="3649"/>
      <c r="Q33" s="664">
        <f t="shared" si="11"/>
        <v>111</v>
      </c>
      <c r="R33" s="1285" t="s">
        <v>1013</v>
      </c>
      <c r="S33" s="1286">
        <f t="shared" si="12"/>
        <v>100</v>
      </c>
      <c r="T33" s="1285" t="s">
        <v>1013</v>
      </c>
      <c r="U33" s="1286">
        <f t="shared" si="13"/>
        <v>100</v>
      </c>
      <c r="V33" s="1285" t="s">
        <v>1013</v>
      </c>
      <c r="W33" s="1286">
        <f t="shared" si="14"/>
        <v>100</v>
      </c>
      <c r="X33" s="1279"/>
      <c r="Y33" s="3649"/>
      <c r="Z33" s="1269">
        <f t="shared" si="15"/>
        <v>111</v>
      </c>
      <c r="AA33" s="1296">
        <f t="shared" si="3"/>
        <v>1</v>
      </c>
      <c r="AB33" s="1296">
        <f t="shared" si="4"/>
        <v>1</v>
      </c>
      <c r="AC33" s="1296">
        <f t="shared" si="5"/>
        <v>1</v>
      </c>
    </row>
    <row r="34" spans="1:30" ht="15">
      <c r="A34" s="1485"/>
      <c r="B34" s="1121">
        <v>111</v>
      </c>
      <c r="C34" s="1122"/>
      <c r="D34" s="1123">
        <v>100</v>
      </c>
      <c r="E34" s="1468"/>
      <c r="F34" s="1486">
        <f>SUMIF(95:95,E34,96:96)-SUMIF(95:95,C34,96:96)+100</f>
        <v>100</v>
      </c>
      <c r="G34" s="1468"/>
      <c r="H34" s="1123">
        <f>SUMIF(95:95,G34,96:96)-SUMIF(95:95,C34,96:96)+100</f>
        <v>100</v>
      </c>
      <c r="I34" s="1468"/>
      <c r="J34" s="1123">
        <f>SUMIF(95:95,I34,96:96)-SUMIF(95:95,C34,96:96)+100</f>
        <v>100</v>
      </c>
      <c r="K34" s="1254"/>
      <c r="L34" s="1249"/>
      <c r="M34" s="1237"/>
      <c r="N34" s="1237"/>
      <c r="O34" s="1248"/>
      <c r="P34" s="3649"/>
      <c r="Q34" s="664">
        <f t="shared" si="11"/>
        <v>111</v>
      </c>
      <c r="R34" s="1285" t="s">
        <v>1013</v>
      </c>
      <c r="S34" s="1286">
        <f t="shared" si="12"/>
        <v>100</v>
      </c>
      <c r="T34" s="1285" t="s">
        <v>1013</v>
      </c>
      <c r="U34" s="1286">
        <f t="shared" si="13"/>
        <v>100</v>
      </c>
      <c r="V34" s="1285" t="s">
        <v>1013</v>
      </c>
      <c r="W34" s="1286">
        <f t="shared" si="14"/>
        <v>100</v>
      </c>
      <c r="X34" s="1279"/>
      <c r="Y34" s="3649"/>
      <c r="Z34" s="1269">
        <f t="shared" si="15"/>
        <v>111</v>
      </c>
      <c r="AA34" s="1296">
        <f t="shared" si="3"/>
        <v>1</v>
      </c>
      <c r="AB34" s="1296">
        <f t="shared" si="4"/>
        <v>1</v>
      </c>
      <c r="AC34" s="1296">
        <f t="shared" si="5"/>
        <v>1</v>
      </c>
    </row>
    <row r="35" spans="1:30" ht="15">
      <c r="A35" s="1168" t="s">
        <v>1045</v>
      </c>
      <c r="B35" s="1487"/>
      <c r="C35" s="1488" t="s">
        <v>124</v>
      </c>
      <c r="D35" s="1489"/>
      <c r="E35" s="1490"/>
      <c r="F35" s="1491"/>
      <c r="G35" s="1492"/>
      <c r="H35" s="1493"/>
      <c r="I35" s="1490"/>
      <c r="J35" s="1493"/>
      <c r="K35" s="1260"/>
      <c r="L35" s="1261"/>
      <c r="M35" s="1185"/>
      <c r="N35" s="1237"/>
      <c r="O35" s="1185"/>
      <c r="P35" s="3640" t="str">
        <f>A35</f>
        <v>成交单价（元/平方米）</v>
      </c>
      <c r="Q35" s="3640"/>
      <c r="R35" s="3641">
        <f>E35</f>
        <v>0</v>
      </c>
      <c r="S35" s="3641"/>
      <c r="T35" s="3641">
        <f>G35</f>
        <v>0</v>
      </c>
      <c r="U35" s="3641"/>
      <c r="V35" s="3641">
        <f>I35</f>
        <v>0</v>
      </c>
      <c r="W35" s="3641"/>
      <c r="X35" s="1225"/>
      <c r="Y35" s="1298"/>
      <c r="Z35" s="1225"/>
      <c r="AA35" s="1225"/>
      <c r="AB35" s="1225"/>
      <c r="AC35" s="1225"/>
    </row>
    <row r="36" spans="1:30" ht="15">
      <c r="A36" s="1176" t="s">
        <v>1046</v>
      </c>
      <c r="B36" s="1494"/>
      <c r="C36" s="1495" t="e">
        <f>R37</f>
        <v>#DIV/0!</v>
      </c>
      <c r="D36" s="1179" t="s">
        <v>1047</v>
      </c>
      <c r="E36" s="1496" t="e">
        <f>R36</f>
        <v>#DIV/0!</v>
      </c>
      <c r="F36" s="1180"/>
      <c r="G36" s="1495" t="e">
        <f>T36</f>
        <v>#DIV/0!</v>
      </c>
      <c r="H36" s="1180"/>
      <c r="I36" s="1496" t="e">
        <f>V36</f>
        <v>#DIV/0!</v>
      </c>
      <c r="J36" s="1180"/>
      <c r="K36" s="1262">
        <f>F36+H36+J36</f>
        <v>0</v>
      </c>
      <c r="L36" s="1261"/>
      <c r="M36" s="1185"/>
      <c r="N36" s="1237"/>
      <c r="O36" s="1185"/>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5"/>
      <c r="Y36" s="1225"/>
      <c r="Z36" s="1225"/>
      <c r="AA36" s="1225"/>
      <c r="AB36" s="1225"/>
      <c r="AC36" s="1225"/>
    </row>
    <row r="37" spans="1:30" ht="15">
      <c r="A37" s="1182" t="s">
        <v>1048</v>
      </c>
      <c r="B37" s="1183"/>
      <c r="C37" s="1497" t="e">
        <f>R37</f>
        <v>#DIV/0!</v>
      </c>
      <c r="D37" s="1497"/>
      <c r="E37" s="1497"/>
      <c r="F37" s="1497"/>
      <c r="G37" s="1497"/>
      <c r="H37" s="1497"/>
      <c r="I37" s="1497"/>
      <c r="J37" s="1497"/>
      <c r="K37" s="1263"/>
      <c r="L37" s="1261"/>
      <c r="M37" s="1185"/>
      <c r="N37" s="1185"/>
      <c r="O37" s="1185"/>
      <c r="P37" s="3703" t="str">
        <f>A37</f>
        <v>估价对象XX用房的比较价值（楼面单价，元/平方米）</v>
      </c>
      <c r="Q37" s="3704"/>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1049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1050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1051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8"/>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8"/>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1052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99" t="s">
        <v>1011</v>
      </c>
      <c r="B46" s="1500"/>
      <c r="C46" s="1501" t="str">
        <f>YEAR(C7)&amp;"-"&amp;MONTH(C7)</f>
        <v>2023-6</v>
      </c>
      <c r="D46" s="1502">
        <f>EDATE(C46,-1)</f>
        <v>45047</v>
      </c>
      <c r="E46" s="1502">
        <f t="shared" ref="E46:O46" si="16">EDATE(D46,-1)</f>
        <v>45017</v>
      </c>
      <c r="F46" s="1502">
        <f t="shared" si="16"/>
        <v>44986</v>
      </c>
      <c r="G46" s="1502">
        <f t="shared" si="16"/>
        <v>44958</v>
      </c>
      <c r="H46" s="1502">
        <f t="shared" si="16"/>
        <v>44927</v>
      </c>
      <c r="I46" s="1502">
        <f t="shared" si="16"/>
        <v>44896</v>
      </c>
      <c r="J46" s="1502">
        <f t="shared" si="16"/>
        <v>44866</v>
      </c>
      <c r="K46" s="1502">
        <f t="shared" si="16"/>
        <v>44835</v>
      </c>
      <c r="L46" s="1502">
        <f t="shared" si="16"/>
        <v>44805</v>
      </c>
      <c r="M46" s="1502">
        <f t="shared" si="16"/>
        <v>44774</v>
      </c>
      <c r="N46" s="1502">
        <f t="shared" si="16"/>
        <v>44743</v>
      </c>
      <c r="O46" s="1502">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3"/>
      <c r="B47" s="1310"/>
      <c r="C47" s="1504">
        <v>100</v>
      </c>
      <c r="D47" s="1314"/>
      <c r="E47" s="1314"/>
      <c r="F47" s="1314"/>
      <c r="G47" s="1314"/>
      <c r="H47" s="1314"/>
      <c r="I47" s="1314"/>
      <c r="J47" s="1314"/>
      <c r="K47" s="1314"/>
      <c r="L47" s="1314"/>
      <c r="M47" s="1511"/>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1053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1014</v>
      </c>
      <c r="B49" s="1310"/>
      <c r="C49" s="1311" t="s">
        <v>1054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1055</v>
      </c>
      <c r="B51" s="1316" t="s">
        <v>1017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1020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1022</v>
      </c>
      <c r="B61" s="1316" t="s">
        <v>1025</v>
      </c>
      <c r="C61" s="1337" t="s">
        <v>1056</v>
      </c>
      <c r="D61" s="1337" t="s">
        <v>1057</v>
      </c>
      <c r="E61" s="1337" t="s">
        <v>1058</v>
      </c>
      <c r="F61" s="1337" t="s">
        <v>1059</v>
      </c>
      <c r="G61" s="1337" t="s">
        <v>1060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1606</v>
      </c>
      <c r="C63" s="1339" t="s">
        <v>1056</v>
      </c>
      <c r="D63" s="1339" t="s">
        <v>1057</v>
      </c>
      <c r="E63" s="1339" t="s">
        <v>1058</v>
      </c>
      <c r="F63" s="1339" t="s">
        <v>1059</v>
      </c>
      <c r="G63" s="1339" t="s">
        <v>1060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1027</v>
      </c>
      <c r="C65" s="1344" t="s">
        <v>1061</v>
      </c>
      <c r="D65" s="1344" t="s">
        <v>1062</v>
      </c>
      <c r="E65" s="1344" t="s">
        <v>1063</v>
      </c>
      <c r="F65" s="1344" t="s">
        <v>1064</v>
      </c>
      <c r="G65" s="1344" t="s">
        <v>1065</v>
      </c>
      <c r="H65" s="1321"/>
      <c r="I65" s="1321"/>
      <c r="J65" s="1321"/>
      <c r="K65" s="1321"/>
      <c r="L65" s="1321"/>
      <c r="M65" s="1516"/>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1551</v>
      </c>
      <c r="C67" s="1339" t="s">
        <v>1056</v>
      </c>
      <c r="D67" s="1339" t="s">
        <v>1057</v>
      </c>
      <c r="E67" s="1339" t="s">
        <v>1058</v>
      </c>
      <c r="F67" s="1339" t="s">
        <v>1059</v>
      </c>
      <c r="G67" s="1339" t="s">
        <v>1060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1030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7"/>
      <c r="M71" s="1518"/>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8"/>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1032</v>
      </c>
      <c r="B77" s="1316" t="s">
        <v>1037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19"/>
      <c r="L80" s="1520"/>
      <c r="M80" s="1521"/>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1605</v>
      </c>
      <c r="C89" s="1328"/>
      <c r="D89" s="1328"/>
      <c r="E89" s="1328"/>
      <c r="F89" s="1328"/>
      <c r="G89" s="1328"/>
      <c r="H89" s="1328"/>
      <c r="I89" s="1328"/>
      <c r="J89" s="1328"/>
      <c r="K89" s="1328"/>
      <c r="L89" s="1328"/>
      <c r="M89" s="1518"/>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4">
        <f>B34</f>
        <v>111</v>
      </c>
      <c r="C95" s="1116"/>
      <c r="D95" s="1116"/>
      <c r="E95" s="1116"/>
      <c r="F95" s="1116"/>
      <c r="G95" s="1328"/>
      <c r="H95" s="1329"/>
      <c r="I95" s="1329"/>
      <c r="J95" s="1329"/>
      <c r="K95" s="1329"/>
      <c r="L95" s="1377"/>
      <c r="M95" s="1378"/>
      <c r="N95" s="1369"/>
      <c r="O95" s="1369"/>
      <c r="P95" s="1522"/>
      <c r="Q95" s="1525"/>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5"/>
      <c r="B98" s="1515"/>
      <c r="C98" s="1515"/>
      <c r="D98" s="1515"/>
      <c r="E98" s="1515"/>
      <c r="F98" s="1515"/>
      <c r="G98" s="1515"/>
      <c r="H98" s="1515"/>
      <c r="I98" s="1515"/>
      <c r="J98" s="1515"/>
      <c r="K98" s="1523"/>
      <c r="L98" s="1524"/>
      <c r="M98" s="1515"/>
      <c r="N98" s="1185"/>
      <c r="O98" s="1185"/>
      <c r="P98" s="1185"/>
      <c r="Q98" s="1185"/>
      <c r="R98" s="1185"/>
      <c r="S98" s="1185"/>
      <c r="T98" s="1185"/>
      <c r="U98" s="1185"/>
      <c r="V98" s="1185"/>
      <c r="W98" s="1185"/>
      <c r="X98" s="1185"/>
      <c r="Y98" s="1185"/>
      <c r="Z98" s="1185"/>
      <c r="AA98" s="1185"/>
      <c r="AB98" s="1185"/>
      <c r="AC98" s="1185"/>
      <c r="AD98" s="1185"/>
    </row>
    <row r="99" spans="1:30">
      <c r="A99" s="1515"/>
      <c r="B99" s="1515"/>
      <c r="C99" s="1515"/>
      <c r="D99" s="1515"/>
      <c r="E99" s="1515"/>
      <c r="F99" s="1515"/>
      <c r="G99" s="1515"/>
      <c r="H99" s="1515"/>
      <c r="I99" s="1515"/>
      <c r="J99" s="1515"/>
      <c r="K99" s="1523"/>
      <c r="L99" s="1524"/>
      <c r="M99" s="1515"/>
      <c r="N99" s="1185"/>
      <c r="O99" s="1185"/>
      <c r="P99" s="1185"/>
      <c r="Q99" s="1185"/>
      <c r="R99" s="1185"/>
      <c r="S99" s="1185"/>
      <c r="T99" s="1185"/>
      <c r="U99" s="1185"/>
      <c r="V99" s="1185"/>
      <c r="W99" s="1185"/>
      <c r="X99" s="1185"/>
      <c r="Y99" s="1185"/>
      <c r="Z99" s="1185"/>
      <c r="AA99" s="1185"/>
      <c r="AB99" s="1185"/>
      <c r="AC99" s="1185"/>
      <c r="AD99" s="1185"/>
    </row>
    <row r="100" spans="1:30">
      <c r="A100" s="1515"/>
      <c r="B100" s="1515"/>
      <c r="C100" s="1515"/>
      <c r="D100" s="1515"/>
      <c r="E100" s="1515"/>
      <c r="F100" s="1515"/>
      <c r="G100" s="1515"/>
      <c r="H100" s="1515"/>
      <c r="I100" s="1515"/>
      <c r="J100" s="1515"/>
      <c r="K100" s="1523"/>
      <c r="L100" s="1524"/>
      <c r="M100" s="1515"/>
      <c r="N100" s="1185"/>
      <c r="O100" s="1185"/>
      <c r="P100" s="1185"/>
      <c r="Q100" s="1185"/>
      <c r="R100" s="1185"/>
      <c r="S100" s="1185"/>
      <c r="T100" s="1185"/>
      <c r="U100" s="1185"/>
      <c r="V100" s="1185"/>
      <c r="W100" s="1185"/>
      <c r="X100" s="1185"/>
      <c r="Y100" s="1185"/>
      <c r="Z100" s="1185"/>
      <c r="AA100" s="1185"/>
      <c r="AB100" s="1185"/>
      <c r="AC100" s="1185"/>
      <c r="AD100" s="1185"/>
    </row>
    <row r="101" spans="1:30">
      <c r="A101" s="1515"/>
      <c r="B101" s="1515"/>
      <c r="C101" s="1515"/>
      <c r="D101" s="1515"/>
      <c r="E101" s="1515"/>
      <c r="F101" s="1515"/>
      <c r="G101" s="1515"/>
      <c r="H101" s="1515"/>
      <c r="I101" s="1515"/>
      <c r="J101" s="1515"/>
      <c r="K101" s="1523"/>
      <c r="L101" s="1524"/>
      <c r="M101" s="1515"/>
      <c r="N101" s="1185"/>
      <c r="O101" s="1185"/>
      <c r="P101" s="1185"/>
      <c r="Q101" s="1185"/>
      <c r="R101" s="1185"/>
      <c r="S101" s="1185"/>
      <c r="T101" s="1185"/>
      <c r="U101" s="1185"/>
      <c r="V101" s="1185"/>
      <c r="W101" s="1185"/>
      <c r="X101" s="1185"/>
      <c r="Y101" s="1185"/>
      <c r="Z101" s="1185"/>
      <c r="AA101" s="1185"/>
      <c r="AB101" s="1185"/>
      <c r="AC101" s="1185"/>
      <c r="AD101" s="1185"/>
    </row>
    <row r="102" spans="1:30">
      <c r="A102" s="1515"/>
      <c r="B102" s="1515"/>
      <c r="C102" s="1515"/>
      <c r="D102" s="1515"/>
      <c r="E102" s="1515"/>
      <c r="F102" s="1515"/>
      <c r="G102" s="1515"/>
      <c r="H102" s="1515"/>
      <c r="I102" s="1515"/>
      <c r="J102" s="1515"/>
      <c r="K102" s="1523"/>
      <c r="L102" s="1524"/>
      <c r="M102" s="1515"/>
      <c r="N102" s="1185"/>
      <c r="O102" s="1185"/>
      <c r="P102" s="1185"/>
      <c r="Q102" s="1185"/>
      <c r="R102" s="1185"/>
      <c r="S102" s="1185"/>
      <c r="T102" s="1185"/>
      <c r="U102" s="1185"/>
      <c r="V102" s="1185"/>
      <c r="W102" s="1185"/>
      <c r="X102" s="1185"/>
      <c r="Y102" s="1185"/>
      <c r="Z102" s="1185"/>
      <c r="AA102" s="1185"/>
      <c r="AB102" s="1185"/>
      <c r="AC102" s="1185"/>
      <c r="AD102" s="1185"/>
    </row>
    <row r="103" spans="1:30">
      <c r="A103" s="1515"/>
      <c r="B103" s="1515"/>
      <c r="C103" s="1515"/>
      <c r="D103" s="1515"/>
      <c r="E103" s="1515"/>
      <c r="F103" s="1515"/>
      <c r="G103" s="1515"/>
      <c r="H103" s="1515"/>
      <c r="I103" s="1515"/>
      <c r="J103" s="1515"/>
      <c r="K103" s="1523"/>
      <c r="L103" s="1524"/>
      <c r="M103" s="1515"/>
      <c r="N103" s="1515"/>
      <c r="O103" s="1515"/>
      <c r="P103" s="1185"/>
      <c r="Q103" s="1185"/>
      <c r="R103" s="1185"/>
      <c r="S103" s="1185"/>
      <c r="T103" s="1185"/>
      <c r="U103" s="1185"/>
      <c r="V103" s="1185"/>
      <c r="W103" s="1185"/>
      <c r="X103" s="1185"/>
      <c r="Y103" s="1185"/>
      <c r="Z103" s="1185"/>
      <c r="AA103" s="1185"/>
      <c r="AB103" s="1185"/>
      <c r="AC103" s="1185"/>
      <c r="AD103" s="1185"/>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5" zoomScale="90" zoomScaleNormal="60" zoomScaleSheetLayoutView="90" workbookViewId="0">
      <selection activeCell="F19" sqref="F19"/>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1607</v>
      </c>
      <c r="B1" s="1079"/>
      <c r="C1" s="1080" t="s">
        <v>1608</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994</v>
      </c>
      <c r="B2" s="1083">
        <f>F65</f>
        <v>26575</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996</v>
      </c>
      <c r="B3" s="1086">
        <f>ROUND(IF(D3="",B2*10000/'数据-汇总表'!E3,B2*10000/D3),0)</f>
        <v>13106</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30" ht="15">
      <c r="A5" s="1090"/>
      <c r="B5" s="1091"/>
      <c r="C5" s="3627" t="s">
        <v>1005</v>
      </c>
      <c r="D5" s="3628"/>
      <c r="E5" s="3629" t="str">
        <f>土地案例!A9</f>
        <v>北京市丰台区丽泽金融商务区D-01地块B4综合性商业金融服务业用地</v>
      </c>
      <c r="F5" s="3630"/>
      <c r="G5" s="3627" t="str">
        <f>土地案例!A24</f>
        <v>北京市石景山区首钢园区东南区土地一级开发项目1612-774地块B4综合性商业金融服务业用地</v>
      </c>
      <c r="H5" s="3628"/>
      <c r="I5" s="3627" t="str">
        <f>土地案例!A32</f>
        <v>北京市石景山区中关村科技园石景山园北Ⅱ区西井地块土地一级开发项目1606-034地块B1商业用地</v>
      </c>
      <c r="J5" s="3628"/>
      <c r="K5" s="1235"/>
      <c r="L5" s="1236"/>
      <c r="M5" s="1237"/>
      <c r="N5" s="1237"/>
      <c r="O5" s="1237"/>
      <c r="P5" s="3709"/>
      <c r="Q5" s="3663"/>
      <c r="R5" s="3668"/>
      <c r="S5" s="3669"/>
      <c r="T5" s="3668"/>
      <c r="U5" s="3669"/>
      <c r="V5" s="3673"/>
      <c r="W5" s="3673"/>
      <c r="X5" s="1279"/>
      <c r="Y5" s="3668"/>
      <c r="Z5" s="3669"/>
      <c r="AA5" s="3655"/>
      <c r="AB5" s="3655"/>
      <c r="AC5" s="3655"/>
    </row>
    <row r="6" spans="1:30" ht="15">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56"/>
      <c r="AC6" s="3656"/>
    </row>
    <row r="7" spans="1:30" s="1069" customFormat="1" ht="15">
      <c r="A7" s="1094" t="s">
        <v>1011</v>
      </c>
      <c r="B7" s="1095"/>
      <c r="C7" s="1096">
        <f>'数据-取费表'!B2</f>
        <v>45078</v>
      </c>
      <c r="D7" s="1097">
        <v>100</v>
      </c>
      <c r="E7" s="1098">
        <f>土地案例!K9</f>
        <v>44798</v>
      </c>
      <c r="F7" s="1099">
        <f>SUMIF(69:69,YEAR(E7)&amp;"-"&amp;INT((MONTH(E7)+2)/3),70:70)</f>
        <v>98.5</v>
      </c>
      <c r="G7" s="1100">
        <f>土地案例!K24</f>
        <v>44495</v>
      </c>
      <c r="H7" s="1097">
        <f>SUMIF(69:69,YEAR(G7)&amp;"-"&amp;INT((MONTH(G7)+2)/3),70:70)</f>
        <v>97</v>
      </c>
      <c r="I7" s="1100">
        <f>土地案例!K32</f>
        <v>44179</v>
      </c>
      <c r="J7" s="1097">
        <f>SUMIF(69:69,YEAR(I7)&amp;"-"&amp;INT((MONTH(I7)+2)/3),70:70)</f>
        <v>95</v>
      </c>
      <c r="K7" s="1238"/>
      <c r="L7" s="1239"/>
      <c r="M7" s="1240"/>
      <c r="N7" s="1240"/>
      <c r="O7" s="1240"/>
      <c r="P7" s="3637" t="s">
        <v>1012</v>
      </c>
      <c r="Q7" s="3636"/>
      <c r="R7" s="1280" t="s">
        <v>1013</v>
      </c>
      <c r="S7" s="1281">
        <f t="shared" ref="S7:S15" si="0">F7</f>
        <v>98.5</v>
      </c>
      <c r="T7" s="1280" t="s">
        <v>1013</v>
      </c>
      <c r="U7" s="1281">
        <f t="shared" ref="U7:U15" si="1">H7</f>
        <v>97</v>
      </c>
      <c r="V7" s="1280" t="s">
        <v>1013</v>
      </c>
      <c r="W7" s="1281">
        <f t="shared" ref="W7:W15" si="2">J7</f>
        <v>95</v>
      </c>
      <c r="X7" s="1282"/>
      <c r="Y7" s="3637" t="s">
        <v>1012</v>
      </c>
      <c r="Z7" s="3638"/>
      <c r="AA7" s="1294">
        <f>D7/F7</f>
        <v>1.015228426395939</v>
      </c>
      <c r="AB7" s="1294">
        <f>D7/H7</f>
        <v>1.0309278350515463</v>
      </c>
      <c r="AC7" s="1294">
        <f>D7/J7</f>
        <v>1.0526315789473684</v>
      </c>
    </row>
    <row r="8" spans="1:30" s="1069" customFormat="1" ht="15">
      <c r="A8" s="1094" t="s">
        <v>1014</v>
      </c>
      <c r="B8" s="1095"/>
      <c r="C8" s="1101" t="s">
        <v>1054</v>
      </c>
      <c r="D8" s="1097">
        <v>100</v>
      </c>
      <c r="E8" s="1101" t="s">
        <v>2751</v>
      </c>
      <c r="F8" s="1099">
        <f>SUMIF(72:72,E8,73:73)-SUMIF(72:72,C8,73:73)+100</f>
        <v>100</v>
      </c>
      <c r="G8" s="1101" t="s">
        <v>2751</v>
      </c>
      <c r="H8" s="1097">
        <f>SUMIF(72:72,G8,73:73)-SUMIF(72:72,C8,73:73)+100</f>
        <v>100</v>
      </c>
      <c r="I8" s="1101" t="s">
        <v>2751</v>
      </c>
      <c r="J8" s="1097">
        <f>SUMIF(72:72,I8,73:73)-SUMIF(72:72,C8,73:73)+100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45" si="3">D8/F8</f>
        <v>1</v>
      </c>
      <c r="AB8" s="1294">
        <f t="shared" ref="AB8:AB45" si="4">D8/H8</f>
        <v>1</v>
      </c>
      <c r="AC8" s="1294">
        <f t="shared" ref="AC8:AC45" si="5">D8/J8</f>
        <v>1</v>
      </c>
    </row>
    <row r="9" spans="1:30" s="1069" customFormat="1" ht="15">
      <c r="A9" s="1102" t="s">
        <v>1016</v>
      </c>
      <c r="B9" s="1103" t="s">
        <v>1017</v>
      </c>
      <c r="C9" s="1104" t="s">
        <v>548</v>
      </c>
      <c r="D9" s="1105">
        <v>100</v>
      </c>
      <c r="E9" s="1104" t="s">
        <v>2627</v>
      </c>
      <c r="F9" s="1105">
        <f>SUMIF(74:74,E9,75:75)-SUMIF(74:74,C9,75:75)+100</f>
        <v>100</v>
      </c>
      <c r="G9" s="1104" t="s">
        <v>2627</v>
      </c>
      <c r="H9" s="1105">
        <f>SUMIF(74:74,G9,75:75)-SUMIF(74:74,C9,75:75)+100</f>
        <v>100</v>
      </c>
      <c r="I9" s="1104" t="s">
        <v>1887</v>
      </c>
      <c r="J9" s="1105">
        <f>SUMIF(74:74,I9,75:75)-SUMIF(74:74,C9,75:75)+100</f>
        <v>102</v>
      </c>
      <c r="K9" s="1238"/>
      <c r="L9" s="1239"/>
      <c r="M9" s="1240"/>
      <c r="N9" s="1240"/>
      <c r="O9" s="1241"/>
      <c r="P9" s="3640" t="s">
        <v>1018</v>
      </c>
      <c r="Q9" s="1284" t="str">
        <f t="shared" ref="Q9:Q15" si="6">B9</f>
        <v>用途</v>
      </c>
      <c r="R9" s="1280" t="s">
        <v>1013</v>
      </c>
      <c r="S9" s="1281">
        <f t="shared" si="0"/>
        <v>100</v>
      </c>
      <c r="T9" s="1280" t="s">
        <v>1013</v>
      </c>
      <c r="U9" s="1281">
        <f t="shared" si="1"/>
        <v>100</v>
      </c>
      <c r="V9" s="1280" t="s">
        <v>1013</v>
      </c>
      <c r="W9" s="1281">
        <f t="shared" si="2"/>
        <v>102</v>
      </c>
      <c r="X9" s="1282"/>
      <c r="Y9" s="3617" t="s">
        <v>1019</v>
      </c>
      <c r="Z9" s="1295" t="str">
        <f t="shared" ref="Z9:Z15" si="7">Q9</f>
        <v>用途</v>
      </c>
      <c r="AA9" s="1294">
        <f t="shared" si="3"/>
        <v>1</v>
      </c>
      <c r="AB9" s="1294">
        <f t="shared" si="4"/>
        <v>1</v>
      </c>
      <c r="AC9" s="1294">
        <f t="shared" si="5"/>
        <v>0.98039215686274506</v>
      </c>
    </row>
    <row r="10" spans="1:30" s="1070" customFormat="1" ht="27">
      <c r="A10" s="1106"/>
      <c r="B10" s="1107" t="s">
        <v>1020</v>
      </c>
      <c r="C10" s="1108"/>
      <c r="D10" s="1109">
        <v>100</v>
      </c>
      <c r="E10" s="1415"/>
      <c r="F10" s="1109">
        <f>ROUND(100/'数据-取费表'!G16,0)</f>
        <v>125</v>
      </c>
      <c r="G10" s="1416"/>
      <c r="H10" s="1109">
        <f>ROUND(100/'数据-取费表'!G16,0)</f>
        <v>125</v>
      </c>
      <c r="I10" s="1416"/>
      <c r="J10" s="1109">
        <f>ROUND(100/'数据-取费表'!G16,0)</f>
        <v>125</v>
      </c>
      <c r="K10" s="1242"/>
      <c r="L10" s="1243"/>
      <c r="M10" s="1244"/>
      <c r="N10" s="1244"/>
      <c r="O10" s="1245"/>
      <c r="P10" s="3640"/>
      <c r="Q10" s="1284" t="str">
        <f t="shared" si="6"/>
        <v>土地使用年限（年）</v>
      </c>
      <c r="R10" s="1280" t="s">
        <v>1013</v>
      </c>
      <c r="S10" s="1281">
        <f t="shared" si="0"/>
        <v>125</v>
      </c>
      <c r="T10" s="1280" t="s">
        <v>1013</v>
      </c>
      <c r="U10" s="1281">
        <f t="shared" si="1"/>
        <v>125</v>
      </c>
      <c r="V10" s="1280" t="s">
        <v>1013</v>
      </c>
      <c r="W10" s="1281">
        <f t="shared" si="2"/>
        <v>125</v>
      </c>
      <c r="X10" s="1282"/>
      <c r="Y10" s="3617"/>
      <c r="Z10" s="1295" t="str">
        <f t="shared" si="7"/>
        <v>土地使用年限（年）</v>
      </c>
      <c r="AA10" s="1294">
        <f t="shared" si="3"/>
        <v>0.8</v>
      </c>
      <c r="AB10" s="1294">
        <f t="shared" si="4"/>
        <v>0.8</v>
      </c>
      <c r="AC10" s="1294">
        <f t="shared" si="5"/>
        <v>0.8</v>
      </c>
    </row>
    <row r="11" spans="1:30" ht="15">
      <c r="A11" s="1110"/>
      <c r="B11" s="1107" t="s">
        <v>1021</v>
      </c>
      <c r="C11" s="1111"/>
      <c r="D11" s="1109">
        <v>100</v>
      </c>
      <c r="E11" s="1111"/>
      <c r="F11" s="1109">
        <f>LOOKUP(E11,79:79,80:80)-LOOKUP(C11,79:79,80:80)+100</f>
        <v>100</v>
      </c>
      <c r="G11" s="1112"/>
      <c r="H11" s="1109">
        <f>LOOKUP(G11,79:79,80:80)-LOOKUP(C11,79:79,80:80)+100</f>
        <v>100</v>
      </c>
      <c r="I11" s="1111"/>
      <c r="J11" s="1109">
        <f>LOOKUP(I11,79:79,80:80)-LOOKUP(C11,79:79,80:80)+100</f>
        <v>100</v>
      </c>
      <c r="K11" s="1246"/>
      <c r="L11" s="1247"/>
      <c r="M11" s="1237"/>
      <c r="N11" s="1237"/>
      <c r="O11" s="1248"/>
      <c r="P11" s="3640"/>
      <c r="Q11" s="1284" t="str">
        <f t="shared" si="6"/>
        <v>容积率</v>
      </c>
      <c r="R11" s="1280" t="s">
        <v>1013</v>
      </c>
      <c r="S11" s="1281">
        <f t="shared" si="0"/>
        <v>100</v>
      </c>
      <c r="T11" s="1280" t="s">
        <v>1013</v>
      </c>
      <c r="U11" s="1281">
        <f t="shared" si="1"/>
        <v>100</v>
      </c>
      <c r="V11" s="1280" t="s">
        <v>1013</v>
      </c>
      <c r="W11" s="1281">
        <f t="shared" si="2"/>
        <v>100</v>
      </c>
      <c r="X11" s="1282"/>
      <c r="Y11" s="3617"/>
      <c r="Z11" s="1295" t="str">
        <f t="shared" si="7"/>
        <v>容积率</v>
      </c>
      <c r="AA11" s="1294">
        <f t="shared" si="3"/>
        <v>1</v>
      </c>
      <c r="AB11" s="1294">
        <f t="shared" si="4"/>
        <v>1</v>
      </c>
      <c r="AC11" s="1294">
        <f t="shared" si="5"/>
        <v>1</v>
      </c>
    </row>
    <row r="12" spans="1:30" s="1069" customFormat="1" ht="15">
      <c r="A12" s="1113"/>
      <c r="B12" s="1114" t="s">
        <v>1609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0"/>
      <c r="Q12" s="1284" t="str">
        <f t="shared" si="6"/>
        <v>配建</v>
      </c>
      <c r="R12" s="1280" t="s">
        <v>1013</v>
      </c>
      <c r="S12" s="1281">
        <f t="shared" si="0"/>
        <v>100</v>
      </c>
      <c r="T12" s="1280" t="s">
        <v>1013</v>
      </c>
      <c r="U12" s="1281">
        <f t="shared" si="1"/>
        <v>100</v>
      </c>
      <c r="V12" s="1280" t="s">
        <v>1013</v>
      </c>
      <c r="W12" s="1281">
        <f t="shared" si="2"/>
        <v>100</v>
      </c>
      <c r="X12" s="1282"/>
      <c r="Y12" s="361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0"/>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30" ht="99.75">
      <c r="A15" s="1124" t="s">
        <v>1022</v>
      </c>
      <c r="B15" s="1417" t="s">
        <v>1550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7" t="s">
        <v>1024</v>
      </c>
      <c r="Q15" s="664" t="str">
        <f t="shared" si="6"/>
        <v>居住社区成熟度</v>
      </c>
      <c r="R15" s="1285" t="s">
        <v>1013</v>
      </c>
      <c r="S15" s="1286">
        <f t="shared" si="0"/>
        <v>100</v>
      </c>
      <c r="T15" s="1285" t="s">
        <v>1013</v>
      </c>
      <c r="U15" s="1286">
        <f t="shared" si="1"/>
        <v>100</v>
      </c>
      <c r="V15" s="1285" t="s">
        <v>1013</v>
      </c>
      <c r="W15" s="1286">
        <f t="shared" si="2"/>
        <v>100</v>
      </c>
      <c r="X15" s="1279"/>
      <c r="Y15" s="3647" t="s">
        <v>1024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71.25">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8"/>
      <c r="Q17" s="664" t="str">
        <f>B17</f>
        <v>商业繁华度</v>
      </c>
      <c r="R17" s="1285" t="s">
        <v>1013</v>
      </c>
      <c r="S17" s="1286">
        <f>F17</f>
        <v>100</v>
      </c>
      <c r="T17" s="1285" t="s">
        <v>1013</v>
      </c>
      <c r="U17" s="1286">
        <f>H17</f>
        <v>100</v>
      </c>
      <c r="V17" s="1285" t="s">
        <v>1013</v>
      </c>
      <c r="W17" s="1286">
        <f>J17</f>
        <v>100</v>
      </c>
      <c r="X17" s="1279"/>
      <c r="Y17" s="364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71.25">
      <c r="A19" s="1110"/>
      <c r="B19" s="1420" t="s">
        <v>1023</v>
      </c>
      <c r="C19" s="661" t="str">
        <f>估价对象房地状况!C17</f>
        <v>估价对象位于XX商圈，周边办公楼项目较多，入驻率高，办公集聚程度较好</v>
      </c>
      <c r="D19" s="1137">
        <v>100</v>
      </c>
      <c r="E19" s="1423"/>
      <c r="F19" s="1137">
        <f>SUMIF(91:91,E20,92:92)-SUMIF(91:91,C20,92:92)+100</f>
        <v>110</v>
      </c>
      <c r="G19" s="1423"/>
      <c r="H19" s="1133">
        <f>SUMIF(91:91,G20,92:92)-SUMIF(91:91,C20,92:92)+100</f>
        <v>95</v>
      </c>
      <c r="I19" s="1431"/>
      <c r="J19" s="1133">
        <f>SUMIF(91:91,I20,92:92)-SUMIF(91:91,C20,92:92)+100</f>
        <v>100</v>
      </c>
      <c r="K19" s="1246">
        <v>5</v>
      </c>
      <c r="L19" s="1249"/>
      <c r="M19" s="1237"/>
      <c r="N19" s="1237"/>
      <c r="O19" s="1248"/>
      <c r="P19" s="3648"/>
      <c r="Q19" s="664" t="str">
        <f>B19</f>
        <v>办公集聚程度</v>
      </c>
      <c r="R19" s="1285" t="s">
        <v>1013</v>
      </c>
      <c r="S19" s="1286">
        <f>F19</f>
        <v>110</v>
      </c>
      <c r="T19" s="1285" t="s">
        <v>1013</v>
      </c>
      <c r="U19" s="1286">
        <f>H19</f>
        <v>95</v>
      </c>
      <c r="V19" s="1285" t="s">
        <v>1013</v>
      </c>
      <c r="W19" s="1286">
        <f>J19</f>
        <v>100</v>
      </c>
      <c r="X19" s="1279"/>
      <c r="Y19" s="3648"/>
      <c r="Z19" s="1269" t="str">
        <f>Q19</f>
        <v>办公集聚程度</v>
      </c>
      <c r="AA19" s="1296">
        <f t="shared" si="3"/>
        <v>0.90909090909090906</v>
      </c>
      <c r="AB19" s="1296">
        <f t="shared" si="4"/>
        <v>1.0526315789473684</v>
      </c>
      <c r="AC19" s="1296">
        <f t="shared" si="5"/>
        <v>1</v>
      </c>
    </row>
    <row r="20" spans="1:29" ht="15">
      <c r="A20" s="1110"/>
      <c r="B20" s="1158"/>
      <c r="C20" s="1130" t="s">
        <v>1855</v>
      </c>
      <c r="D20" s="1131"/>
      <c r="E20" s="1139" t="s">
        <v>1857</v>
      </c>
      <c r="F20" s="1131"/>
      <c r="G20" s="1139" t="s">
        <v>2950</v>
      </c>
      <c r="H20" s="1131"/>
      <c r="I20" s="1252" t="s">
        <v>1855</v>
      </c>
      <c r="J20" s="1131"/>
      <c r="K20" s="1242"/>
      <c r="L20" s="1249"/>
      <c r="M20" s="1237"/>
      <c r="N20" s="1237"/>
      <c r="O20" s="1248"/>
      <c r="P20" s="3648"/>
      <c r="Q20" s="664"/>
      <c r="R20" s="1285"/>
      <c r="S20" s="1286"/>
      <c r="T20" s="1285"/>
      <c r="U20" s="1286"/>
      <c r="V20" s="1285"/>
      <c r="W20" s="1286"/>
      <c r="X20" s="1279"/>
      <c r="Y20" s="3648"/>
      <c r="Z20" s="1269"/>
      <c r="AA20" s="1296">
        <v>1</v>
      </c>
      <c r="AB20" s="1296">
        <v>1</v>
      </c>
      <c r="AC20" s="1296">
        <v>1</v>
      </c>
    </row>
    <row r="21" spans="1:29" ht="85.5">
      <c r="A21" s="1110"/>
      <c r="B21" s="1420" t="s">
        <v>1025</v>
      </c>
      <c r="C21" s="1135" t="str">
        <f>估价对象房地状况!C18</f>
        <v>估价对象周边道路状况、公共交通通达情况、停车便捷程度，综合评价交通便捷度较好</v>
      </c>
      <c r="D21" s="1133">
        <v>100</v>
      </c>
      <c r="E21" s="1136"/>
      <c r="F21" s="1137">
        <f>SUMIF(93:93,E22,94:94)-SUMIF(93:93,C22,94:94)+100</f>
        <v>104</v>
      </c>
      <c r="G21" s="1136"/>
      <c r="H21" s="1133">
        <f>SUMIF(93:93,G22,94:94)-SUMIF(93:93,C22,94:94)+100</f>
        <v>96</v>
      </c>
      <c r="I21" s="1251"/>
      <c r="J21" s="1133">
        <f>SUMIF(93:93,I22,94:94)-SUMIF(93:93,C22,94:94)+100</f>
        <v>96</v>
      </c>
      <c r="K21" s="1246">
        <v>4</v>
      </c>
      <c r="L21" s="1249"/>
      <c r="M21" s="1237"/>
      <c r="N21" s="1237"/>
      <c r="O21" s="1248"/>
      <c r="P21" s="3648"/>
      <c r="Q21" s="664" t="str">
        <f>B21</f>
        <v>交通便捷度</v>
      </c>
      <c r="R21" s="1285" t="s">
        <v>1013</v>
      </c>
      <c r="S21" s="1286">
        <f>F21</f>
        <v>104</v>
      </c>
      <c r="T21" s="1285" t="s">
        <v>1013</v>
      </c>
      <c r="U21" s="1286">
        <f>H21</f>
        <v>96</v>
      </c>
      <c r="V21" s="1285" t="s">
        <v>1013</v>
      </c>
      <c r="W21" s="1286">
        <f>J21</f>
        <v>96</v>
      </c>
      <c r="X21" s="1279"/>
      <c r="Y21" s="3648"/>
      <c r="Z21" s="1269" t="str">
        <f>Q21</f>
        <v>交通便捷度</v>
      </c>
      <c r="AA21" s="1296">
        <f t="shared" si="3"/>
        <v>0.96153846153846156</v>
      </c>
      <c r="AB21" s="1296">
        <f t="shared" si="4"/>
        <v>1.0416666666666667</v>
      </c>
      <c r="AC21" s="1296">
        <f t="shared" si="5"/>
        <v>1.0416666666666667</v>
      </c>
    </row>
    <row r="22" spans="1:29" ht="15">
      <c r="A22" s="1110"/>
      <c r="B22" s="1424"/>
      <c r="C22" s="1130" t="s">
        <v>1856</v>
      </c>
      <c r="D22" s="1133"/>
      <c r="E22" s="1139" t="s">
        <v>1857</v>
      </c>
      <c r="F22" s="1131"/>
      <c r="G22" s="1139" t="s">
        <v>1855</v>
      </c>
      <c r="H22" s="1131"/>
      <c r="I22" s="1252" t="s">
        <v>1855</v>
      </c>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ht="15">
      <c r="A23" s="1090"/>
      <c r="B23" s="1420" t="s">
        <v>1610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48"/>
      <c r="Q23" s="664" t="str">
        <f t="shared" ref="Q23:Q38" si="8">B23</f>
        <v>区域土地利用方向</v>
      </c>
      <c r="R23" s="1285" t="s">
        <v>1013</v>
      </c>
      <c r="S23" s="1286">
        <f>F23</f>
        <v>100</v>
      </c>
      <c r="T23" s="1285" t="s">
        <v>1013</v>
      </c>
      <c r="U23" s="1286">
        <f>H23</f>
        <v>100</v>
      </c>
      <c r="V23" s="1285" t="s">
        <v>1013</v>
      </c>
      <c r="W23" s="1286">
        <f>J23</f>
        <v>100</v>
      </c>
      <c r="X23" s="1279"/>
      <c r="Y23" s="3648"/>
      <c r="Z23" s="1269" t="str">
        <f>Q23</f>
        <v>区域土地利用方向</v>
      </c>
      <c r="AA23" s="1296">
        <f t="shared" si="3"/>
        <v>1</v>
      </c>
      <c r="AB23" s="1296">
        <f t="shared" si="4"/>
        <v>1</v>
      </c>
      <c r="AC23" s="1296">
        <f t="shared" si="5"/>
        <v>1</v>
      </c>
    </row>
    <row r="24" spans="1:29" ht="15">
      <c r="A24" s="1090"/>
      <c r="B24" s="1158"/>
      <c r="C24" s="1144" t="s">
        <v>1856</v>
      </c>
      <c r="D24" s="1131"/>
      <c r="E24" s="1144" t="s">
        <v>1856</v>
      </c>
      <c r="F24" s="1131"/>
      <c r="G24" s="1144" t="s">
        <v>1856</v>
      </c>
      <c r="H24" s="1131"/>
      <c r="I24" s="1144" t="s">
        <v>1856</v>
      </c>
      <c r="J24" s="1131"/>
      <c r="K24" s="1253"/>
      <c r="L24" s="1249"/>
      <c r="M24" s="1237"/>
      <c r="N24" s="1237"/>
      <c r="O24" s="1248"/>
      <c r="P24" s="3648"/>
      <c r="Q24" s="664"/>
      <c r="R24" s="1285"/>
      <c r="S24" s="1286"/>
      <c r="T24" s="1285"/>
      <c r="U24" s="1286"/>
      <c r="V24" s="1285"/>
      <c r="W24" s="1286"/>
      <c r="X24" s="1279"/>
      <c r="Y24" s="3648"/>
      <c r="Z24" s="1269"/>
      <c r="AA24" s="1296"/>
      <c r="AB24" s="1296"/>
      <c r="AC24" s="1296"/>
    </row>
    <row r="25" spans="1:29" ht="57">
      <c r="A25" s="1090"/>
      <c r="B25" s="1424" t="s">
        <v>1611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48"/>
      <c r="Q25" s="664" t="str">
        <f t="shared" si="8"/>
        <v>自然及人文环境状况</v>
      </c>
      <c r="R25" s="1285" t="s">
        <v>1013</v>
      </c>
      <c r="S25" s="1286">
        <f>F25</f>
        <v>100</v>
      </c>
      <c r="T25" s="1285" t="s">
        <v>1013</v>
      </c>
      <c r="U25" s="1286">
        <f>H25</f>
        <v>100</v>
      </c>
      <c r="V25" s="1285" t="s">
        <v>1013</v>
      </c>
      <c r="W25" s="1286">
        <f>J25</f>
        <v>100</v>
      </c>
      <c r="X25" s="1279"/>
      <c r="Y25" s="3648"/>
      <c r="Z25" s="1269" t="str">
        <f>Q25</f>
        <v>自然及人文环境状况</v>
      </c>
      <c r="AA25" s="1296">
        <f t="shared" si="3"/>
        <v>1</v>
      </c>
      <c r="AB25" s="1296">
        <f t="shared" si="4"/>
        <v>1</v>
      </c>
      <c r="AC25" s="1296">
        <f t="shared" si="5"/>
        <v>1</v>
      </c>
    </row>
    <row r="26" spans="1:29" ht="15">
      <c r="A26" s="1090"/>
      <c r="B26" s="1158"/>
      <c r="C26" s="1130" t="s">
        <v>1856</v>
      </c>
      <c r="D26" s="1131"/>
      <c r="E26" s="1132" t="s">
        <v>1856</v>
      </c>
      <c r="F26" s="1131"/>
      <c r="G26" s="1132" t="s">
        <v>1856</v>
      </c>
      <c r="H26" s="1131"/>
      <c r="I26" s="1130" t="s">
        <v>1856</v>
      </c>
      <c r="J26" s="1131"/>
      <c r="K26" s="1242"/>
      <c r="L26" s="1249"/>
      <c r="M26" s="1237"/>
      <c r="N26" s="1237"/>
      <c r="O26" s="1248"/>
      <c r="P26" s="3648"/>
      <c r="Q26" s="664"/>
      <c r="R26" s="1285"/>
      <c r="S26" s="1286"/>
      <c r="T26" s="1285"/>
      <c r="U26" s="1286"/>
      <c r="V26" s="1285"/>
      <c r="W26" s="1286"/>
      <c r="X26" s="1279"/>
      <c r="Y26" s="3648"/>
      <c r="Z26" s="1269"/>
      <c r="AA26" s="1296">
        <v>1</v>
      </c>
      <c r="AB26" s="1296">
        <v>1</v>
      </c>
      <c r="AC26" s="1296">
        <v>1</v>
      </c>
    </row>
    <row r="27" spans="1:29" s="1069" customFormat="1" ht="42.75">
      <c r="A27" s="1140"/>
      <c r="B27" s="1424" t="s">
        <v>1026</v>
      </c>
      <c r="C27" s="1135" t="str">
        <f>估价对象房地状况!C21</f>
        <v>估价对象所在区域公共配套设施齐备情况</v>
      </c>
      <c r="D27" s="1133">
        <v>100</v>
      </c>
      <c r="E27" s="1136"/>
      <c r="F27" s="1133">
        <f>SUMIF(99:99,E28,100:100)-SUMIF(99:99,C28,100:100)+100</f>
        <v>100</v>
      </c>
      <c r="G27" s="1136"/>
      <c r="H27" s="1133">
        <f>SUMIF(99:99,G28,100:100)-SUMIF(99:99,C28,100:100)+100</f>
        <v>97</v>
      </c>
      <c r="I27" s="1251"/>
      <c r="J27" s="1133">
        <f>SUMIF(99:99,I28,100:100)-SUMIF(99:99,C28,100:100)+100</f>
        <v>97</v>
      </c>
      <c r="K27" s="1246">
        <v>3</v>
      </c>
      <c r="L27" s="1239"/>
      <c r="M27" s="1240"/>
      <c r="N27" s="1240"/>
      <c r="O27" s="1241"/>
      <c r="P27" s="3648"/>
      <c r="Q27" s="1284" t="str">
        <f t="shared" si="8"/>
        <v>公共配套设施</v>
      </c>
      <c r="R27" s="1280" t="s">
        <v>1013</v>
      </c>
      <c r="S27" s="1281">
        <f>F27</f>
        <v>100</v>
      </c>
      <c r="T27" s="1280" t="s">
        <v>1013</v>
      </c>
      <c r="U27" s="1281">
        <f>H27</f>
        <v>97</v>
      </c>
      <c r="V27" s="1280" t="s">
        <v>1013</v>
      </c>
      <c r="W27" s="1281">
        <f>J27</f>
        <v>97</v>
      </c>
      <c r="X27" s="1282"/>
      <c r="Y27" s="3648"/>
      <c r="Z27" s="1295" t="str">
        <f>Q27</f>
        <v>公共配套设施</v>
      </c>
      <c r="AA27" s="1296">
        <f>D27/F27</f>
        <v>1</v>
      </c>
      <c r="AB27" s="1296">
        <f>D27/H27</f>
        <v>1.0309278350515463</v>
      </c>
      <c r="AC27" s="1296">
        <f>D27/J27</f>
        <v>1.0309278350515463</v>
      </c>
    </row>
    <row r="28" spans="1:29" s="1069" customFormat="1" ht="15">
      <c r="A28" s="1140"/>
      <c r="B28" s="1158"/>
      <c r="C28" s="1142" t="s">
        <v>1856</v>
      </c>
      <c r="D28" s="1131"/>
      <c r="E28" s="1132" t="s">
        <v>1856</v>
      </c>
      <c r="F28" s="1131"/>
      <c r="G28" s="1132" t="s">
        <v>1855</v>
      </c>
      <c r="H28" s="1131"/>
      <c r="I28" s="1130" t="s">
        <v>1855</v>
      </c>
      <c r="J28" s="1131"/>
      <c r="K28" s="1242"/>
      <c r="L28" s="1239"/>
      <c r="M28" s="1240"/>
      <c r="N28" s="1240"/>
      <c r="O28" s="1241"/>
      <c r="P28" s="3648"/>
      <c r="Q28" s="1284"/>
      <c r="R28" s="1280"/>
      <c r="S28" s="1281"/>
      <c r="T28" s="1280"/>
      <c r="U28" s="1281"/>
      <c r="V28" s="1280"/>
      <c r="W28" s="1281"/>
      <c r="X28" s="1282"/>
      <c r="Y28" s="3648"/>
      <c r="Z28" s="1295"/>
      <c r="AA28" s="1296">
        <v>1</v>
      </c>
      <c r="AB28" s="1296">
        <v>1</v>
      </c>
      <c r="AC28" s="1296">
        <v>1</v>
      </c>
    </row>
    <row r="29" spans="1:29" s="1069" customFormat="1" ht="28.5">
      <c r="A29" s="1140"/>
      <c r="B29" s="1424" t="s">
        <v>1027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48"/>
      <c r="Q29" s="1284" t="str">
        <f t="shared" ref="Q29" si="9">B29</f>
        <v>基础设施水平</v>
      </c>
      <c r="R29" s="1280" t="s">
        <v>1013</v>
      </c>
      <c r="S29" s="1281">
        <f>F29</f>
        <v>100</v>
      </c>
      <c r="T29" s="1280" t="s">
        <v>1013</v>
      </c>
      <c r="U29" s="1281">
        <f>H29</f>
        <v>100</v>
      </c>
      <c r="V29" s="1280" t="s">
        <v>1013</v>
      </c>
      <c r="W29" s="1281">
        <f>J29</f>
        <v>100</v>
      </c>
      <c r="X29" s="1282"/>
      <c r="Y29" s="3648"/>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48"/>
      <c r="Q30" s="1284"/>
      <c r="R30" s="1280"/>
      <c r="S30" s="1281"/>
      <c r="T30" s="1280"/>
      <c r="U30" s="1281"/>
      <c r="V30" s="1280"/>
      <c r="W30" s="1281"/>
      <c r="X30" s="1282"/>
      <c r="Y30" s="3648"/>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8"/>
      <c r="Q31" s="664" t="str">
        <f t="shared" si="8"/>
        <v>临街状况</v>
      </c>
      <c r="R31" s="1285" t="s">
        <v>1013</v>
      </c>
      <c r="S31" s="1286">
        <f t="shared" ref="S31:S45" si="10">F31</f>
        <v>100</v>
      </c>
      <c r="T31" s="1285" t="s">
        <v>1013</v>
      </c>
      <c r="U31" s="1286">
        <f t="shared" ref="U31:U45" si="11">H31</f>
        <v>100</v>
      </c>
      <c r="V31" s="1285" t="s">
        <v>1013</v>
      </c>
      <c r="W31" s="1286">
        <f t="shared" ref="W31:W45" si="12">J31</f>
        <v>100</v>
      </c>
      <c r="X31" s="1279"/>
      <c r="Y31" s="3648"/>
      <c r="Z31" s="1269" t="str">
        <f t="shared" ref="Z31:Z45" si="13">Q31</f>
        <v>临街状况</v>
      </c>
      <c r="AA31" s="1296">
        <f t="shared" si="3"/>
        <v>1</v>
      </c>
      <c r="AB31" s="1296">
        <f t="shared" si="4"/>
        <v>1</v>
      </c>
      <c r="AC31" s="1296">
        <f t="shared" si="5"/>
        <v>1</v>
      </c>
    </row>
    <row r="32" spans="1:29" ht="27">
      <c r="A32" s="1110"/>
      <c r="B32" s="1424" t="s">
        <v>1029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8"/>
      <c r="Q32" s="664" t="str">
        <f t="shared" si="8"/>
        <v>毗邻道路的类型与等级</v>
      </c>
      <c r="R32" s="1285" t="s">
        <v>1013</v>
      </c>
      <c r="S32" s="1286">
        <f t="shared" si="10"/>
        <v>100</v>
      </c>
      <c r="T32" s="1285" t="s">
        <v>1013</v>
      </c>
      <c r="U32" s="1286">
        <f t="shared" si="11"/>
        <v>100</v>
      </c>
      <c r="V32" s="1285" t="s">
        <v>1013</v>
      </c>
      <c r="W32" s="1286">
        <f t="shared" si="12"/>
        <v>100</v>
      </c>
      <c r="X32" s="1279"/>
      <c r="Y32" s="364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8"/>
      <c r="Q33" s="664"/>
      <c r="R33" s="1285"/>
      <c r="S33" s="1286"/>
      <c r="T33" s="1285"/>
      <c r="U33" s="1286"/>
      <c r="V33" s="1285"/>
      <c r="W33" s="1286"/>
      <c r="X33" s="1279"/>
      <c r="Y33" s="3648"/>
      <c r="Z33" s="1269"/>
      <c r="AA33" s="1296">
        <v>1</v>
      </c>
      <c r="AB33" s="1296">
        <v>1</v>
      </c>
      <c r="AC33" s="1296">
        <v>1</v>
      </c>
    </row>
    <row r="34" spans="1:29" ht="15">
      <c r="A34" s="1110"/>
      <c r="B34" s="1107" t="s">
        <v>1612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8"/>
      <c r="Q34" s="664" t="str">
        <f t="shared" si="8"/>
        <v>土地级别</v>
      </c>
      <c r="R34" s="1285" t="s">
        <v>1013</v>
      </c>
      <c r="S34" s="1286">
        <f t="shared" si="10"/>
        <v>100</v>
      </c>
      <c r="T34" s="1285" t="s">
        <v>1013</v>
      </c>
      <c r="U34" s="1286">
        <f t="shared" si="11"/>
        <v>100</v>
      </c>
      <c r="V34" s="1285" t="s">
        <v>1013</v>
      </c>
      <c r="W34" s="1286">
        <f t="shared" si="12"/>
        <v>100</v>
      </c>
      <c r="X34" s="1279"/>
      <c r="Y34" s="364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8"/>
      <c r="Q35" s="664">
        <f t="shared" si="8"/>
        <v>111</v>
      </c>
      <c r="R35" s="1285" t="s">
        <v>1013</v>
      </c>
      <c r="S35" s="1286">
        <f t="shared" si="10"/>
        <v>100</v>
      </c>
      <c r="T35" s="1285" t="s">
        <v>1013</v>
      </c>
      <c r="U35" s="1286">
        <f t="shared" si="11"/>
        <v>100</v>
      </c>
      <c r="V35" s="1285" t="s">
        <v>1013</v>
      </c>
      <c r="W35" s="1286">
        <f t="shared" si="12"/>
        <v>100</v>
      </c>
      <c r="X35" s="1279"/>
      <c r="Y35" s="364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1034</v>
      </c>
      <c r="Q36" s="664">
        <f t="shared" si="8"/>
        <v>111</v>
      </c>
      <c r="R36" s="1285" t="s">
        <v>1013</v>
      </c>
      <c r="S36" s="1286">
        <f t="shared" si="10"/>
        <v>100</v>
      </c>
      <c r="T36" s="1285" t="s">
        <v>1013</v>
      </c>
      <c r="U36" s="1286">
        <f t="shared" si="11"/>
        <v>100</v>
      </c>
      <c r="V36" s="1285" t="s">
        <v>1013</v>
      </c>
      <c r="W36" s="1286">
        <f t="shared" si="12"/>
        <v>100</v>
      </c>
      <c r="X36" s="1279"/>
      <c r="Y36" s="3649" t="s">
        <v>1034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9"/>
      <c r="Q37" s="664">
        <f t="shared" si="8"/>
        <v>111</v>
      </c>
      <c r="R37" s="1287" t="s">
        <v>1013</v>
      </c>
      <c r="S37" s="1288">
        <f t="shared" si="10"/>
        <v>100</v>
      </c>
      <c r="T37" s="1287" t="s">
        <v>1013</v>
      </c>
      <c r="U37" s="1288">
        <f t="shared" si="11"/>
        <v>100</v>
      </c>
      <c r="V37" s="1287" t="s">
        <v>1013</v>
      </c>
      <c r="W37" s="1288">
        <f t="shared" si="12"/>
        <v>100</v>
      </c>
      <c r="X37" s="1289"/>
      <c r="Y37" s="3649"/>
      <c r="Z37" s="1297">
        <f t="shared" si="13"/>
        <v>111</v>
      </c>
      <c r="AA37" s="1296">
        <f t="shared" si="3"/>
        <v>1</v>
      </c>
      <c r="AB37" s="1296">
        <f t="shared" si="4"/>
        <v>1</v>
      </c>
      <c r="AC37" s="1296">
        <f t="shared" si="5"/>
        <v>1</v>
      </c>
    </row>
    <row r="38" spans="1:29" ht="15">
      <c r="A38" s="1161" t="s">
        <v>1032</v>
      </c>
      <c r="B38" s="1158" t="s">
        <v>1613</v>
      </c>
      <c r="C38" s="1159"/>
      <c r="D38" s="1160">
        <v>100</v>
      </c>
      <c r="E38" s="1159">
        <f>土地案例!E9</f>
        <v>12629.88</v>
      </c>
      <c r="F38" s="1160">
        <f>LOOKUP(E38,116:116,117:117)-LOOKUP(C38,116:116,117:117)+100</f>
        <v>100</v>
      </c>
      <c r="G38" s="1159">
        <f>土地案例!E24</f>
        <v>12136.3</v>
      </c>
      <c r="H38" s="1160">
        <f>LOOKUP(G38,116:116,117:117)-LOOKUP(C38,116:116,117:117)+100</f>
        <v>100</v>
      </c>
      <c r="I38" s="1258">
        <f>土地案例!E32</f>
        <v>28676.63</v>
      </c>
      <c r="J38" s="1160">
        <f>LOOKUP(I38,116:116,117:117)-LOOKUP(C38,116:116,117:117)+100</f>
        <v>100</v>
      </c>
      <c r="K38" s="1254"/>
      <c r="L38" s="1249"/>
      <c r="M38" s="1237"/>
      <c r="N38" s="1237"/>
      <c r="O38" s="1248"/>
      <c r="P38" s="3649"/>
      <c r="Q38" s="664" t="str">
        <f t="shared" si="8"/>
        <v>宗地面积</v>
      </c>
      <c r="R38" s="1285" t="s">
        <v>1013</v>
      </c>
      <c r="S38" s="1286">
        <f t="shared" si="10"/>
        <v>100</v>
      </c>
      <c r="T38" s="1285" t="s">
        <v>1013</v>
      </c>
      <c r="U38" s="1286">
        <f t="shared" si="11"/>
        <v>100</v>
      </c>
      <c r="V38" s="1285" t="s">
        <v>1013</v>
      </c>
      <c r="W38" s="1286">
        <f t="shared" si="12"/>
        <v>100</v>
      </c>
      <c r="X38" s="1279"/>
      <c r="Y38" s="3649"/>
      <c r="Z38" s="1269" t="str">
        <f t="shared" si="13"/>
        <v>宗地面积</v>
      </c>
      <c r="AA38" s="1296">
        <f t="shared" si="3"/>
        <v>1</v>
      </c>
      <c r="AB38" s="1296">
        <f t="shared" si="4"/>
        <v>1</v>
      </c>
      <c r="AC38" s="1296">
        <f t="shared" si="5"/>
        <v>1</v>
      </c>
    </row>
    <row r="39" spans="1:29" ht="15">
      <c r="A39" s="1161"/>
      <c r="B39" s="1107" t="s">
        <v>1614</v>
      </c>
      <c r="C39" s="1162" t="s">
        <v>2941</v>
      </c>
      <c r="D39" s="1119">
        <v>100</v>
      </c>
      <c r="E39" s="1162" t="s">
        <v>2941</v>
      </c>
      <c r="F39" s="1119">
        <f>SUMIF(118:118,E39,119:119)-SUMIF(118:118,C39,119:119)+100</f>
        <v>100</v>
      </c>
      <c r="G39" s="1162" t="s">
        <v>2941</v>
      </c>
      <c r="H39" s="1119">
        <f>SUMIF(118:118,G39,119:119)-SUMIF(118:118,C39,119:119)+100</f>
        <v>100</v>
      </c>
      <c r="I39" s="1162" t="s">
        <v>2941</v>
      </c>
      <c r="J39" s="1119">
        <f>SUMIF(118:118,I39,119:119)-SUMIF(118:118,C39,119:119)+100</f>
        <v>100</v>
      </c>
      <c r="K39" s="1255">
        <v>2</v>
      </c>
      <c r="L39" s="1249"/>
      <c r="M39" s="1237"/>
      <c r="N39" s="1237"/>
      <c r="O39" s="1248"/>
      <c r="P39" s="3649"/>
      <c r="Q39" s="664" t="str">
        <f t="shared" ref="Q39:Q45" si="14">B39</f>
        <v>宗地形状</v>
      </c>
      <c r="R39" s="1285" t="s">
        <v>1013</v>
      </c>
      <c r="S39" s="1286">
        <f t="shared" si="10"/>
        <v>100</v>
      </c>
      <c r="T39" s="1285" t="s">
        <v>1013</v>
      </c>
      <c r="U39" s="1286">
        <f t="shared" si="11"/>
        <v>100</v>
      </c>
      <c r="V39" s="1285" t="s">
        <v>1013</v>
      </c>
      <c r="W39" s="1286">
        <f t="shared" si="12"/>
        <v>100</v>
      </c>
      <c r="X39" s="1279"/>
      <c r="Y39" s="3649"/>
      <c r="Z39" s="1269" t="str">
        <f t="shared" si="13"/>
        <v>宗地形状</v>
      </c>
      <c r="AA39" s="1296">
        <f t="shared" si="3"/>
        <v>1</v>
      </c>
      <c r="AB39" s="1296">
        <f t="shared" si="4"/>
        <v>1</v>
      </c>
      <c r="AC39" s="1296">
        <f t="shared" si="5"/>
        <v>1</v>
      </c>
    </row>
    <row r="40" spans="1:29" ht="15">
      <c r="A40" s="1161"/>
      <c r="B40" s="1107" t="s">
        <v>1615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9"/>
      <c r="Q40" s="664" t="str">
        <f t="shared" si="14"/>
        <v>临街宽度及深度</v>
      </c>
      <c r="R40" s="1285" t="s">
        <v>1013</v>
      </c>
      <c r="S40" s="1286">
        <f t="shared" si="10"/>
        <v>100</v>
      </c>
      <c r="T40" s="1285" t="s">
        <v>1013</v>
      </c>
      <c r="U40" s="1286">
        <f t="shared" si="11"/>
        <v>100</v>
      </c>
      <c r="V40" s="1285" t="s">
        <v>1013</v>
      </c>
      <c r="W40" s="1286">
        <f t="shared" si="12"/>
        <v>100</v>
      </c>
      <c r="X40" s="1279"/>
      <c r="Y40" s="3649"/>
      <c r="Z40" s="1269" t="str">
        <f t="shared" si="13"/>
        <v>临街宽度及深度</v>
      </c>
      <c r="AA40" s="1296">
        <f t="shared" si="3"/>
        <v>1</v>
      </c>
      <c r="AB40" s="1296">
        <f t="shared" si="4"/>
        <v>1</v>
      </c>
      <c r="AC40" s="1296">
        <f t="shared" si="5"/>
        <v>1</v>
      </c>
    </row>
    <row r="41" spans="1:29" s="1069" customFormat="1" ht="15">
      <c r="A41" s="1163"/>
      <c r="B41" s="1107" t="s">
        <v>1616</v>
      </c>
      <c r="C41" s="1164" t="s">
        <v>236</v>
      </c>
      <c r="D41" s="1109">
        <v>100</v>
      </c>
      <c r="E41" s="1164" t="s">
        <v>2951</v>
      </c>
      <c r="F41" s="1119">
        <f>SUMIF(122:122,E41,123:123)-SUMIF(122:122,C41,123:123)+100</f>
        <v>96</v>
      </c>
      <c r="G41" s="1164" t="s">
        <v>246</v>
      </c>
      <c r="H41" s="1119">
        <f>SUMIF(122:122,G41,123:123)-SUMIF(122:122,C41,123:123)+100</f>
        <v>99</v>
      </c>
      <c r="I41" s="1164" t="s">
        <v>2951</v>
      </c>
      <c r="J41" s="1119">
        <f>SUMIF(122:122,I41,123:123)-SUMIF(122:122,C41,123:123)+100</f>
        <v>96</v>
      </c>
      <c r="K41" s="1255">
        <v>1</v>
      </c>
      <c r="L41" s="1239"/>
      <c r="M41" s="1240"/>
      <c r="N41" s="1240"/>
      <c r="O41" s="1241"/>
      <c r="P41" s="3649"/>
      <c r="Q41" s="664" t="str">
        <f t="shared" si="14"/>
        <v>宗地开发程度</v>
      </c>
      <c r="R41" s="1280" t="s">
        <v>1013</v>
      </c>
      <c r="S41" s="1281">
        <f t="shared" si="10"/>
        <v>96</v>
      </c>
      <c r="T41" s="1280" t="s">
        <v>1013</v>
      </c>
      <c r="U41" s="1281">
        <f t="shared" si="11"/>
        <v>99</v>
      </c>
      <c r="V41" s="1280" t="s">
        <v>1013</v>
      </c>
      <c r="W41" s="1281">
        <f t="shared" si="12"/>
        <v>96</v>
      </c>
      <c r="X41" s="1282"/>
      <c r="Y41" s="3649"/>
      <c r="Z41" s="1295" t="str">
        <f t="shared" si="13"/>
        <v>宗地开发程度</v>
      </c>
      <c r="AA41" s="1294">
        <f t="shared" si="3"/>
        <v>1.0416666666666667</v>
      </c>
      <c r="AB41" s="1294">
        <f t="shared" si="4"/>
        <v>1.0101010101010102</v>
      </c>
      <c r="AC41" s="1294">
        <f t="shared" si="5"/>
        <v>1.0416666666666667</v>
      </c>
    </row>
    <row r="42" spans="1:29" ht="15">
      <c r="A42" s="1161"/>
      <c r="B42" s="1107" t="s">
        <v>1617</v>
      </c>
      <c r="C42" s="1162" t="s">
        <v>1856</v>
      </c>
      <c r="D42" s="1119">
        <v>100</v>
      </c>
      <c r="E42" s="1162" t="s">
        <v>1856</v>
      </c>
      <c r="F42" s="1119">
        <f>SUMIF(124:124,E42,125:125)-SUMIF(124:124,C42,125:125)+100</f>
        <v>100</v>
      </c>
      <c r="G42" s="1162" t="s">
        <v>1856</v>
      </c>
      <c r="H42" s="1119">
        <f>SUMIF(124:124,G42,125:125)-SUMIF(124:124,C42,125:125)+100</f>
        <v>100</v>
      </c>
      <c r="I42" s="1162" t="s">
        <v>1856</v>
      </c>
      <c r="J42" s="1119">
        <f>SUMIF(124:124,I42,125:125)-SUMIF(124:124,C42,125:125)+100</f>
        <v>100</v>
      </c>
      <c r="K42" s="1255">
        <v>2</v>
      </c>
      <c r="L42" s="1249"/>
      <c r="M42" s="1237"/>
      <c r="N42" s="1237"/>
      <c r="O42" s="1248"/>
      <c r="P42" s="3649" t="s">
        <v>1034</v>
      </c>
      <c r="Q42" s="664" t="str">
        <f t="shared" si="14"/>
        <v>工程地质条件</v>
      </c>
      <c r="R42" s="1285" t="s">
        <v>1013</v>
      </c>
      <c r="S42" s="1286">
        <f t="shared" si="10"/>
        <v>100</v>
      </c>
      <c r="T42" s="1285" t="s">
        <v>1013</v>
      </c>
      <c r="U42" s="1286">
        <f t="shared" si="11"/>
        <v>100</v>
      </c>
      <c r="V42" s="1285" t="s">
        <v>1013</v>
      </c>
      <c r="W42" s="1286">
        <f t="shared" si="12"/>
        <v>100</v>
      </c>
      <c r="X42" s="1279"/>
      <c r="Y42" s="3649" t="s">
        <v>1034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9"/>
      <c r="Q43" s="664">
        <f t="shared" si="14"/>
        <v>111</v>
      </c>
      <c r="R43" s="1285" t="s">
        <v>1013</v>
      </c>
      <c r="S43" s="1286">
        <f t="shared" si="10"/>
        <v>100</v>
      </c>
      <c r="T43" s="1285" t="s">
        <v>1013</v>
      </c>
      <c r="U43" s="1286">
        <f t="shared" si="11"/>
        <v>100</v>
      </c>
      <c r="V43" s="1285" t="s">
        <v>1013</v>
      </c>
      <c r="W43" s="1286">
        <f t="shared" si="12"/>
        <v>100</v>
      </c>
      <c r="X43" s="1279"/>
      <c r="Y43" s="364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9"/>
      <c r="Q44" s="664">
        <f t="shared" si="14"/>
        <v>111</v>
      </c>
      <c r="R44" s="1285" t="s">
        <v>1013</v>
      </c>
      <c r="S44" s="1286">
        <f t="shared" si="10"/>
        <v>100</v>
      </c>
      <c r="T44" s="1285" t="s">
        <v>1013</v>
      </c>
      <c r="U44" s="1286">
        <f t="shared" si="11"/>
        <v>100</v>
      </c>
      <c r="V44" s="1285" t="s">
        <v>1013</v>
      </c>
      <c r="W44" s="1286">
        <f t="shared" si="12"/>
        <v>100</v>
      </c>
      <c r="X44" s="1279"/>
      <c r="Y44" s="364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9"/>
      <c r="Q45" s="664">
        <f t="shared" si="14"/>
        <v>111</v>
      </c>
      <c r="R45" s="1287" t="s">
        <v>1013</v>
      </c>
      <c r="S45" s="1288">
        <f t="shared" si="10"/>
        <v>100</v>
      </c>
      <c r="T45" s="1287" t="s">
        <v>1013</v>
      </c>
      <c r="U45" s="1288">
        <f t="shared" si="11"/>
        <v>100</v>
      </c>
      <c r="V45" s="1287" t="s">
        <v>1013</v>
      </c>
      <c r="W45" s="1288">
        <f t="shared" si="12"/>
        <v>100</v>
      </c>
      <c r="X45" s="1289"/>
      <c r="Y45" s="3649"/>
      <c r="Z45" s="1297">
        <f t="shared" si="13"/>
        <v>111</v>
      </c>
      <c r="AA45" s="1296">
        <f t="shared" si="3"/>
        <v>1</v>
      </c>
      <c r="AB45" s="1296">
        <f t="shared" si="4"/>
        <v>1</v>
      </c>
      <c r="AC45" s="1296">
        <f t="shared" si="5"/>
        <v>1</v>
      </c>
    </row>
    <row r="46" spans="1:29" ht="15">
      <c r="A46" s="1168" t="s">
        <v>1599</v>
      </c>
      <c r="B46" s="1169" t="s">
        <v>1618</v>
      </c>
      <c r="C46" s="1170" t="s">
        <v>124</v>
      </c>
      <c r="D46" s="1171"/>
      <c r="E46" s="1172">
        <v>20750</v>
      </c>
      <c r="F46" s="1173"/>
      <c r="G46" s="1174">
        <v>16715</v>
      </c>
      <c r="H46" s="1175"/>
      <c r="I46" s="1172">
        <v>15300</v>
      </c>
      <c r="J46" s="1175"/>
      <c r="K46" s="1260"/>
      <c r="L46" s="1261"/>
      <c r="M46" s="1185"/>
      <c r="N46" s="1237"/>
      <c r="O46" s="1185"/>
      <c r="P46" s="3640" t="str">
        <f>A46</f>
        <v>成交单价</v>
      </c>
      <c r="Q46" s="3640"/>
      <c r="R46" s="3673">
        <f>E46</f>
        <v>20750</v>
      </c>
      <c r="S46" s="3673"/>
      <c r="T46" s="3673">
        <f>G46</f>
        <v>16715</v>
      </c>
      <c r="U46" s="3673"/>
      <c r="V46" s="3673">
        <f>I46</f>
        <v>15300</v>
      </c>
      <c r="W46" s="3673"/>
      <c r="X46" s="1225"/>
      <c r="Y46" s="1298"/>
      <c r="Z46" s="1225"/>
      <c r="AA46" s="1225"/>
      <c r="AB46" s="1225"/>
      <c r="AC46" s="1225"/>
    </row>
    <row r="47" spans="1:29" ht="15">
      <c r="A47" s="1176" t="s">
        <v>1046</v>
      </c>
      <c r="B47" s="1177"/>
      <c r="C47" s="1178">
        <f>R48</f>
        <v>15072</v>
      </c>
      <c r="D47" s="1179" t="s">
        <v>1047</v>
      </c>
      <c r="E47" s="1178">
        <f>R47</f>
        <v>15345</v>
      </c>
      <c r="F47" s="1180"/>
      <c r="G47" s="1181">
        <f>T47</f>
        <v>15741</v>
      </c>
      <c r="H47" s="1180"/>
      <c r="I47" s="1178">
        <f>V47</f>
        <v>14130</v>
      </c>
      <c r="J47" s="1180"/>
      <c r="K47" s="1262">
        <f>F47+H47+J47</f>
        <v>0</v>
      </c>
      <c r="L47" s="1261"/>
      <c r="M47" s="1185"/>
      <c r="N47" s="1185"/>
      <c r="O47" s="1185"/>
      <c r="P47" s="3640" t="str">
        <f>A47</f>
        <v>比较价值（元/平方米）</v>
      </c>
      <c r="Q47" s="3640"/>
      <c r="R47" s="3716">
        <f>ROUND(PRODUCT(R46,AA7:AA45),0)</f>
        <v>15345</v>
      </c>
      <c r="S47" s="3716"/>
      <c r="T47" s="3716">
        <f>ROUND(PRODUCT(T46,AB7:AB45),0)</f>
        <v>15741</v>
      </c>
      <c r="U47" s="3716"/>
      <c r="V47" s="3716">
        <f>ROUND(PRODUCT(V46,AC7:AC45),0)</f>
        <v>14130</v>
      </c>
      <c r="W47" s="3716"/>
      <c r="X47" s="1225"/>
      <c r="Y47" s="1225"/>
      <c r="Z47" s="1225"/>
      <c r="AA47" s="1225"/>
      <c r="AB47" s="1225"/>
      <c r="AC47" s="1225"/>
    </row>
    <row r="48" spans="1:29" ht="15">
      <c r="A48" s="1182" t="s">
        <v>1619</v>
      </c>
      <c r="B48" s="1183"/>
      <c r="C48" s="1184">
        <f>R48</f>
        <v>15072</v>
      </c>
      <c r="D48" s="1184"/>
      <c r="E48" s="1184"/>
      <c r="F48" s="1184"/>
      <c r="G48" s="1184"/>
      <c r="H48" s="1184"/>
      <c r="I48" s="1184"/>
      <c r="J48" s="1184"/>
      <c r="K48" s="1263"/>
      <c r="L48" s="1261"/>
      <c r="M48" s="1185"/>
      <c r="N48" s="1185"/>
      <c r="O48" s="1185"/>
      <c r="P48" s="3703" t="str">
        <f>A48</f>
        <v>估价对象XX用房的比较价值（楼面单价，元/平方米）</v>
      </c>
      <c r="Q48" s="3704"/>
      <c r="R48" s="3717">
        <f>ROUND(IF(D47="简单平均",AVERAGE(R47:W47),R47*F47+T47*H47+V47*J47),0)</f>
        <v>15072</v>
      </c>
      <c r="S48" s="3717"/>
      <c r="T48" s="3717"/>
      <c r="U48" s="3717"/>
      <c r="V48" s="3717"/>
      <c r="W48" s="37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1049</v>
      </c>
      <c r="D51" s="708"/>
      <c r="E51" s="1188">
        <f>IF(E46&lt;E47,E47/E46-1,E46/E47-1)</f>
        <v>0.3522319973932877</v>
      </c>
      <c r="F51" s="1189" t="str">
        <f>IF(OR(E51&gt;=0.3,E51&lt;=-0.3),"超过30%","")</f>
        <v>超过30%</v>
      </c>
      <c r="G51" s="1188">
        <f>IF(G46&lt;G47,G47/G46-1,G46/G47-1)</f>
        <v>6.1876627914363658E-2</v>
      </c>
      <c r="H51" s="1189" t="str">
        <f>IF(OR(G51&gt;=0.3,G51&lt;=-0.3),"超过30%","")</f>
        <v/>
      </c>
      <c r="I51" s="1188">
        <f>IF(I46&lt;I47,I47/I46-1,I46/I47-1)</f>
        <v>8.2802547770700619E-2</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1050</v>
      </c>
      <c r="D52" s="707"/>
      <c r="E52" s="1188">
        <f>IF(E47&lt;G47,G47/E47-1,E47/G47-1)</f>
        <v>2.5806451612903292E-2</v>
      </c>
      <c r="F52" s="1189" t="str">
        <f>IF(OR(E52&gt;=0.2,E52&lt;=-0.2),"超过20%","")</f>
        <v/>
      </c>
      <c r="G52" s="1188">
        <f>IF(G47&lt;I47,I47/G47-1,G47/I47-1)</f>
        <v>0.11401273885350327</v>
      </c>
      <c r="H52" s="1189" t="str">
        <f>IF(OR(G52&gt;=0.2,G52&lt;=-0.2),"超过20%","")</f>
        <v/>
      </c>
      <c r="I52" s="1188">
        <f>IF(I47&lt;E47,E47/I47-1,I47/E47-1)</f>
        <v>8.5987261146496907E-2</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1051</v>
      </c>
      <c r="D53" s="707"/>
      <c r="E53" s="1188">
        <f>IF(E46&lt;G46,G46/E46-1,E46/G46-1)</f>
        <v>0.24139994017349675</v>
      </c>
      <c r="F53" s="1189" t="str">
        <f>IF(OR(E53&gt;=0.3,E53&lt;=-0.3),"超过30%","")</f>
        <v/>
      </c>
      <c r="G53" s="1188">
        <f>IF(G46&lt;I46,I46/G46-1,G46/I46-1)</f>
        <v>9.2483660130718848E-2</v>
      </c>
      <c r="H53" s="1189" t="str">
        <f>IF(OR(G53&gt;=0.3,G53&lt;=-0.3),"超过30%","")</f>
        <v/>
      </c>
      <c r="I53" s="1188">
        <f>IF(I46&lt;E46,E46/I46-1,I46/E46-1)</f>
        <v>0.35620915032679745</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1620</v>
      </c>
      <c r="B55" s="1195" t="s">
        <v>1621</v>
      </c>
      <c r="C55" s="1196" t="s">
        <v>1622</v>
      </c>
      <c r="D55" s="1197" t="s">
        <v>1623</v>
      </c>
      <c r="E55" s="1198" t="s">
        <v>1624</v>
      </c>
      <c r="F55" s="1428" t="s">
        <v>1625</v>
      </c>
      <c r="G55" s="3623" t="s">
        <v>1626</v>
      </c>
      <c r="H55" s="3715"/>
      <c r="I55" s="1432" t="s">
        <v>1627</v>
      </c>
      <c r="J55" s="1433">
        <f>项目基本情况!F35</f>
        <v>0</v>
      </c>
      <c r="K55" s="1270" t="s">
        <v>1628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1629</v>
      </c>
      <c r="B56" s="1201">
        <f>C48</f>
        <v>15072</v>
      </c>
      <c r="C56" s="1202">
        <v>1</v>
      </c>
      <c r="D56" s="1203">
        <v>1</v>
      </c>
      <c r="E56" s="1202">
        <f>'数据-汇总表'!E8+'数据-汇总表'!E9</f>
        <v>17455.670000000002</v>
      </c>
      <c r="F56" s="1429">
        <f t="shared" ref="F56:F64" si="15">ROUND(B56*E56/10000,0)</f>
        <v>26309</v>
      </c>
      <c r="G56" s="3639"/>
      <c r="H56" s="364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1630</v>
      </c>
      <c r="B57" s="395">
        <f>ROUND($C$48*C57*D57,0)</f>
        <v>0</v>
      </c>
      <c r="C57" s="582">
        <f t="shared" ref="C57:C64" si="16">IF($C$55="北京市系数",I57,J57)</f>
        <v>0</v>
      </c>
      <c r="D57" s="1206">
        <v>0.25</v>
      </c>
      <c r="E57" s="1207"/>
      <c r="F57" s="1429">
        <f t="shared" si="15"/>
        <v>0</v>
      </c>
      <c r="G57" s="1208" t="s">
        <v>1631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1632</v>
      </c>
      <c r="B58" s="395">
        <f t="shared" ref="B58:B64" si="17">ROUND($C$48*C58*D58,0)</f>
        <v>0</v>
      </c>
      <c r="C58" s="582">
        <f t="shared" si="16"/>
        <v>0</v>
      </c>
      <c r="D58" s="1206">
        <v>0.25</v>
      </c>
      <c r="E58" s="1207"/>
      <c r="F58" s="1429">
        <f t="shared" si="15"/>
        <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1633</v>
      </c>
      <c r="B59" s="395">
        <f t="shared" si="17"/>
        <v>0</v>
      </c>
      <c r="C59" s="582">
        <f t="shared" si="16"/>
        <v>0</v>
      </c>
      <c r="D59" s="1206">
        <v>0.25</v>
      </c>
      <c r="E59" s="1207"/>
      <c r="F59" s="1429">
        <f t="shared" si="15"/>
        <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1634</v>
      </c>
      <c r="B60" s="395">
        <f t="shared" si="17"/>
        <v>942</v>
      </c>
      <c r="C60" s="582">
        <f t="shared" si="16"/>
        <v>0.25</v>
      </c>
      <c r="D60" s="1206">
        <v>0.25</v>
      </c>
      <c r="E60" s="394">
        <f>'数据-汇总表'!E11</f>
        <v>2820.8199999999997</v>
      </c>
      <c r="F60" s="1429">
        <f t="shared" si="15"/>
        <v>266</v>
      </c>
      <c r="G60" s="1212" t="s">
        <v>1635</v>
      </c>
      <c r="H60" s="1209" t="str">
        <f>项目基本情况!C37</f>
        <v>五级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1636</v>
      </c>
      <c r="B61" s="395">
        <f t="shared" si="17"/>
        <v>942</v>
      </c>
      <c r="C61" s="582">
        <f t="shared" si="16"/>
        <v>0.25</v>
      </c>
      <c r="D61" s="1206">
        <v>0.25</v>
      </c>
      <c r="E61" s="394">
        <f>'数据-汇总表'!E12</f>
        <v>0</v>
      </c>
      <c r="F61" s="1429">
        <f t="shared" si="15"/>
        <v>0</v>
      </c>
      <c r="G61" s="1213" t="s">
        <v>1637</v>
      </c>
      <c r="H61" s="1209" t="str">
        <f>IF(G61="商业",项目基本情况!B37,IF(G61="办公",项目基本情况!C37,IF(G61="住宅",项目基本情况!D37,项目基本情况!E37)))</f>
        <v>五级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1638</v>
      </c>
      <c r="B62" s="395">
        <f t="shared" si="17"/>
        <v>0</v>
      </c>
      <c r="C62" s="582">
        <f t="shared" si="16"/>
        <v>0</v>
      </c>
      <c r="D62" s="1206">
        <v>0.25</v>
      </c>
      <c r="E62" s="394">
        <f>'数据-汇总表'!E13</f>
        <v>0</v>
      </c>
      <c r="F62" s="1429">
        <f t="shared" si="15"/>
        <v>0</v>
      </c>
      <c r="G62" s="1213" t="s">
        <v>1639</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1640</v>
      </c>
      <c r="B63" s="395">
        <f t="shared" si="17"/>
        <v>0</v>
      </c>
      <c r="C63" s="582">
        <f t="shared" si="16"/>
        <v>0</v>
      </c>
      <c r="D63" s="1206">
        <v>0.25</v>
      </c>
      <c r="E63" s="394">
        <f>'数据-汇总表'!E14</f>
        <v>0</v>
      </c>
      <c r="F63" s="1429">
        <f t="shared" si="15"/>
        <v>0</v>
      </c>
      <c r="G63" s="1212" t="s">
        <v>1631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1641</v>
      </c>
      <c r="B64" s="395">
        <f t="shared" si="17"/>
        <v>565</v>
      </c>
      <c r="C64" s="582">
        <f t="shared" si="16"/>
        <v>0.15</v>
      </c>
      <c r="D64" s="1206">
        <v>0.25</v>
      </c>
      <c r="E64" s="394">
        <f>'数据-汇总表'!E15</f>
        <v>0</v>
      </c>
      <c r="F64" s="1429">
        <f t="shared" si="15"/>
        <v>0</v>
      </c>
      <c r="G64" s="1214" t="s">
        <v>1635</v>
      </c>
      <c r="H64" s="1215" t="str">
        <f>项目基本情况!C37</f>
        <v>五级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1642</v>
      </c>
      <c r="B65" s="1217" t="s">
        <v>1643</v>
      </c>
      <c r="C65" s="1217" t="s">
        <v>1643</v>
      </c>
      <c r="D65" s="1217" t="s">
        <v>1643</v>
      </c>
      <c r="E65" s="1217">
        <f>IF(B46="楼面地价",SUM(E56:E64),'数据-汇总表'!D3)</f>
        <v>20276.490000000002</v>
      </c>
      <c r="F65" s="1218">
        <f>IF(B46="楼面地价",SUM(F56:F64),ROUND(C48*E65/10000,0))</f>
        <v>26575</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1052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1644</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548</v>
      </c>
      <c r="B70" s="1303" t="str">
        <f>"北京市平均增长率"&amp;TEXT(SUMIF(基准地价修正!N25:N29,A70,基准地价修正!P25:P29),"0.00%")</f>
        <v>北京市平均增长率0.00%</v>
      </c>
      <c r="C70" s="841">
        <v>100</v>
      </c>
      <c r="D70" s="1304">
        <f>C70-$C$71</f>
        <v>99.5</v>
      </c>
      <c r="E70" s="1304">
        <f t="shared" ref="E70:O70" si="20">D70-$C$71</f>
        <v>99</v>
      </c>
      <c r="F70" s="1304">
        <f t="shared" si="20"/>
        <v>98.5</v>
      </c>
      <c r="G70" s="1304">
        <f t="shared" si="20"/>
        <v>98</v>
      </c>
      <c r="H70" s="1304">
        <f t="shared" si="20"/>
        <v>97.5</v>
      </c>
      <c r="I70" s="1304">
        <f t="shared" si="20"/>
        <v>97</v>
      </c>
      <c r="J70" s="1304">
        <f t="shared" si="20"/>
        <v>96.5</v>
      </c>
      <c r="K70" s="1304">
        <f t="shared" si="20"/>
        <v>96</v>
      </c>
      <c r="L70" s="1304">
        <f t="shared" si="20"/>
        <v>95.5</v>
      </c>
      <c r="M70" s="1304">
        <f>L70-$C$71</f>
        <v>95</v>
      </c>
      <c r="N70" s="1304">
        <f t="shared" si="20"/>
        <v>94.5</v>
      </c>
      <c r="O70" s="1304">
        <f t="shared" si="20"/>
        <v>94</v>
      </c>
      <c r="P70" s="1290"/>
      <c r="Q70" s="1410"/>
      <c r="R70" s="1410"/>
      <c r="S70" s="1410"/>
      <c r="T70" s="1410"/>
      <c r="U70" s="1410"/>
      <c r="V70" s="1410"/>
      <c r="W70" s="1410"/>
      <c r="X70" s="1410"/>
      <c r="Y70" s="1410"/>
      <c r="Z70" s="1410"/>
      <c r="AA70" s="1410"/>
      <c r="AB70" s="1410"/>
      <c r="AC70" s="1410"/>
    </row>
    <row r="71" spans="1:29" s="1069" customFormat="1" ht="15">
      <c r="A71" s="1305" t="s">
        <v>1053</v>
      </c>
      <c r="B71" s="1306"/>
      <c r="C71" s="1307">
        <v>0.5</v>
      </c>
      <c r="D71" s="1308"/>
      <c r="E71" s="1308"/>
      <c r="F71" s="1308"/>
      <c r="G71" s="1308"/>
      <c r="H71" s="1308"/>
      <c r="I71" s="1308"/>
      <c r="J71" s="1308"/>
      <c r="K71" s="1308"/>
      <c r="L71" s="1308"/>
      <c r="M71" s="1356"/>
      <c r="N71" s="1308"/>
      <c r="O71" s="1445"/>
      <c r="P71" s="1290"/>
      <c r="Q71" s="1290"/>
      <c r="R71" s="1410"/>
      <c r="S71" s="1410"/>
      <c r="T71" s="1410"/>
      <c r="U71" s="1410"/>
      <c r="V71" s="1410"/>
      <c r="W71" s="1410"/>
      <c r="X71" s="1410"/>
      <c r="Y71" s="1410"/>
      <c r="Z71" s="1410"/>
      <c r="AA71" s="1410"/>
      <c r="AB71" s="1410"/>
      <c r="AC71" s="1410"/>
    </row>
    <row r="72" spans="1:29" s="1069" customFormat="1" ht="15">
      <c r="A72" s="1309" t="s">
        <v>1014</v>
      </c>
      <c r="B72" s="1310"/>
      <c r="C72" s="1311" t="s">
        <v>1054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1055</v>
      </c>
      <c r="B74" s="1316" t="s">
        <v>1017</v>
      </c>
      <c r="C74" s="3432" t="s">
        <v>2953</v>
      </c>
      <c r="D74" s="3432" t="s">
        <v>2954</v>
      </c>
      <c r="E74" s="3432" t="s">
        <v>2955</v>
      </c>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100</v>
      </c>
      <c r="E75" s="1319">
        <v>102</v>
      </c>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1020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1021</v>
      </c>
      <c r="C78" s="1325" t="str">
        <f>C79&amp;"（含）"&amp;"-"&amp;D79</f>
        <v>0（含）-</v>
      </c>
      <c r="D78" s="1325" t="str">
        <f t="shared" ref="D78:L78" si="21">D79&amp;"（含）"&amp;"-"&amp;E79</f>
        <v>（含）-</v>
      </c>
      <c r="E78" s="1325" t="str">
        <f t="shared" si="21"/>
        <v>（含）-</v>
      </c>
      <c r="F78" s="1325" t="str">
        <f t="shared" si="21"/>
        <v>（含）-</v>
      </c>
      <c r="G78" s="1325" t="str">
        <f t="shared" si="21"/>
        <v>（含）-</v>
      </c>
      <c r="H78" s="1325" t="str">
        <f t="shared" si="21"/>
        <v>（含）-</v>
      </c>
      <c r="I78" s="1325" t="str">
        <f t="shared" si="21"/>
        <v>（含）-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100</v>
      </c>
      <c r="E80" s="1323">
        <f t="shared" si="22"/>
        <v>100</v>
      </c>
      <c r="F80" s="1323">
        <f t="shared" si="22"/>
        <v>100</v>
      </c>
      <c r="G80" s="1323">
        <f t="shared" si="22"/>
        <v>100</v>
      </c>
      <c r="H80" s="1323">
        <f t="shared" si="22"/>
        <v>100</v>
      </c>
      <c r="I80" s="1323">
        <f t="shared" si="22"/>
        <v>100</v>
      </c>
      <c r="J80" s="1323">
        <f t="shared" si="22"/>
        <v>100</v>
      </c>
      <c r="K80" s="1323">
        <f t="shared" si="22"/>
        <v>100</v>
      </c>
      <c r="L80" s="1323">
        <f t="shared" si="22"/>
        <v>100</v>
      </c>
      <c r="M80" s="1323">
        <f t="shared" si="22"/>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1022</v>
      </c>
      <c r="B87" s="1316" t="s">
        <v>1550</v>
      </c>
      <c r="C87" s="1337" t="s">
        <v>1056</v>
      </c>
      <c r="D87" s="1337" t="s">
        <v>1057</v>
      </c>
      <c r="E87" s="1337" t="s">
        <v>1058</v>
      </c>
      <c r="F87" s="1337" t="s">
        <v>1059</v>
      </c>
      <c r="G87" s="1337" t="s">
        <v>1060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1577</v>
      </c>
      <c r="C89" s="1339" t="s">
        <v>1056</v>
      </c>
      <c r="D89" s="1339" t="s">
        <v>1057</v>
      </c>
      <c r="E89" s="1339" t="s">
        <v>1058</v>
      </c>
      <c r="F89" s="1339" t="s">
        <v>1059</v>
      </c>
      <c r="G89" s="1339" t="s">
        <v>1060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1023</v>
      </c>
      <c r="C91" s="1339" t="s">
        <v>1056</v>
      </c>
      <c r="D91" s="1339" t="s">
        <v>1057</v>
      </c>
      <c r="E91" s="1339" t="s">
        <v>1058</v>
      </c>
      <c r="F91" s="1339" t="s">
        <v>1059</v>
      </c>
      <c r="G91" s="1339" t="s">
        <v>1060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95</v>
      </c>
      <c r="E92" s="1323">
        <f>D92-$K19</f>
        <v>90</v>
      </c>
      <c r="F92" s="1323">
        <f>E92-$K19</f>
        <v>85</v>
      </c>
      <c r="G92" s="1323">
        <f>F92-$K19</f>
        <v>80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1025</v>
      </c>
      <c r="C93" s="1339" t="s">
        <v>1056</v>
      </c>
      <c r="D93" s="1339" t="s">
        <v>1057</v>
      </c>
      <c r="E93" s="1339" t="s">
        <v>1058</v>
      </c>
      <c r="F93" s="1339" t="s">
        <v>1059</v>
      </c>
      <c r="G93" s="1339" t="s">
        <v>1060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96</v>
      </c>
      <c r="E94" s="1323">
        <f>D94-$K21</f>
        <v>92</v>
      </c>
      <c r="F94" s="1323">
        <f>E94-$K21</f>
        <v>88</v>
      </c>
      <c r="G94" s="1323">
        <f>F94-$K21</f>
        <v>84</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1610</v>
      </c>
      <c r="C95" s="1339" t="s">
        <v>1056</v>
      </c>
      <c r="D95" s="1339" t="s">
        <v>1057</v>
      </c>
      <c r="E95" s="1339" t="s">
        <v>1058</v>
      </c>
      <c r="F95" s="1339" t="s">
        <v>1059</v>
      </c>
      <c r="G95" s="1339" t="s">
        <v>1060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1611</v>
      </c>
      <c r="C97" s="1337" t="s">
        <v>1056</v>
      </c>
      <c r="D97" s="1337" t="s">
        <v>1057</v>
      </c>
      <c r="E97" s="1337" t="s">
        <v>1058</v>
      </c>
      <c r="F97" s="1337" t="s">
        <v>1059</v>
      </c>
      <c r="G97" s="1337" t="s">
        <v>1060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1026</v>
      </c>
      <c r="C99" s="1337" t="s">
        <v>1056</v>
      </c>
      <c r="D99" s="1337" t="s">
        <v>1057</v>
      </c>
      <c r="E99" s="1337" t="s">
        <v>1058</v>
      </c>
      <c r="F99" s="1337" t="s">
        <v>1059</v>
      </c>
      <c r="G99" s="1337" t="s">
        <v>1060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97</v>
      </c>
      <c r="E100" s="1323">
        <f>D100-$K27</f>
        <v>94</v>
      </c>
      <c r="F100" s="1323">
        <f>E100-$K27</f>
        <v>91</v>
      </c>
      <c r="G100" s="1323">
        <f>F100-$K27</f>
        <v>88</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1027</v>
      </c>
      <c r="C101" s="1344" t="s">
        <v>1061</v>
      </c>
      <c r="D101" s="1344" t="s">
        <v>1062</v>
      </c>
      <c r="E101" s="1344" t="s">
        <v>1063</v>
      </c>
      <c r="F101" s="1344" t="s">
        <v>1064</v>
      </c>
      <c r="G101" s="1344" t="s">
        <v>1065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1645</v>
      </c>
      <c r="D103" s="1321" t="s">
        <v>1646</v>
      </c>
      <c r="E103" s="1321" t="s">
        <v>1647</v>
      </c>
      <c r="F103" s="1321" t="s">
        <v>1648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1029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1032</v>
      </c>
      <c r="B115" s="1316" t="s">
        <v>1613</v>
      </c>
      <c r="C115" s="1338" t="str">
        <f>C116&amp;"(含)"&amp;"-"&amp;D116</f>
        <v>0(含)-</v>
      </c>
      <c r="D115" s="1338" t="str">
        <f t="shared" ref="D115:M115" si="26">D116&amp;"(含)"&amp;"-"&amp;E116</f>
        <v>(含)-</v>
      </c>
      <c r="E115" s="1338" t="str">
        <f t="shared" si="26"/>
        <v>(含)-</v>
      </c>
      <c r="F115" s="1338" t="str">
        <f t="shared" si="26"/>
        <v>(含)-</v>
      </c>
      <c r="G115" s="1338" t="str">
        <f t="shared" si="26"/>
        <v>(含)-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1614</v>
      </c>
      <c r="C118" s="3437" t="s">
        <v>2940</v>
      </c>
      <c r="D118" s="3437" t="s">
        <v>2942</v>
      </c>
      <c r="E118" s="3437" t="s">
        <v>2943</v>
      </c>
      <c r="F118" s="3437" t="s">
        <v>2944</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1616</v>
      </c>
      <c r="C122" s="3438" t="s">
        <v>2945</v>
      </c>
      <c r="D122" s="3438" t="s">
        <v>2946</v>
      </c>
      <c r="E122" s="3438" t="s">
        <v>2947</v>
      </c>
      <c r="F122" s="3438" t="s">
        <v>2948</v>
      </c>
      <c r="G122" s="3438" t="s">
        <v>2952</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v>
      </c>
      <c r="E123" s="1323">
        <f t="shared" si="29"/>
        <v>98</v>
      </c>
      <c r="F123" s="1323">
        <f t="shared" si="29"/>
        <v>97</v>
      </c>
      <c r="G123" s="1323">
        <f t="shared" si="29"/>
        <v>96</v>
      </c>
      <c r="H123" s="1323">
        <f t="shared" si="29"/>
        <v>95</v>
      </c>
      <c r="I123" s="1323">
        <f t="shared" si="29"/>
        <v>94</v>
      </c>
      <c r="J123" s="1323">
        <f t="shared" si="29"/>
        <v>93</v>
      </c>
      <c r="K123" s="1323">
        <f t="shared" si="29"/>
        <v>92</v>
      </c>
      <c r="L123" s="1323">
        <f t="shared" si="29"/>
        <v>91</v>
      </c>
      <c r="M123" s="1373">
        <f t="shared" si="29"/>
        <v>90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1617</v>
      </c>
      <c r="C124" s="3438" t="s">
        <v>2949</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1607</v>
      </c>
      <c r="B1" s="1079"/>
      <c r="C1" s="1080" t="s">
        <v>1585</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ROUND(IF(D3="",B2*10000/'数据-汇总表'!E3,B2*10000/D3),0)</f>
        <v>#DIV/0!</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ht="15">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55"/>
      <c r="AC5" s="3655"/>
    </row>
    <row r="6" spans="1:29" ht="15">
      <c r="A6" s="1092"/>
      <c r="B6" s="1093"/>
      <c r="C6" s="3718" t="s">
        <v>1649</v>
      </c>
      <c r="D6" s="3719"/>
      <c r="E6" s="3720" t="s">
        <v>1649</v>
      </c>
      <c r="F6" s="3721"/>
      <c r="G6" s="3718" t="s">
        <v>1649</v>
      </c>
      <c r="H6" s="3719"/>
      <c r="I6" s="3718" t="s">
        <v>1649</v>
      </c>
      <c r="J6" s="3719"/>
      <c r="K6" s="1235" t="s">
        <v>1010</v>
      </c>
      <c r="L6" s="1236"/>
      <c r="M6" s="1237"/>
      <c r="N6" s="1237"/>
      <c r="O6" s="1237"/>
      <c r="P6" s="3710"/>
      <c r="Q6" s="3665"/>
      <c r="R6" s="3668"/>
      <c r="S6" s="3669"/>
      <c r="T6" s="3670"/>
      <c r="U6" s="3671"/>
      <c r="V6" s="3673"/>
      <c r="W6" s="3673"/>
      <c r="X6" s="1279"/>
      <c r="Y6" s="3670"/>
      <c r="Z6" s="3671"/>
      <c r="AA6" s="3656"/>
      <c r="AB6" s="3656"/>
      <c r="AC6" s="3656"/>
    </row>
    <row r="7" spans="1:29" s="1069" customFormat="1" ht="15">
      <c r="A7" s="1094" t="s">
        <v>1011</v>
      </c>
      <c r="B7" s="1095"/>
      <c r="C7" s="1096">
        <f>'数据-取费表'!B2</f>
        <v>45078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5">
      <c r="A8" s="1094" t="s">
        <v>1014</v>
      </c>
      <c r="B8" s="1095"/>
      <c r="C8" s="1101" t="s">
        <v>1054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7" t="s">
        <v>1015</v>
      </c>
      <c r="Q8" s="3638"/>
      <c r="R8" s="1280" t="s">
        <v>1013</v>
      </c>
      <c r="S8" s="1281">
        <f t="shared" si="0"/>
        <v>0</v>
      </c>
      <c r="T8" s="1280" t="s">
        <v>1013</v>
      </c>
      <c r="U8" s="1281">
        <f t="shared" si="1"/>
        <v>0</v>
      </c>
      <c r="V8" s="1280" t="s">
        <v>1013</v>
      </c>
      <c r="W8" s="1281">
        <f t="shared" si="2"/>
        <v>0</v>
      </c>
      <c r="X8" s="1282"/>
      <c r="Y8" s="3637" t="s">
        <v>1015</v>
      </c>
      <c r="Z8" s="3638"/>
      <c r="AA8" s="1294" t="e">
        <f t="shared" ref="AA8:AA40" si="3">D8/F8</f>
        <v>#DIV/0!</v>
      </c>
      <c r="AB8" s="1294" t="e">
        <f t="shared" ref="AB8:AB40" si="4">D8/H8</f>
        <v>#DIV/0!</v>
      </c>
      <c r="AC8" s="1294" t="e">
        <f t="shared" ref="AC8:AC40" si="5">D8/J8</f>
        <v>#DIV/0!</v>
      </c>
    </row>
    <row r="9" spans="1:29" s="1069" customFormat="1">
      <c r="A9" s="1102" t="s">
        <v>1016</v>
      </c>
      <c r="B9" s="1103" t="s">
        <v>1017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0"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7">
      <c r="A10" s="1106"/>
      <c r="B10" s="1107" t="s">
        <v>1020</v>
      </c>
      <c r="C10" s="1108"/>
      <c r="D10" s="1109">
        <v>100</v>
      </c>
      <c r="E10" s="1108"/>
      <c r="F10" s="1109">
        <f>ROUND(100/'数据-取费表'!G16,0)</f>
        <v>125</v>
      </c>
      <c r="G10" s="1108"/>
      <c r="H10" s="1109">
        <f>ROUND(100/'数据-取费表'!G16,0)</f>
        <v>125</v>
      </c>
      <c r="I10" s="1108"/>
      <c r="J10" s="1109">
        <f>ROUND(100/'数据-取费表'!G16,0)</f>
        <v>125</v>
      </c>
      <c r="K10" s="1242"/>
      <c r="L10" s="1243"/>
      <c r="M10" s="1244"/>
      <c r="N10" s="1244"/>
      <c r="O10" s="1245"/>
      <c r="P10" s="3640"/>
      <c r="Q10" s="1284" t="str">
        <f t="shared" si="6"/>
        <v>土地使用年限（年）</v>
      </c>
      <c r="R10" s="1280" t="s">
        <v>1013</v>
      </c>
      <c r="S10" s="1281">
        <f t="shared" si="0"/>
        <v>125</v>
      </c>
      <c r="T10" s="1280" t="s">
        <v>1013</v>
      </c>
      <c r="U10" s="1281">
        <f t="shared" si="1"/>
        <v>125</v>
      </c>
      <c r="V10" s="1280" t="s">
        <v>1013</v>
      </c>
      <c r="W10" s="1281">
        <f t="shared" si="2"/>
        <v>125</v>
      </c>
      <c r="X10" s="1282"/>
      <c r="Y10" s="3617"/>
      <c r="Z10" s="1295" t="str">
        <f t="shared" si="7"/>
        <v>土地使用年限（年）</v>
      </c>
      <c r="AA10" s="1294">
        <f t="shared" si="3"/>
        <v>0.8</v>
      </c>
      <c r="AB10" s="1294">
        <f t="shared" si="4"/>
        <v>0.8</v>
      </c>
      <c r="AC10" s="1294">
        <f t="shared" si="5"/>
        <v>0.8</v>
      </c>
    </row>
    <row r="11" spans="1:29" ht="15">
      <c r="A11" s="1110"/>
      <c r="B11" s="1107" t="s">
        <v>1021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0"/>
      <c r="Q11" s="1284" t="str">
        <f t="shared" si="6"/>
        <v>容积率</v>
      </c>
      <c r="R11" s="1280" t="s">
        <v>1013</v>
      </c>
      <c r="S11" s="1281" t="e">
        <f t="shared" si="0"/>
        <v>#N/A</v>
      </c>
      <c r="T11" s="1280" t="s">
        <v>1013</v>
      </c>
      <c r="U11" s="1281" t="e">
        <f t="shared" si="1"/>
        <v>#N/A</v>
      </c>
      <c r="V11" s="1280" t="s">
        <v>1013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0"/>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57">
      <c r="A15" s="1124" t="s">
        <v>1022</v>
      </c>
      <c r="B15" s="1125" t="s">
        <v>1586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7" t="s">
        <v>1024</v>
      </c>
      <c r="Q15" s="664" t="str">
        <f t="shared" si="6"/>
        <v>产业集聚程度</v>
      </c>
      <c r="R15" s="1285" t="s">
        <v>1013</v>
      </c>
      <c r="S15" s="1286">
        <f t="shared" si="0"/>
        <v>100</v>
      </c>
      <c r="T15" s="1285" t="s">
        <v>1013</v>
      </c>
      <c r="U15" s="1286">
        <f t="shared" si="1"/>
        <v>100</v>
      </c>
      <c r="V15" s="1285" t="s">
        <v>1013</v>
      </c>
      <c r="W15" s="1286">
        <f t="shared" si="2"/>
        <v>100</v>
      </c>
      <c r="X15" s="1279"/>
      <c r="Y15" s="3647" t="s">
        <v>1024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85.5">
      <c r="A17" s="1110"/>
      <c r="B17" s="1134" t="s">
        <v>1025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8"/>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15">
      <c r="A19" s="1110"/>
      <c r="B19" s="1134" t="s">
        <v>1610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8"/>
      <c r="Q19" s="664" t="str">
        <f t="shared" ref="Q19:Q34" si="8">B19</f>
        <v>区域土地利用方向</v>
      </c>
      <c r="R19" s="1285" t="s">
        <v>1013</v>
      </c>
      <c r="S19" s="1286">
        <f>F19</f>
        <v>100</v>
      </c>
      <c r="T19" s="1285" t="s">
        <v>1013</v>
      </c>
      <c r="U19" s="1286">
        <f>H19</f>
        <v>100</v>
      </c>
      <c r="V19" s="1285" t="s">
        <v>1013</v>
      </c>
      <c r="W19" s="1286">
        <f>J19</f>
        <v>100</v>
      </c>
      <c r="X19" s="1279"/>
      <c r="Y19" s="364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8"/>
      <c r="Q20" s="664"/>
      <c r="R20" s="1285"/>
      <c r="S20" s="1286"/>
      <c r="T20" s="1285"/>
      <c r="U20" s="1286"/>
      <c r="V20" s="1285"/>
      <c r="W20" s="1286"/>
      <c r="X20" s="1279"/>
      <c r="Y20" s="3648"/>
      <c r="Z20" s="1269"/>
      <c r="AA20" s="1296"/>
      <c r="AB20" s="1296"/>
      <c r="AC20" s="1296"/>
    </row>
    <row r="21" spans="1:29" ht="71.25">
      <c r="A21" s="1090"/>
      <c r="B21" s="1134" t="s">
        <v>1650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8"/>
      <c r="Q21" s="664" t="str">
        <f t="shared" si="8"/>
        <v>环境状况</v>
      </c>
      <c r="R21" s="1285" t="s">
        <v>1013</v>
      </c>
      <c r="S21" s="1286">
        <f>F21</f>
        <v>100</v>
      </c>
      <c r="T21" s="1285" t="s">
        <v>1013</v>
      </c>
      <c r="U21" s="1286">
        <f>H21</f>
        <v>100</v>
      </c>
      <c r="V21" s="1285" t="s">
        <v>1013</v>
      </c>
      <c r="W21" s="1286">
        <f>J21</f>
        <v>100</v>
      </c>
      <c r="X21" s="1279"/>
      <c r="Y21" s="364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s="1069" customFormat="1" ht="42.75">
      <c r="A23" s="1140"/>
      <c r="B23" s="1141" t="s">
        <v>1026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8"/>
      <c r="Q23" s="1284" t="str">
        <f t="shared" si="8"/>
        <v>公共配套设施</v>
      </c>
      <c r="R23" s="1280" t="s">
        <v>1013</v>
      </c>
      <c r="S23" s="1281">
        <f>F23</f>
        <v>100</v>
      </c>
      <c r="T23" s="1280" t="s">
        <v>1013</v>
      </c>
      <c r="U23" s="1281">
        <f>H23</f>
        <v>100</v>
      </c>
      <c r="V23" s="1280" t="s">
        <v>1013</v>
      </c>
      <c r="W23" s="1281">
        <f>J23</f>
        <v>100</v>
      </c>
      <c r="X23" s="1282"/>
      <c r="Y23" s="364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8"/>
      <c r="Q24" s="1284"/>
      <c r="R24" s="1280"/>
      <c r="S24" s="1281"/>
      <c r="T24" s="1280"/>
      <c r="U24" s="1281"/>
      <c r="V24" s="1280"/>
      <c r="W24" s="1281"/>
      <c r="X24" s="1282"/>
      <c r="Y24" s="3648"/>
      <c r="Z24" s="1295"/>
      <c r="AA24" s="1294">
        <v>1</v>
      </c>
      <c r="AB24" s="1294">
        <v>1</v>
      </c>
      <c r="AC24" s="1294">
        <v>1</v>
      </c>
    </row>
    <row r="25" spans="1:29" s="1069" customFormat="1" ht="28.5">
      <c r="A25" s="1140"/>
      <c r="B25" s="1141" t="s">
        <v>1027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8"/>
      <c r="Q25" s="1284" t="str">
        <f t="shared" ref="Q25" si="9">B25</f>
        <v>基础设施水平</v>
      </c>
      <c r="R25" s="1280" t="s">
        <v>1013</v>
      </c>
      <c r="S25" s="1281">
        <f>F25</f>
        <v>100</v>
      </c>
      <c r="T25" s="1280" t="s">
        <v>1013</v>
      </c>
      <c r="U25" s="1281">
        <f>H25</f>
        <v>100</v>
      </c>
      <c r="V25" s="1280" t="s">
        <v>1013</v>
      </c>
      <c r="W25" s="1281">
        <f>J25</f>
        <v>100</v>
      </c>
      <c r="X25" s="1282"/>
      <c r="Y25" s="364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8"/>
      <c r="Q26" s="1284"/>
      <c r="R26" s="1280"/>
      <c r="S26" s="1281"/>
      <c r="T26" s="1280"/>
      <c r="U26" s="1281"/>
      <c r="V26" s="1280"/>
      <c r="W26" s="1281"/>
      <c r="X26" s="1282"/>
      <c r="Y26" s="3648"/>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8"/>
      <c r="Q27" s="664" t="str">
        <f t="shared" si="8"/>
        <v>临街状况</v>
      </c>
      <c r="R27" s="1285" t="s">
        <v>1013</v>
      </c>
      <c r="S27" s="1286">
        <f t="shared" ref="S27:S40" si="10">F27</f>
        <v>100</v>
      </c>
      <c r="T27" s="1285" t="s">
        <v>1013</v>
      </c>
      <c r="U27" s="1286">
        <f t="shared" ref="U27:U40" si="11">H27</f>
        <v>100</v>
      </c>
      <c r="V27" s="1285" t="s">
        <v>1013</v>
      </c>
      <c r="W27" s="1286">
        <f t="shared" ref="W27:W40" si="12">J27</f>
        <v>100</v>
      </c>
      <c r="X27" s="1279"/>
      <c r="Y27" s="3648"/>
      <c r="Z27" s="1269" t="str">
        <f t="shared" ref="Z27:Z40" si="13">Q27</f>
        <v>临街状况</v>
      </c>
      <c r="AA27" s="1296">
        <f t="shared" si="3"/>
        <v>1</v>
      </c>
      <c r="AB27" s="1296">
        <f t="shared" si="4"/>
        <v>1</v>
      </c>
      <c r="AC27" s="1296">
        <f t="shared" si="5"/>
        <v>1</v>
      </c>
    </row>
    <row r="28" spans="1:29" ht="27">
      <c r="A28" s="1110"/>
      <c r="B28" s="1141" t="s">
        <v>1029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8"/>
      <c r="Q28" s="664" t="str">
        <f t="shared" si="8"/>
        <v>毗邻道路的类型与等级</v>
      </c>
      <c r="R28" s="1285" t="s">
        <v>1013</v>
      </c>
      <c r="S28" s="1286">
        <f t="shared" si="10"/>
        <v>100</v>
      </c>
      <c r="T28" s="1285" t="s">
        <v>1013</v>
      </c>
      <c r="U28" s="1286">
        <f t="shared" si="11"/>
        <v>100</v>
      </c>
      <c r="V28" s="1285" t="s">
        <v>1013</v>
      </c>
      <c r="W28" s="1286">
        <f t="shared" si="12"/>
        <v>100</v>
      </c>
      <c r="X28" s="1279"/>
      <c r="Y28" s="364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8"/>
      <c r="Q29" s="664"/>
      <c r="R29" s="1285"/>
      <c r="S29" s="1286"/>
      <c r="T29" s="1285"/>
      <c r="U29" s="1286"/>
      <c r="V29" s="1285"/>
      <c r="W29" s="1286"/>
      <c r="X29" s="1279"/>
      <c r="Y29" s="3648"/>
      <c r="Z29" s="1269"/>
      <c r="AA29" s="1296">
        <v>1</v>
      </c>
      <c r="AB29" s="1296">
        <v>1</v>
      </c>
      <c r="AC29" s="1296">
        <v>1</v>
      </c>
    </row>
    <row r="30" spans="1:29" ht="15">
      <c r="A30" s="1110"/>
      <c r="B30" s="1147" t="s">
        <v>1612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8"/>
      <c r="Q30" s="664" t="str">
        <f t="shared" si="8"/>
        <v>土地级别</v>
      </c>
      <c r="R30" s="1285" t="s">
        <v>1013</v>
      </c>
      <c r="S30" s="1286">
        <f t="shared" si="10"/>
        <v>100</v>
      </c>
      <c r="T30" s="1285" t="s">
        <v>1013</v>
      </c>
      <c r="U30" s="1286">
        <f t="shared" si="11"/>
        <v>100</v>
      </c>
      <c r="V30" s="1285" t="s">
        <v>1013</v>
      </c>
      <c r="W30" s="1286">
        <f t="shared" si="12"/>
        <v>100</v>
      </c>
      <c r="X30" s="1279"/>
      <c r="Y30" s="364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8"/>
      <c r="Q31" s="664">
        <f t="shared" si="8"/>
        <v>111</v>
      </c>
      <c r="R31" s="1285" t="s">
        <v>1013</v>
      </c>
      <c r="S31" s="1286">
        <f t="shared" si="10"/>
        <v>100</v>
      </c>
      <c r="T31" s="1285" t="s">
        <v>1013</v>
      </c>
      <c r="U31" s="1286">
        <f t="shared" si="11"/>
        <v>100</v>
      </c>
      <c r="V31" s="1285" t="s">
        <v>1013</v>
      </c>
      <c r="W31" s="1286">
        <f t="shared" si="12"/>
        <v>100</v>
      </c>
      <c r="X31" s="1279"/>
      <c r="Y31" s="364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1034</v>
      </c>
      <c r="Q32" s="664">
        <f t="shared" si="8"/>
        <v>111</v>
      </c>
      <c r="R32" s="1285" t="s">
        <v>1013</v>
      </c>
      <c r="S32" s="1286">
        <f t="shared" si="10"/>
        <v>100</v>
      </c>
      <c r="T32" s="1285" t="s">
        <v>1013</v>
      </c>
      <c r="U32" s="1286">
        <f t="shared" si="11"/>
        <v>100</v>
      </c>
      <c r="V32" s="1285" t="s">
        <v>1013</v>
      </c>
      <c r="W32" s="1286">
        <f t="shared" si="12"/>
        <v>100</v>
      </c>
      <c r="X32" s="1279"/>
      <c r="Y32" s="3649" t="s">
        <v>1034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9"/>
      <c r="Q33" s="664">
        <f t="shared" si="8"/>
        <v>111</v>
      </c>
      <c r="R33" s="1287" t="s">
        <v>1013</v>
      </c>
      <c r="S33" s="1288">
        <f t="shared" si="10"/>
        <v>100</v>
      </c>
      <c r="T33" s="1287" t="s">
        <v>1013</v>
      </c>
      <c r="U33" s="1288">
        <f t="shared" si="11"/>
        <v>100</v>
      </c>
      <c r="V33" s="1287" t="s">
        <v>1013</v>
      </c>
      <c r="W33" s="1288">
        <f t="shared" si="12"/>
        <v>100</v>
      </c>
      <c r="X33" s="1289"/>
      <c r="Y33" s="3649"/>
      <c r="Z33" s="1297">
        <f t="shared" si="13"/>
        <v>111</v>
      </c>
      <c r="AA33" s="1296">
        <f t="shared" si="3"/>
        <v>1</v>
      </c>
      <c r="AB33" s="1296">
        <f t="shared" si="4"/>
        <v>1</v>
      </c>
      <c r="AC33" s="1296">
        <f t="shared" si="5"/>
        <v>1</v>
      </c>
    </row>
    <row r="34" spans="1:31" ht="15">
      <c r="A34" s="1124" t="s">
        <v>1032</v>
      </c>
      <c r="B34" s="1158" t="s">
        <v>1613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9"/>
      <c r="Q34" s="664" t="str">
        <f t="shared" si="8"/>
        <v>宗地面积</v>
      </c>
      <c r="R34" s="1285" t="s">
        <v>1013</v>
      </c>
      <c r="S34" s="1286" t="e">
        <f t="shared" si="10"/>
        <v>#N/A</v>
      </c>
      <c r="T34" s="1285" t="s">
        <v>1013</v>
      </c>
      <c r="U34" s="1286" t="e">
        <f t="shared" si="11"/>
        <v>#N/A</v>
      </c>
      <c r="V34" s="1285" t="s">
        <v>1013</v>
      </c>
      <c r="W34" s="1286" t="e">
        <f t="shared" si="12"/>
        <v>#N/A</v>
      </c>
      <c r="X34" s="1279"/>
      <c r="Y34" s="3649"/>
      <c r="Z34" s="1269" t="str">
        <f t="shared" si="13"/>
        <v>宗地面积</v>
      </c>
      <c r="AA34" s="1296" t="e">
        <f t="shared" si="3"/>
        <v>#N/A</v>
      </c>
      <c r="AB34" s="1296" t="e">
        <f t="shared" si="4"/>
        <v>#N/A</v>
      </c>
      <c r="AC34" s="1296" t="e">
        <f t="shared" si="5"/>
        <v>#N/A</v>
      </c>
    </row>
    <row r="35" spans="1:31" ht="15">
      <c r="A35" s="1161"/>
      <c r="B35" s="1107" t="s">
        <v>1614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9"/>
      <c r="Q35" s="664" t="str">
        <f t="shared" ref="Q35:Q40" si="14">B35</f>
        <v>宗地形状</v>
      </c>
      <c r="R35" s="1285" t="s">
        <v>1013</v>
      </c>
      <c r="S35" s="1286">
        <f t="shared" si="10"/>
        <v>100</v>
      </c>
      <c r="T35" s="1285" t="s">
        <v>1013</v>
      </c>
      <c r="U35" s="1286">
        <f t="shared" si="11"/>
        <v>100</v>
      </c>
      <c r="V35" s="1285" t="s">
        <v>1013</v>
      </c>
      <c r="W35" s="1286">
        <f t="shared" si="12"/>
        <v>100</v>
      </c>
      <c r="X35" s="1279"/>
      <c r="Y35" s="3649"/>
      <c r="Z35" s="1269" t="str">
        <f t="shared" si="13"/>
        <v>宗地形状</v>
      </c>
      <c r="AA35" s="1296">
        <f t="shared" si="3"/>
        <v>1</v>
      </c>
      <c r="AB35" s="1296">
        <f t="shared" si="4"/>
        <v>1</v>
      </c>
      <c r="AC35" s="1296">
        <f t="shared" si="5"/>
        <v>1</v>
      </c>
    </row>
    <row r="36" spans="1:31" s="1069" customFormat="1" ht="15">
      <c r="A36" s="1163"/>
      <c r="B36" s="1107" t="s">
        <v>1616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9"/>
      <c r="Q36" s="664" t="str">
        <f t="shared" si="14"/>
        <v>宗地开发程度</v>
      </c>
      <c r="R36" s="1280" t="s">
        <v>1013</v>
      </c>
      <c r="S36" s="1281">
        <f t="shared" si="10"/>
        <v>100</v>
      </c>
      <c r="T36" s="1280" t="s">
        <v>1013</v>
      </c>
      <c r="U36" s="1281">
        <f t="shared" si="11"/>
        <v>100</v>
      </c>
      <c r="V36" s="1280" t="s">
        <v>1013</v>
      </c>
      <c r="W36" s="1281">
        <f t="shared" si="12"/>
        <v>100</v>
      </c>
      <c r="X36" s="1282"/>
      <c r="Y36" s="3649"/>
      <c r="Z36" s="1295" t="str">
        <f t="shared" si="13"/>
        <v>宗地开发程度</v>
      </c>
      <c r="AA36" s="1294">
        <f t="shared" si="3"/>
        <v>1</v>
      </c>
      <c r="AB36" s="1294">
        <f t="shared" si="4"/>
        <v>1</v>
      </c>
      <c r="AC36" s="1294">
        <f t="shared" si="5"/>
        <v>1</v>
      </c>
    </row>
    <row r="37" spans="1:31" ht="15">
      <c r="A37" s="1161"/>
      <c r="B37" s="1107" t="s">
        <v>1617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9" t="s">
        <v>1034</v>
      </c>
      <c r="Q37" s="664" t="str">
        <f t="shared" si="14"/>
        <v>工程地质条件</v>
      </c>
      <c r="R37" s="1285" t="s">
        <v>1013</v>
      </c>
      <c r="S37" s="1286">
        <f t="shared" si="10"/>
        <v>100</v>
      </c>
      <c r="T37" s="1285" t="s">
        <v>1013</v>
      </c>
      <c r="U37" s="1286">
        <f t="shared" si="11"/>
        <v>100</v>
      </c>
      <c r="V37" s="1285" t="s">
        <v>1013</v>
      </c>
      <c r="W37" s="1286">
        <f t="shared" si="12"/>
        <v>100</v>
      </c>
      <c r="X37" s="1279"/>
      <c r="Y37" s="3649" t="s">
        <v>1034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9"/>
      <c r="Q38" s="664">
        <f t="shared" si="14"/>
        <v>111</v>
      </c>
      <c r="R38" s="1285" t="s">
        <v>1013</v>
      </c>
      <c r="S38" s="1286">
        <f t="shared" si="10"/>
        <v>100</v>
      </c>
      <c r="T38" s="1285" t="s">
        <v>1013</v>
      </c>
      <c r="U38" s="1286">
        <f t="shared" si="11"/>
        <v>100</v>
      </c>
      <c r="V38" s="1285" t="s">
        <v>1013</v>
      </c>
      <c r="W38" s="1286">
        <f t="shared" si="12"/>
        <v>100</v>
      </c>
      <c r="X38" s="1279"/>
      <c r="Y38" s="364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9"/>
      <c r="Q39" s="664">
        <f t="shared" si="14"/>
        <v>111</v>
      </c>
      <c r="R39" s="1285" t="s">
        <v>1013</v>
      </c>
      <c r="S39" s="1286">
        <f t="shared" si="10"/>
        <v>100</v>
      </c>
      <c r="T39" s="1285" t="s">
        <v>1013</v>
      </c>
      <c r="U39" s="1286">
        <f t="shared" si="11"/>
        <v>100</v>
      </c>
      <c r="V39" s="1285" t="s">
        <v>1013</v>
      </c>
      <c r="W39" s="1286">
        <f t="shared" si="12"/>
        <v>100</v>
      </c>
      <c r="X39" s="1279"/>
      <c r="Y39" s="364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9"/>
      <c r="Q40" s="664">
        <f t="shared" si="14"/>
        <v>111</v>
      </c>
      <c r="R40" s="1287" t="s">
        <v>1013</v>
      </c>
      <c r="S40" s="1288">
        <f t="shared" si="10"/>
        <v>100</v>
      </c>
      <c r="T40" s="1287" t="s">
        <v>1013</v>
      </c>
      <c r="U40" s="1288">
        <f t="shared" si="11"/>
        <v>100</v>
      </c>
      <c r="V40" s="1287" t="s">
        <v>1013</v>
      </c>
      <c r="W40" s="1288">
        <f t="shared" si="12"/>
        <v>100</v>
      </c>
      <c r="X40" s="1289"/>
      <c r="Y40" s="3649"/>
      <c r="Z40" s="1297">
        <f t="shared" si="13"/>
        <v>111</v>
      </c>
      <c r="AA40" s="1296">
        <f t="shared" si="3"/>
        <v>1</v>
      </c>
      <c r="AB40" s="1296">
        <f t="shared" si="4"/>
        <v>1</v>
      </c>
      <c r="AC40" s="1296">
        <f t="shared" si="5"/>
        <v>1</v>
      </c>
    </row>
    <row r="41" spans="1:31" ht="15">
      <c r="A41" s="1168" t="s">
        <v>1599</v>
      </c>
      <c r="B41" s="1169" t="s">
        <v>1651</v>
      </c>
      <c r="C41" s="1170" t="s">
        <v>124</v>
      </c>
      <c r="D41" s="1171"/>
      <c r="E41" s="1172"/>
      <c r="F41" s="1173"/>
      <c r="G41" s="1174"/>
      <c r="H41" s="1175"/>
      <c r="I41" s="1172"/>
      <c r="J41" s="1175"/>
      <c r="K41" s="1260"/>
      <c r="L41" s="1261"/>
      <c r="M41" s="1237"/>
      <c r="N41" s="1237"/>
      <c r="O41" s="1185"/>
      <c r="P41" s="3640" t="str">
        <f>A41</f>
        <v>成交单价</v>
      </c>
      <c r="Q41" s="3640"/>
      <c r="R41" s="3673">
        <f>E41</f>
        <v>0</v>
      </c>
      <c r="S41" s="3673"/>
      <c r="T41" s="3673">
        <f>G41</f>
        <v>0</v>
      </c>
      <c r="U41" s="3673"/>
      <c r="V41" s="3673">
        <f>I41</f>
        <v>0</v>
      </c>
      <c r="W41" s="3673"/>
      <c r="X41" s="1225"/>
      <c r="Y41" s="1298"/>
      <c r="Z41" s="1225"/>
      <c r="AA41" s="1225"/>
      <c r="AB41" s="1225"/>
      <c r="AC41" s="1225"/>
    </row>
    <row r="42" spans="1:31" ht="15">
      <c r="A42" s="1176" t="s">
        <v>1046</v>
      </c>
      <c r="B42" s="1177"/>
      <c r="C42" s="1178" t="e">
        <f>R43</f>
        <v>#DIV/0!</v>
      </c>
      <c r="D42" s="1179" t="s">
        <v>1047</v>
      </c>
      <c r="E42" s="1178" t="e">
        <f>R42</f>
        <v>#DIV/0!</v>
      </c>
      <c r="F42" s="1180"/>
      <c r="G42" s="1181" t="e">
        <f>T42</f>
        <v>#DIV/0!</v>
      </c>
      <c r="H42" s="1180"/>
      <c r="I42" s="1178" t="e">
        <f>V42</f>
        <v>#DIV/0!</v>
      </c>
      <c r="J42" s="1180"/>
      <c r="K42" s="1262">
        <f>F42+H42+J42</f>
        <v>0</v>
      </c>
      <c r="L42" s="1261"/>
      <c r="M42" s="1237"/>
      <c r="N42" s="1237"/>
      <c r="O42" s="1185"/>
      <c r="P42" s="3640" t="str">
        <f>A42</f>
        <v>比较价值（元/平方米）</v>
      </c>
      <c r="Q42" s="3640"/>
      <c r="R42" s="3716" t="e">
        <f>ROUND(PRODUCT(R41,AA7:AA40),0)</f>
        <v>#DIV/0!</v>
      </c>
      <c r="S42" s="3716"/>
      <c r="T42" s="3716" t="e">
        <f>ROUND(PRODUCT(T41,AB7:AB40),0)</f>
        <v>#DIV/0!</v>
      </c>
      <c r="U42" s="3716"/>
      <c r="V42" s="3716" t="e">
        <f>ROUND(PRODUCT(V41,AC7:AC40),0)</f>
        <v>#DIV/0!</v>
      </c>
      <c r="W42" s="3716"/>
      <c r="X42" s="1225"/>
      <c r="Y42" s="1225"/>
      <c r="Z42" s="1225"/>
      <c r="AA42" s="1225"/>
      <c r="AB42" s="1225"/>
      <c r="AC42" s="1225"/>
    </row>
    <row r="43" spans="1:31" ht="15">
      <c r="A43" s="1182" t="s">
        <v>1048</v>
      </c>
      <c r="B43" s="1183"/>
      <c r="C43" s="1184" t="e">
        <f>R43</f>
        <v>#DIV/0!</v>
      </c>
      <c r="D43" s="1184"/>
      <c r="E43" s="1184"/>
      <c r="F43" s="1184"/>
      <c r="G43" s="1184"/>
      <c r="H43" s="1184"/>
      <c r="I43" s="1184"/>
      <c r="J43" s="1184"/>
      <c r="K43" s="1263"/>
      <c r="L43" s="1261"/>
      <c r="M43" s="1237"/>
      <c r="N43" s="1237"/>
      <c r="O43" s="1185"/>
      <c r="P43" s="3703" t="str">
        <f>A43</f>
        <v>估价对象XX用房的比较价值（楼面单价，元/平方米）</v>
      </c>
      <c r="Q43" s="3704"/>
      <c r="R43" s="3717" t="e">
        <f>ROUND(IF(D42="简单平均",AVERAGE(R42:W42),R42*F42+T42*H42+V42*J42),0)</f>
        <v>#DIV/0!</v>
      </c>
      <c r="S43" s="3717"/>
      <c r="T43" s="3717"/>
      <c r="U43" s="3717"/>
      <c r="V43" s="3717"/>
      <c r="W43" s="37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1620</v>
      </c>
      <c r="B50" s="1195" t="s">
        <v>1621</v>
      </c>
      <c r="C50" s="1196" t="s">
        <v>1622</v>
      </c>
      <c r="D50" s="1197" t="s">
        <v>1623</v>
      </c>
      <c r="E50" s="1198" t="s">
        <v>1624</v>
      </c>
      <c r="F50" s="1199" t="s">
        <v>1625</v>
      </c>
      <c r="G50" s="3623" t="s">
        <v>1626</v>
      </c>
      <c r="H50" s="3715"/>
      <c r="I50" s="1269" t="s">
        <v>1652</v>
      </c>
      <c r="J50" s="1269">
        <f>项目基本情况!F35</f>
        <v>0</v>
      </c>
      <c r="K50" s="1270" t="s">
        <v>1628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1629</v>
      </c>
      <c r="B51" s="1201" t="e">
        <f>C43</f>
        <v>#DIV/0!</v>
      </c>
      <c r="C51" s="1202">
        <v>1</v>
      </c>
      <c r="D51" s="1203">
        <v>1</v>
      </c>
      <c r="E51" s="1202">
        <f>'数据-汇总表'!E8+'数据-汇总表'!E9</f>
        <v>17455.670000000002</v>
      </c>
      <c r="F51" s="1204" t="e">
        <f t="shared" ref="F51:F60" si="15">ROUND(B51*E51/10000,0)</f>
        <v>#DIV/0!</v>
      </c>
      <c r="G51" s="3639"/>
      <c r="H51" s="364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1630</v>
      </c>
      <c r="B52" s="395" t="e">
        <f>ROUND($C$43*C52*D52,0)</f>
        <v>#DIV/0!</v>
      </c>
      <c r="C52" s="582">
        <f t="shared" ref="C52:C60" si="16">IF($C$50="北京市系数",I52,J52)</f>
        <v>0</v>
      </c>
      <c r="D52" s="1206">
        <v>0.25</v>
      </c>
      <c r="E52" s="1207"/>
      <c r="F52" s="1204" t="e">
        <f t="shared" si="15"/>
        <v>#DIV/0!</v>
      </c>
      <c r="G52" s="1208" t="s">
        <v>1631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1634</v>
      </c>
      <c r="B56" s="395" t="e">
        <f t="shared" si="17"/>
        <v>#DIV/0!</v>
      </c>
      <c r="C56" s="582">
        <f t="shared" si="16"/>
        <v>0.25</v>
      </c>
      <c r="D56" s="1206">
        <v>0.25</v>
      </c>
      <c r="E56" s="394">
        <f>'数据-汇总表'!E11</f>
        <v>2820.8199999999997</v>
      </c>
      <c r="F56" s="1204" t="e">
        <f t="shared" si="15"/>
        <v>#DIV/0!</v>
      </c>
      <c r="G56" s="1212" t="s">
        <v>1635</v>
      </c>
      <c r="H56" s="1209" t="str">
        <f>项目基本情况!C37</f>
        <v>五级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1636</v>
      </c>
      <c r="B57" s="395" t="e">
        <f t="shared" si="17"/>
        <v>#DIV/0!</v>
      </c>
      <c r="C57" s="582">
        <f t="shared" si="16"/>
        <v>0.25</v>
      </c>
      <c r="D57" s="1206">
        <v>0.25</v>
      </c>
      <c r="E57" s="394">
        <f>'数据-汇总表'!E12</f>
        <v>0</v>
      </c>
      <c r="F57" s="1204" t="e">
        <f t="shared" si="15"/>
        <v>#DIV/0!</v>
      </c>
      <c r="G57" s="1213" t="s">
        <v>1637</v>
      </c>
      <c r="H57" s="1209" t="str">
        <f>IF(G57="商业",项目基本情况!B37,IF(G57="办公",项目基本情况!C37,IF(G57="住宅",项目基本情况!D37,项目基本情况!E37)))</f>
        <v>五级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1638</v>
      </c>
      <c r="B58" s="395" t="e">
        <f t="shared" si="17"/>
        <v>#DIV/0!</v>
      </c>
      <c r="C58" s="582">
        <f t="shared" si="16"/>
        <v>0</v>
      </c>
      <c r="D58" s="1206">
        <v>0.25</v>
      </c>
      <c r="E58" s="394">
        <f>'数据-汇总表'!E13</f>
        <v>0</v>
      </c>
      <c r="F58" s="1204" t="e">
        <f t="shared" si="15"/>
        <v>#DIV/0!</v>
      </c>
      <c r="G58" s="1213" t="s">
        <v>1639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1640</v>
      </c>
      <c r="B59" s="395" t="e">
        <f t="shared" si="17"/>
        <v>#DIV/0!</v>
      </c>
      <c r="C59" s="582">
        <f t="shared" si="16"/>
        <v>0</v>
      </c>
      <c r="D59" s="1206">
        <v>0.25</v>
      </c>
      <c r="E59" s="394">
        <f>'数据-汇总表'!E14</f>
        <v>0</v>
      </c>
      <c r="F59" s="1204" t="e">
        <f t="shared" si="15"/>
        <v>#DIV/0!</v>
      </c>
      <c r="G59" s="1212" t="s">
        <v>1631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1641</v>
      </c>
      <c r="B60" s="395" t="e">
        <f t="shared" si="17"/>
        <v>#DIV/0!</v>
      </c>
      <c r="C60" s="582">
        <f t="shared" si="16"/>
        <v>0.15</v>
      </c>
      <c r="D60" s="1206">
        <v>0.25</v>
      </c>
      <c r="E60" s="394">
        <f>'数据-汇总表'!E15</f>
        <v>0</v>
      </c>
      <c r="F60" s="1204" t="e">
        <f t="shared" si="15"/>
        <v>#DIV/0!</v>
      </c>
      <c r="G60" s="1214" t="s">
        <v>1635</v>
      </c>
      <c r="H60" s="1215" t="str">
        <f>项目基本情况!C37</f>
        <v>五级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1642</v>
      </c>
      <c r="B61" s="1217" t="s">
        <v>1643</v>
      </c>
      <c r="C61" s="1217" t="s">
        <v>1643</v>
      </c>
      <c r="D61" s="1217" t="s">
        <v>1643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1052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1644</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1053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1014</v>
      </c>
      <c r="B68" s="1310"/>
      <c r="C68" s="1311" t="s">
        <v>1054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1055</v>
      </c>
      <c r="B70" s="1316" t="s">
        <v>1017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1020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1021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1022</v>
      </c>
      <c r="B83" s="1316" t="s">
        <v>1586</v>
      </c>
      <c r="C83" s="1337" t="s">
        <v>1056</v>
      </c>
      <c r="D83" s="1337" t="s">
        <v>1057</v>
      </c>
      <c r="E83" s="1337" t="s">
        <v>1058</v>
      </c>
      <c r="F83" s="1337" t="s">
        <v>1059</v>
      </c>
      <c r="G83" s="1337" t="s">
        <v>1060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1025</v>
      </c>
      <c r="C85" s="1339" t="s">
        <v>1056</v>
      </c>
      <c r="D85" s="1339" t="s">
        <v>1057</v>
      </c>
      <c r="E85" s="1339" t="s">
        <v>1058</v>
      </c>
      <c r="F85" s="1339" t="s">
        <v>1059</v>
      </c>
      <c r="G85" s="1339" t="s">
        <v>1060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1610</v>
      </c>
      <c r="C87" s="1337" t="s">
        <v>1056</v>
      </c>
      <c r="D87" s="1337" t="s">
        <v>1057</v>
      </c>
      <c r="E87" s="1337" t="s">
        <v>1058</v>
      </c>
      <c r="F87" s="1337" t="s">
        <v>1059</v>
      </c>
      <c r="G87" s="1337" t="s">
        <v>1060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1611</v>
      </c>
      <c r="C89" s="1337" t="s">
        <v>1056</v>
      </c>
      <c r="D89" s="1337" t="s">
        <v>1057</v>
      </c>
      <c r="E89" s="1337" t="s">
        <v>1058</v>
      </c>
      <c r="F89" s="1337" t="s">
        <v>1059</v>
      </c>
      <c r="G89" s="1337" t="s">
        <v>1060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1026</v>
      </c>
      <c r="C91" s="1337" t="s">
        <v>1056</v>
      </c>
      <c r="D91" s="1337" t="s">
        <v>1057</v>
      </c>
      <c r="E91" s="1337" t="s">
        <v>1058</v>
      </c>
      <c r="F91" s="1337" t="s">
        <v>1059</v>
      </c>
      <c r="G91" s="1337" t="s">
        <v>1060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1027</v>
      </c>
      <c r="C93" s="1344" t="s">
        <v>1061</v>
      </c>
      <c r="D93" s="1344" t="s">
        <v>1062</v>
      </c>
      <c r="E93" s="1344" t="s">
        <v>1063</v>
      </c>
      <c r="F93" s="1344" t="s">
        <v>1064</v>
      </c>
      <c r="G93" s="1344" t="s">
        <v>1065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1645</v>
      </c>
      <c r="D95" s="1321" t="s">
        <v>1646</v>
      </c>
      <c r="E95" s="1321" t="s">
        <v>1647</v>
      </c>
      <c r="F95" s="1321" t="s">
        <v>1648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1029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1032</v>
      </c>
      <c r="B107" s="1316" t="s">
        <v>1613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1654</v>
      </c>
      <c r="C1" s="3722" t="s">
        <v>1655</v>
      </c>
      <c r="D1" s="3723"/>
      <c r="E1" s="3723"/>
      <c r="F1" s="3723"/>
      <c r="G1" s="3723"/>
      <c r="H1" s="3723"/>
      <c r="I1" s="3723"/>
      <c r="J1" s="3723"/>
      <c r="K1" s="3723"/>
      <c r="L1" s="3723"/>
      <c r="M1" s="3723"/>
      <c r="N1" s="3723"/>
      <c r="O1" s="3723"/>
      <c r="P1" s="3723"/>
      <c r="Q1" s="3723"/>
      <c r="R1" s="3723"/>
      <c r="S1" s="3724"/>
      <c r="T1" s="952" t="s">
        <v>1656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1663</v>
      </c>
      <c r="B17" s="985" t="s">
        <v>1664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1665</v>
      </c>
      <c r="E19" s="995"/>
      <c r="F19" s="995"/>
      <c r="G19" s="995"/>
      <c r="H19" s="996"/>
      <c r="I19" s="993"/>
      <c r="J19" s="993"/>
      <c r="K19" s="993"/>
      <c r="L19" s="993"/>
      <c r="M19" s="993"/>
      <c r="N19" s="993"/>
      <c r="O19" s="993"/>
      <c r="P19" s="993"/>
      <c r="Q19" s="993"/>
      <c r="R19" s="1060"/>
      <c r="S19" s="992"/>
    </row>
    <row r="20" spans="1:45" ht="15.75">
      <c r="A20" s="997" t="s">
        <v>1666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75">
      <c r="A21" s="997" t="s">
        <v>1667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1668</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1669</v>
      </c>
      <c r="B23" s="1006" t="s">
        <v>456</v>
      </c>
      <c r="C23" s="1006" t="s">
        <v>1656</v>
      </c>
      <c r="D23" s="1006" t="str">
        <f>B5</f>
        <v>修正项2</v>
      </c>
      <c r="E23" s="1006" t="s">
        <v>1656</v>
      </c>
      <c r="F23" s="1006" t="str">
        <f>B7</f>
        <v>修正项3</v>
      </c>
      <c r="G23" s="1006" t="s">
        <v>1656</v>
      </c>
      <c r="H23" s="1006" t="str">
        <f>B9</f>
        <v>修正项4</v>
      </c>
      <c r="I23" s="1006" t="s">
        <v>1656</v>
      </c>
      <c r="J23" s="1006" t="str">
        <f>B11</f>
        <v>修正项5</v>
      </c>
      <c r="K23" s="1006" t="s">
        <v>1656</v>
      </c>
      <c r="L23" s="1006" t="str">
        <f>B13</f>
        <v>修正项6</v>
      </c>
      <c r="M23" s="1006" t="s">
        <v>1656</v>
      </c>
      <c r="N23" s="1006" t="str">
        <f>B15</f>
        <v>修正项7</v>
      </c>
      <c r="O23" s="1006" t="s">
        <v>1656</v>
      </c>
      <c r="P23" s="1006" t="str">
        <f>B17</f>
        <v>楼层</v>
      </c>
      <c r="Q23" s="1006" t="s">
        <v>1656</v>
      </c>
      <c r="R23" s="1063" t="s">
        <v>1670</v>
      </c>
      <c r="S23" s="1006" t="s">
        <v>1671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1673</v>
      </c>
      <c r="B1" s="931"/>
      <c r="C1" s="931"/>
      <c r="D1" s="931"/>
      <c r="E1" s="931"/>
      <c r="F1" s="932"/>
      <c r="G1" s="932"/>
      <c r="H1" s="932"/>
      <c r="I1" s="932"/>
      <c r="J1" s="932"/>
      <c r="K1" s="932"/>
      <c r="L1" s="932"/>
      <c r="M1" s="932"/>
      <c r="N1" s="932"/>
      <c r="O1" s="932"/>
      <c r="P1" s="932"/>
    </row>
    <row r="2" spans="1:16" ht="15.75">
      <c r="A2" s="933" t="s">
        <v>97</v>
      </c>
      <c r="B2" s="934">
        <f ca="1">SUMIF(B6:B13,"&lt;&gt;#ref!",B6:B13)</f>
        <v>22997</v>
      </c>
      <c r="C2" s="933" t="s">
        <v>1674</v>
      </c>
      <c r="D2" s="933" t="s">
        <v>1675</v>
      </c>
      <c r="E2" s="935">
        <f ca="1">SUMIF(E6:E13,"&lt;&gt;#ref!",E6:E13)</f>
        <v>20276.490000000002</v>
      </c>
      <c r="F2" s="932"/>
      <c r="G2" s="932"/>
      <c r="H2" s="932"/>
      <c r="I2" s="932"/>
      <c r="J2" s="932"/>
      <c r="K2" s="932"/>
      <c r="L2" s="932"/>
      <c r="M2" s="932"/>
      <c r="N2" s="932"/>
      <c r="O2" s="932"/>
      <c r="P2" s="932"/>
    </row>
    <row r="3" spans="1:16" ht="15.75">
      <c r="A3" s="933" t="s">
        <v>1676</v>
      </c>
      <c r="B3" s="934">
        <f ca="1">ROUND(B2*10000/E2,0)</f>
        <v>11342</v>
      </c>
      <c r="C3" s="933" t="s">
        <v>1677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1678</v>
      </c>
      <c r="B5" s="938" t="s">
        <v>1679</v>
      </c>
      <c r="C5" s="939"/>
      <c r="D5" s="932"/>
      <c r="E5" s="940" t="s">
        <v>1680</v>
      </c>
      <c r="F5" s="932"/>
      <c r="G5" s="932"/>
      <c r="H5" s="932"/>
      <c r="I5" s="932"/>
      <c r="J5" s="932"/>
      <c r="K5" s="932"/>
      <c r="L5" s="932"/>
      <c r="M5" s="932"/>
      <c r="N5" s="932"/>
      <c r="O5" s="932"/>
      <c r="P5" s="932"/>
    </row>
    <row r="6" spans="1:16" ht="15.75">
      <c r="A6" s="941" t="s">
        <v>1681</v>
      </c>
      <c r="B6" s="934">
        <f ca="1">SUMIF(INDIRECT("'"&amp;A6&amp;"'"&amp;"!A:A"),"总价",INDIRECT("'"&amp;A6&amp;"'"&amp;"!B:B"))</f>
        <v>22997</v>
      </c>
      <c r="C6" s="933" t="s">
        <v>1674</v>
      </c>
      <c r="D6" s="932"/>
      <c r="E6" s="935">
        <f ca="1">SUMIF(INDIRECT("'"&amp;A6&amp;"'"&amp;"!C:C"),"建筑面积",INDIRECT("'"&amp;A6&amp;"'"&amp;"!D:D"))</f>
        <v>20276.490000000002</v>
      </c>
      <c r="F6" s="932"/>
      <c r="G6" s="932"/>
      <c r="H6" s="932"/>
      <c r="I6" s="932"/>
      <c r="J6" s="932"/>
      <c r="K6" s="932"/>
      <c r="L6" s="932"/>
      <c r="M6" s="932"/>
      <c r="N6" s="932"/>
      <c r="O6" s="932"/>
      <c r="P6" s="932"/>
    </row>
    <row r="7" spans="1:16" ht="15.75">
      <c r="A7" s="941"/>
      <c r="B7" s="934" t="e">
        <f ca="1">SUMIF(INDIRECT("'"&amp;A7&amp;"'"&amp;"!A:A"),"总价",INDIRECT("'"&amp;A7&amp;"'"&amp;"!B:B"))</f>
        <v>#REF!</v>
      </c>
      <c r="C7" s="933" t="s">
        <v>1674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1674</v>
      </c>
      <c r="D8" s="932"/>
      <c r="E8" s="935" t="e">
        <f t="shared" ca="1" si="0"/>
        <v>#REF!</v>
      </c>
      <c r="F8" s="932"/>
      <c r="G8" s="932"/>
      <c r="H8" s="932"/>
      <c r="I8" s="932"/>
      <c r="J8" s="932"/>
      <c r="K8" s="932"/>
      <c r="L8" s="932"/>
      <c r="M8" s="932"/>
      <c r="N8" s="932"/>
      <c r="O8" s="932"/>
      <c r="P8" s="932"/>
    </row>
    <row r="9" spans="1:16" ht="15.75">
      <c r="A9" s="941"/>
      <c r="B9" s="934" t="e">
        <f t="shared" ca="1" si="1"/>
        <v>#REF!</v>
      </c>
      <c r="C9" s="933" t="s">
        <v>1674</v>
      </c>
      <c r="D9" s="932"/>
      <c r="E9" s="935" t="e">
        <f t="shared" ca="1" si="0"/>
        <v>#REF!</v>
      </c>
      <c r="F9" s="932"/>
      <c r="G9" s="932"/>
      <c r="H9" s="932"/>
      <c r="I9" s="932"/>
      <c r="J9" s="932"/>
      <c r="K9" s="932"/>
      <c r="L9" s="932"/>
      <c r="M9" s="932"/>
      <c r="N9" s="932"/>
      <c r="O9" s="932"/>
      <c r="P9" s="932"/>
    </row>
    <row r="10" spans="1:16" ht="15.75">
      <c r="A10" s="941"/>
      <c r="B10" s="934" t="e">
        <f t="shared" ca="1" si="1"/>
        <v>#REF!</v>
      </c>
      <c r="C10" s="933" t="s">
        <v>1674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A188" sqref="A188"/>
    </sheetView>
  </sheetViews>
  <sheetFormatPr defaultColWidth="9" defaultRowHeight="14.25"/>
  <cols>
    <col min="1" max="1" width="28.875" style="3433" customWidth="1"/>
    <col min="2" max="2" width="7.75" style="3433" customWidth="1"/>
    <col min="3" max="3" width="14.25" style="3433" customWidth="1"/>
    <col min="4" max="4" width="13.125" style="3433" customWidth="1"/>
    <col min="5" max="5" width="14.75" style="3433" customWidth="1"/>
    <col min="6" max="6" width="14.25" style="3433" customWidth="1"/>
    <col min="7" max="7" width="12.875" style="3433" customWidth="1"/>
    <col min="8" max="8" width="9.5" style="3433" customWidth="1"/>
    <col min="9" max="9" width="20" style="3433" customWidth="1"/>
    <col min="10" max="10" width="7.125" style="3433" customWidth="1"/>
    <col min="11" max="11" width="10" style="3433" customWidth="1"/>
    <col min="12" max="12" width="7.5" style="3433" customWidth="1"/>
    <col min="13" max="13" width="20" style="3433" customWidth="1"/>
    <col min="14" max="14" width="8.5" style="3433" customWidth="1"/>
    <col min="15" max="15" width="7.25" style="3433" customWidth="1"/>
    <col min="16" max="16" width="6.75" style="3433" customWidth="1"/>
    <col min="17" max="17" width="7.5" style="3433" customWidth="1"/>
    <col min="18" max="18" width="8.125" style="3433" customWidth="1"/>
    <col min="19" max="19" width="7" style="3433" customWidth="1"/>
    <col min="20" max="20" width="5.75" style="3433" customWidth="1"/>
    <col min="21" max="21" width="17.625" style="3433" customWidth="1"/>
    <col min="22" max="22" width="20" style="3433" customWidth="1"/>
    <col min="23" max="16384" width="9" style="3433"/>
  </cols>
  <sheetData>
    <row r="1" spans="1:21">
      <c r="A1" s="3433" t="s">
        <v>2752</v>
      </c>
      <c r="B1" s="3433" t="s">
        <v>2753</v>
      </c>
      <c r="C1" s="3433" t="s">
        <v>2754</v>
      </c>
      <c r="D1" s="3433" t="s">
        <v>2755</v>
      </c>
      <c r="E1" s="3433" t="s">
        <v>2756</v>
      </c>
      <c r="F1" s="3433" t="s">
        <v>2757</v>
      </c>
      <c r="G1" s="3433" t="s">
        <v>2118</v>
      </c>
      <c r="H1" s="3433" t="s">
        <v>2758</v>
      </c>
      <c r="I1" s="3433" t="s">
        <v>2759</v>
      </c>
      <c r="J1" s="3433" t="s">
        <v>2760</v>
      </c>
      <c r="K1" s="3433" t="s">
        <v>2761</v>
      </c>
      <c r="L1" s="3433" t="s">
        <v>2762</v>
      </c>
      <c r="M1" s="3433" t="s">
        <v>2763</v>
      </c>
      <c r="N1" s="3433" t="s">
        <v>2764</v>
      </c>
      <c r="O1" s="3433" t="s">
        <v>2765</v>
      </c>
      <c r="P1" s="3433" t="s">
        <v>2766</v>
      </c>
      <c r="Q1" s="3433" t="s">
        <v>2767</v>
      </c>
      <c r="R1" s="3433" t="s">
        <v>2768</v>
      </c>
      <c r="S1" s="3433" t="s">
        <v>2769</v>
      </c>
      <c r="T1" s="3433" t="s">
        <v>2770</v>
      </c>
      <c r="U1" s="3433" t="s">
        <v>2771</v>
      </c>
    </row>
    <row r="2" spans="1:21">
      <c r="A2" s="3433" t="s">
        <v>2772</v>
      </c>
      <c r="B2" s="3433" t="s">
        <v>437</v>
      </c>
      <c r="C2" s="3433" t="s">
        <v>2773</v>
      </c>
      <c r="D2" s="3433" t="s">
        <v>2774</v>
      </c>
      <c r="E2" s="3433">
        <v>5500.65</v>
      </c>
      <c r="F2" s="3433">
        <v>15401.81</v>
      </c>
      <c r="G2" s="3433" t="s">
        <v>2775</v>
      </c>
      <c r="H2" s="3433" t="s">
        <v>2776</v>
      </c>
      <c r="I2" s="3433" t="s">
        <v>2777</v>
      </c>
      <c r="J2" s="3433" t="s">
        <v>2778</v>
      </c>
      <c r="K2" s="3434">
        <v>45030</v>
      </c>
      <c r="L2" s="3433" t="s">
        <v>2779</v>
      </c>
      <c r="M2" s="3433" t="s">
        <v>2780</v>
      </c>
      <c r="N2" s="3433">
        <v>17000</v>
      </c>
      <c r="O2" s="3433">
        <v>4000</v>
      </c>
      <c r="P2" s="3433" t="s">
        <v>2744</v>
      </c>
      <c r="Q2" s="3433">
        <v>17000</v>
      </c>
      <c r="R2" s="3433">
        <v>2060.36</v>
      </c>
      <c r="S2" s="3433">
        <v>11038</v>
      </c>
      <c r="T2" s="3433">
        <v>0</v>
      </c>
      <c r="U2" s="3433" t="s">
        <v>2781</v>
      </c>
    </row>
    <row r="3" spans="1:21">
      <c r="A3" s="3433" t="s">
        <v>2782</v>
      </c>
      <c r="B3" s="3433" t="s">
        <v>437</v>
      </c>
      <c r="C3" s="3433" t="s">
        <v>2783</v>
      </c>
      <c r="D3" s="3433" t="s">
        <v>2774</v>
      </c>
      <c r="E3" s="3433">
        <v>62796.800000000003</v>
      </c>
      <c r="F3" s="3433">
        <v>275500</v>
      </c>
      <c r="G3" s="3433">
        <v>4.3899999999999997</v>
      </c>
      <c r="H3" s="3433" t="s">
        <v>2776</v>
      </c>
      <c r="I3" s="3433" t="s">
        <v>2777</v>
      </c>
      <c r="J3" s="3433" t="s">
        <v>2778</v>
      </c>
      <c r="K3" s="3434">
        <v>44980</v>
      </c>
      <c r="L3" s="3433" t="s">
        <v>2779</v>
      </c>
      <c r="M3" s="3433" t="s">
        <v>2784</v>
      </c>
      <c r="N3" s="3433">
        <v>635800</v>
      </c>
      <c r="O3" s="3433">
        <v>127500</v>
      </c>
      <c r="P3" s="3433" t="s">
        <v>2785</v>
      </c>
      <c r="Q3" s="3433">
        <v>635800</v>
      </c>
      <c r="R3" s="3433">
        <v>6749.81</v>
      </c>
      <c r="S3" s="3433">
        <v>23078</v>
      </c>
      <c r="T3" s="3433">
        <v>0</v>
      </c>
      <c r="U3" s="3433" t="s">
        <v>2786</v>
      </c>
    </row>
    <row r="4" spans="1:21">
      <c r="A4" s="3433" t="s">
        <v>2787</v>
      </c>
      <c r="B4" s="3433" t="s">
        <v>437</v>
      </c>
      <c r="C4" s="3433" t="s">
        <v>2788</v>
      </c>
      <c r="D4" s="3433" t="s">
        <v>2774</v>
      </c>
      <c r="E4" s="3433">
        <v>4800</v>
      </c>
      <c r="F4" s="3433">
        <v>1920</v>
      </c>
      <c r="G4" s="3433" t="s">
        <v>2789</v>
      </c>
      <c r="H4" s="3433" t="s">
        <v>2776</v>
      </c>
      <c r="I4" s="3433" t="s">
        <v>2790</v>
      </c>
      <c r="J4" s="3433" t="s">
        <v>2778</v>
      </c>
      <c r="K4" s="3434">
        <v>44945</v>
      </c>
      <c r="L4" s="3433" t="s">
        <v>2779</v>
      </c>
      <c r="M4" s="3433" t="s">
        <v>2791</v>
      </c>
      <c r="N4" s="3433">
        <v>5800</v>
      </c>
      <c r="O4" s="3433">
        <v>1200</v>
      </c>
      <c r="P4" s="3433" t="s">
        <v>2792</v>
      </c>
      <c r="Q4" s="3433">
        <v>5800</v>
      </c>
      <c r="R4" s="3433">
        <v>805.56</v>
      </c>
      <c r="S4" s="3433">
        <v>30208</v>
      </c>
      <c r="T4" s="3433">
        <v>0</v>
      </c>
      <c r="U4" s="3433" t="s">
        <v>2793</v>
      </c>
    </row>
    <row r="5" spans="1:21">
      <c r="A5" s="3433" t="s">
        <v>2794</v>
      </c>
      <c r="B5" s="3433" t="s">
        <v>437</v>
      </c>
      <c r="C5" s="3433" t="s">
        <v>2795</v>
      </c>
      <c r="D5" s="3433" t="s">
        <v>2774</v>
      </c>
      <c r="E5" s="3433">
        <v>46654.62</v>
      </c>
      <c r="F5" s="3433">
        <v>88643.78</v>
      </c>
      <c r="G5" s="3433">
        <v>1.9</v>
      </c>
      <c r="H5" s="3433" t="s">
        <v>2776</v>
      </c>
      <c r="I5" s="3433" t="s">
        <v>2796</v>
      </c>
      <c r="J5" s="3433" t="s">
        <v>2778</v>
      </c>
      <c r="K5" s="3434">
        <v>44936</v>
      </c>
      <c r="L5" s="3433" t="s">
        <v>2779</v>
      </c>
      <c r="M5" s="3433" t="s">
        <v>2797</v>
      </c>
      <c r="N5" s="3433">
        <v>28000</v>
      </c>
      <c r="O5" s="3433">
        <v>6000</v>
      </c>
      <c r="P5" s="3433" t="s">
        <v>2798</v>
      </c>
      <c r="Q5" s="3433">
        <v>28000</v>
      </c>
      <c r="R5" s="3433">
        <v>400.1</v>
      </c>
      <c r="S5" s="3433">
        <v>3159</v>
      </c>
      <c r="T5" s="3433">
        <v>0</v>
      </c>
      <c r="U5" s="3433" t="s">
        <v>2786</v>
      </c>
    </row>
    <row r="6" spans="1:21">
      <c r="A6" s="3433" t="s">
        <v>2799</v>
      </c>
      <c r="B6" s="3433" t="s">
        <v>437</v>
      </c>
      <c r="C6" s="3433" t="s">
        <v>2800</v>
      </c>
      <c r="D6" s="3433" t="s">
        <v>2774</v>
      </c>
      <c r="E6" s="3433">
        <v>64012.4</v>
      </c>
      <c r="F6" s="3433">
        <v>192037.19</v>
      </c>
      <c r="G6" s="3433">
        <v>3</v>
      </c>
      <c r="H6" s="3433" t="s">
        <v>2776</v>
      </c>
      <c r="I6" s="3433" t="s">
        <v>2801</v>
      </c>
      <c r="J6" s="3433" t="s">
        <v>2778</v>
      </c>
      <c r="K6" s="3434">
        <v>44931</v>
      </c>
      <c r="L6" s="3433" t="s">
        <v>2779</v>
      </c>
      <c r="M6" s="3433" t="s">
        <v>2802</v>
      </c>
      <c r="N6" s="3433">
        <v>177000</v>
      </c>
      <c r="O6" s="3433">
        <v>36000</v>
      </c>
      <c r="P6" s="3433" t="s">
        <v>2803</v>
      </c>
      <c r="Q6" s="3433">
        <v>177000</v>
      </c>
      <c r="R6" s="3433">
        <v>1843.39</v>
      </c>
      <c r="S6" s="3433">
        <v>9217</v>
      </c>
      <c r="T6" s="3433">
        <v>0</v>
      </c>
      <c r="U6" s="3433" t="s">
        <v>2804</v>
      </c>
    </row>
    <row r="7" spans="1:21">
      <c r="A7" s="3433" t="s">
        <v>2805</v>
      </c>
      <c r="B7" s="3433" t="s">
        <v>437</v>
      </c>
      <c r="C7" s="3433" t="s">
        <v>2806</v>
      </c>
      <c r="D7" s="3433" t="s">
        <v>2774</v>
      </c>
      <c r="E7" s="3433">
        <v>32733.22</v>
      </c>
      <c r="F7" s="3433">
        <v>72013.08</v>
      </c>
      <c r="G7" s="3433">
        <v>2.2000000000000002</v>
      </c>
      <c r="H7" s="3433" t="s">
        <v>2776</v>
      </c>
      <c r="I7" s="3433" t="s">
        <v>2807</v>
      </c>
      <c r="J7" s="3433" t="s">
        <v>2778</v>
      </c>
      <c r="K7" s="3434">
        <v>44865</v>
      </c>
      <c r="L7" s="3433" t="s">
        <v>2779</v>
      </c>
      <c r="M7" s="3433" t="s">
        <v>2808</v>
      </c>
      <c r="N7" s="3433">
        <v>149000</v>
      </c>
      <c r="O7" s="3433">
        <v>30000</v>
      </c>
      <c r="P7" s="3433" t="s">
        <v>2809</v>
      </c>
      <c r="Q7" s="3433">
        <v>149000</v>
      </c>
      <c r="R7" s="3433">
        <v>3034.63</v>
      </c>
      <c r="S7" s="3433">
        <v>20691</v>
      </c>
      <c r="T7" s="3433">
        <v>0</v>
      </c>
      <c r="U7" s="3433" t="s">
        <v>2786</v>
      </c>
    </row>
    <row r="8" spans="1:21">
      <c r="A8" s="3433" t="s">
        <v>2810</v>
      </c>
      <c r="B8" s="3433" t="s">
        <v>437</v>
      </c>
      <c r="C8" s="3433" t="s">
        <v>2811</v>
      </c>
      <c r="D8" s="3433" t="s">
        <v>2774</v>
      </c>
      <c r="E8" s="3433">
        <v>29506.55</v>
      </c>
      <c r="F8" s="3433">
        <v>64914.41</v>
      </c>
      <c r="G8" s="3433">
        <v>2.2000000000000002</v>
      </c>
      <c r="H8" s="3433" t="s">
        <v>2776</v>
      </c>
      <c r="I8" s="3433" t="s">
        <v>2807</v>
      </c>
      <c r="J8" s="3433" t="s">
        <v>2778</v>
      </c>
      <c r="K8" s="3434">
        <v>44865</v>
      </c>
      <c r="L8" s="3433" t="s">
        <v>2779</v>
      </c>
      <c r="M8" s="3433" t="s">
        <v>2812</v>
      </c>
      <c r="N8" s="3433">
        <v>135000</v>
      </c>
      <c r="O8" s="3433">
        <v>27000</v>
      </c>
      <c r="P8" s="3433" t="s">
        <v>2809</v>
      </c>
      <c r="Q8" s="3433">
        <v>135000</v>
      </c>
      <c r="R8" s="3433">
        <v>3050.17</v>
      </c>
      <c r="S8" s="3433">
        <v>20797</v>
      </c>
      <c r="T8" s="3433">
        <v>0</v>
      </c>
      <c r="U8" s="3433" t="s">
        <v>2786</v>
      </c>
    </row>
    <row r="9" spans="1:21" s="3435" customFormat="1">
      <c r="A9" s="3435" t="s">
        <v>2813</v>
      </c>
      <c r="B9" s="3435" t="s">
        <v>437</v>
      </c>
      <c r="C9" s="3435" t="s">
        <v>2814</v>
      </c>
      <c r="D9" s="3435" t="s">
        <v>2774</v>
      </c>
      <c r="E9" s="3435">
        <v>12629.88</v>
      </c>
      <c r="F9" s="3435">
        <v>80000</v>
      </c>
      <c r="G9" s="3435" t="s">
        <v>2815</v>
      </c>
      <c r="H9" s="3435" t="s">
        <v>2776</v>
      </c>
      <c r="I9" s="3435" t="s">
        <v>2777</v>
      </c>
      <c r="J9" s="3435" t="s">
        <v>2778</v>
      </c>
      <c r="K9" s="3436">
        <v>44798</v>
      </c>
      <c r="L9" s="3435" t="s">
        <v>2779</v>
      </c>
      <c r="M9" s="3435" t="s">
        <v>2816</v>
      </c>
      <c r="N9" s="3435">
        <v>166000</v>
      </c>
      <c r="O9" s="3435">
        <v>34000</v>
      </c>
      <c r="P9" s="3435" t="s">
        <v>2817</v>
      </c>
      <c r="Q9" s="3435">
        <v>166000</v>
      </c>
      <c r="R9" s="3435">
        <v>8762.2900000000009</v>
      </c>
      <c r="S9" s="3435">
        <v>20750</v>
      </c>
      <c r="T9" s="3435">
        <v>0</v>
      </c>
      <c r="U9" s="3435" t="s">
        <v>2786</v>
      </c>
    </row>
    <row r="10" spans="1:21">
      <c r="A10" s="3433" t="s">
        <v>2818</v>
      </c>
      <c r="B10" s="3433" t="s">
        <v>437</v>
      </c>
      <c r="C10" s="3433" t="s">
        <v>2819</v>
      </c>
      <c r="D10" s="3433" t="s">
        <v>2774</v>
      </c>
      <c r="E10" s="3433">
        <v>10000</v>
      </c>
      <c r="F10" s="3433">
        <v>22000</v>
      </c>
      <c r="G10" s="3433" t="s">
        <v>2820</v>
      </c>
      <c r="H10" s="3433" t="s">
        <v>2776</v>
      </c>
      <c r="I10" s="3433" t="s">
        <v>2807</v>
      </c>
      <c r="J10" s="3433" t="s">
        <v>2778</v>
      </c>
      <c r="K10" s="3434">
        <v>44795</v>
      </c>
      <c r="L10" s="3433" t="s">
        <v>2779</v>
      </c>
      <c r="M10" s="3433" t="s">
        <v>2821</v>
      </c>
      <c r="N10" s="3433">
        <v>36400</v>
      </c>
      <c r="O10" s="3433">
        <v>7300</v>
      </c>
      <c r="P10" s="3433" t="s">
        <v>2822</v>
      </c>
      <c r="Q10" s="3433">
        <v>36400</v>
      </c>
      <c r="R10" s="3433">
        <v>2426.67</v>
      </c>
      <c r="S10" s="3433">
        <v>16545</v>
      </c>
      <c r="T10" s="3433">
        <v>0</v>
      </c>
      <c r="U10" s="3433" t="s">
        <v>2823</v>
      </c>
    </row>
    <row r="11" spans="1:21">
      <c r="A11" s="3433" t="s">
        <v>2824</v>
      </c>
      <c r="B11" s="3433" t="s">
        <v>437</v>
      </c>
      <c r="C11" s="3433" t="s">
        <v>2825</v>
      </c>
      <c r="D11" s="3433" t="s">
        <v>2774</v>
      </c>
      <c r="E11" s="3433">
        <v>5500</v>
      </c>
      <c r="F11" s="3433">
        <v>12100</v>
      </c>
      <c r="G11" s="3433" t="s">
        <v>2820</v>
      </c>
      <c r="H11" s="3433" t="s">
        <v>2776</v>
      </c>
      <c r="I11" s="3433" t="s">
        <v>2807</v>
      </c>
      <c r="J11" s="3433" t="s">
        <v>2778</v>
      </c>
      <c r="K11" s="3434">
        <v>44796</v>
      </c>
      <c r="L11" s="3433" t="s">
        <v>2779</v>
      </c>
      <c r="M11" s="3433" t="s">
        <v>2826</v>
      </c>
      <c r="N11" s="3433">
        <v>20000</v>
      </c>
      <c r="O11" s="3433">
        <v>4000</v>
      </c>
      <c r="P11" s="3433" t="s">
        <v>2822</v>
      </c>
      <c r="Q11" s="3433">
        <v>20000</v>
      </c>
      <c r="R11" s="3433">
        <v>2424.2399999999998</v>
      </c>
      <c r="S11" s="3433">
        <v>16529</v>
      </c>
      <c r="T11" s="3433">
        <v>0</v>
      </c>
      <c r="U11" s="3433" t="s">
        <v>2823</v>
      </c>
    </row>
    <row r="12" spans="1:21">
      <c r="A12" s="3433" t="s">
        <v>2827</v>
      </c>
      <c r="B12" s="3433" t="s">
        <v>437</v>
      </c>
      <c r="C12" s="3433" t="s">
        <v>2828</v>
      </c>
      <c r="D12" s="3433" t="s">
        <v>2774</v>
      </c>
      <c r="E12" s="3433">
        <v>16122.82</v>
      </c>
      <c r="F12" s="3433">
        <v>45143.91</v>
      </c>
      <c r="G12" s="3433" t="s">
        <v>2775</v>
      </c>
      <c r="H12" s="3433" t="s">
        <v>2776</v>
      </c>
      <c r="I12" s="3433" t="s">
        <v>2807</v>
      </c>
      <c r="J12" s="3433" t="s">
        <v>2778</v>
      </c>
      <c r="K12" s="3434">
        <v>44761</v>
      </c>
      <c r="L12" s="3433" t="s">
        <v>2779</v>
      </c>
      <c r="M12" s="3433" t="s">
        <v>2829</v>
      </c>
      <c r="N12" s="3433">
        <v>76000</v>
      </c>
      <c r="O12" s="3433">
        <v>16000</v>
      </c>
      <c r="P12" s="3433" t="s">
        <v>2830</v>
      </c>
      <c r="Q12" s="3433">
        <v>76000</v>
      </c>
      <c r="R12" s="3433">
        <v>3142.54</v>
      </c>
      <c r="S12" s="3433">
        <v>16835</v>
      </c>
      <c r="T12" s="3433">
        <v>0</v>
      </c>
      <c r="U12" s="3433" t="s">
        <v>2831</v>
      </c>
    </row>
    <row r="13" spans="1:21">
      <c r="A13" s="3433" t="s">
        <v>2832</v>
      </c>
      <c r="B13" s="3433" t="s">
        <v>437</v>
      </c>
      <c r="C13" s="3433" t="s">
        <v>2833</v>
      </c>
      <c r="D13" s="3433" t="s">
        <v>2774</v>
      </c>
      <c r="E13" s="3433">
        <v>17308.8</v>
      </c>
      <c r="F13" s="3433">
        <v>86544</v>
      </c>
      <c r="G13" s="3433" t="s">
        <v>2834</v>
      </c>
      <c r="H13" s="3433" t="s">
        <v>2776</v>
      </c>
      <c r="I13" s="3433" t="s">
        <v>2807</v>
      </c>
      <c r="J13" s="3433" t="s">
        <v>2778</v>
      </c>
      <c r="K13" s="3434">
        <v>44735</v>
      </c>
      <c r="L13" s="3433" t="s">
        <v>2779</v>
      </c>
      <c r="M13" s="3433" t="s">
        <v>2835</v>
      </c>
      <c r="N13" s="3433">
        <v>91400</v>
      </c>
      <c r="O13" s="3433">
        <v>18300</v>
      </c>
      <c r="P13" s="3433" t="s">
        <v>2836</v>
      </c>
      <c r="Q13" s="3433">
        <v>91400</v>
      </c>
      <c r="R13" s="3433">
        <v>3520.37</v>
      </c>
      <c r="S13" s="3433">
        <v>10561</v>
      </c>
      <c r="T13" s="3433">
        <v>0</v>
      </c>
      <c r="U13" s="3433" t="s">
        <v>2837</v>
      </c>
    </row>
    <row r="14" spans="1:21">
      <c r="A14" s="3433" t="s">
        <v>2838</v>
      </c>
      <c r="B14" s="3433" t="s">
        <v>437</v>
      </c>
      <c r="C14" s="3433" t="s">
        <v>2839</v>
      </c>
      <c r="D14" s="3433" t="s">
        <v>2774</v>
      </c>
      <c r="E14" s="3433">
        <v>59169.74</v>
      </c>
      <c r="F14" s="3433">
        <v>130173.43</v>
      </c>
      <c r="G14" s="3433" t="s">
        <v>2820</v>
      </c>
      <c r="H14" s="3433" t="s">
        <v>2776</v>
      </c>
      <c r="I14" s="3433" t="s">
        <v>2807</v>
      </c>
      <c r="J14" s="3433" t="s">
        <v>2778</v>
      </c>
      <c r="K14" s="3434">
        <v>44680</v>
      </c>
      <c r="L14" s="3433" t="s">
        <v>2779</v>
      </c>
      <c r="M14" s="3433" t="s">
        <v>2840</v>
      </c>
      <c r="N14" s="3433">
        <v>131600</v>
      </c>
      <c r="O14" s="3433">
        <v>27000</v>
      </c>
      <c r="P14" s="3433" t="s">
        <v>2841</v>
      </c>
      <c r="Q14" s="3433">
        <v>131600</v>
      </c>
      <c r="R14" s="3433">
        <v>1482.74</v>
      </c>
      <c r="S14" s="3433">
        <v>10110</v>
      </c>
      <c r="T14" s="3433">
        <v>0</v>
      </c>
      <c r="U14" s="3433" t="s">
        <v>2786</v>
      </c>
    </row>
    <row r="15" spans="1:21">
      <c r="A15" s="3433" t="s">
        <v>2842</v>
      </c>
      <c r="B15" s="3433" t="s">
        <v>437</v>
      </c>
      <c r="C15" s="3433" t="s">
        <v>2843</v>
      </c>
      <c r="D15" s="3433" t="s">
        <v>2774</v>
      </c>
      <c r="E15" s="3433">
        <v>12066.9</v>
      </c>
      <c r="F15" s="3433">
        <v>18100.349999999999</v>
      </c>
      <c r="G15" s="3433">
        <v>1.5</v>
      </c>
      <c r="H15" s="3433" t="s">
        <v>2776</v>
      </c>
      <c r="I15" s="3433" t="s">
        <v>2777</v>
      </c>
      <c r="J15" s="3433" t="s">
        <v>2778</v>
      </c>
      <c r="K15" s="3434">
        <v>44621</v>
      </c>
      <c r="L15" s="3433" t="s">
        <v>2779</v>
      </c>
      <c r="M15" s="3433" t="s">
        <v>2840</v>
      </c>
      <c r="N15" s="3433">
        <v>9400</v>
      </c>
      <c r="O15" s="3433">
        <v>1900</v>
      </c>
      <c r="P15" s="3433" t="s">
        <v>2744</v>
      </c>
      <c r="Q15" s="3433">
        <v>9400</v>
      </c>
      <c r="R15" s="3433">
        <v>519.33000000000004</v>
      </c>
      <c r="S15" s="3433">
        <v>5193</v>
      </c>
      <c r="T15" s="3433">
        <v>0</v>
      </c>
      <c r="U15" s="3433" t="s">
        <v>2844</v>
      </c>
    </row>
    <row r="16" spans="1:21">
      <c r="A16" s="3433" t="s">
        <v>2845</v>
      </c>
      <c r="B16" s="3433" t="s">
        <v>437</v>
      </c>
      <c r="C16" s="3433" t="s">
        <v>2846</v>
      </c>
      <c r="D16" s="3433" t="s">
        <v>2774</v>
      </c>
      <c r="E16" s="3433">
        <v>15178.6</v>
      </c>
      <c r="F16" s="3433">
        <v>45535.8</v>
      </c>
      <c r="G16" s="3433">
        <v>3</v>
      </c>
      <c r="H16" s="3433" t="s">
        <v>2776</v>
      </c>
      <c r="I16" s="3433" t="s">
        <v>2807</v>
      </c>
      <c r="J16" s="3433" t="s">
        <v>2778</v>
      </c>
      <c r="K16" s="3434">
        <v>44600</v>
      </c>
      <c r="L16" s="3433" t="s">
        <v>2779</v>
      </c>
      <c r="M16" s="3433" t="s">
        <v>2847</v>
      </c>
      <c r="N16" s="3433">
        <v>58400</v>
      </c>
      <c r="O16" s="3433">
        <v>11700</v>
      </c>
      <c r="P16" s="3433" t="s">
        <v>2744</v>
      </c>
      <c r="Q16" s="3433">
        <v>58400</v>
      </c>
      <c r="R16" s="3433">
        <v>2565.0100000000002</v>
      </c>
      <c r="S16" s="3433">
        <v>12825</v>
      </c>
      <c r="T16" s="3433">
        <v>0</v>
      </c>
      <c r="U16" s="3433" t="s">
        <v>2823</v>
      </c>
    </row>
    <row r="17" spans="1:21">
      <c r="A17" s="3433" t="s">
        <v>2848</v>
      </c>
      <c r="B17" s="3433" t="s">
        <v>437</v>
      </c>
      <c r="C17" s="3433" t="s">
        <v>2849</v>
      </c>
      <c r="D17" s="3433" t="s">
        <v>2774</v>
      </c>
      <c r="E17" s="3433">
        <v>19258.580000000002</v>
      </c>
      <c r="F17" s="3433">
        <v>38517.17</v>
      </c>
      <c r="G17" s="3433">
        <v>2</v>
      </c>
      <c r="H17" s="3433" t="s">
        <v>2776</v>
      </c>
      <c r="I17" s="3433" t="s">
        <v>2807</v>
      </c>
      <c r="J17" s="3433" t="s">
        <v>2778</v>
      </c>
      <c r="K17" s="3434">
        <v>44580</v>
      </c>
      <c r="L17" s="3433" t="s">
        <v>2779</v>
      </c>
      <c r="M17" s="3433" t="s">
        <v>2850</v>
      </c>
      <c r="N17" s="3433">
        <v>28400</v>
      </c>
      <c r="O17" s="3433">
        <v>5700</v>
      </c>
      <c r="P17" s="3433" t="s">
        <v>2851</v>
      </c>
      <c r="Q17" s="3433">
        <v>28400</v>
      </c>
      <c r="R17" s="3433">
        <v>983.11</v>
      </c>
      <c r="S17" s="3433">
        <v>7373</v>
      </c>
      <c r="T17" s="3433">
        <v>0</v>
      </c>
      <c r="U17" s="3433" t="s">
        <v>2823</v>
      </c>
    </row>
    <row r="18" spans="1:21">
      <c r="A18" s="3433" t="s">
        <v>2852</v>
      </c>
      <c r="B18" s="3433" t="s">
        <v>437</v>
      </c>
      <c r="C18" s="3433" t="s">
        <v>2853</v>
      </c>
      <c r="D18" s="3433" t="s">
        <v>2774</v>
      </c>
      <c r="E18" s="3433">
        <v>28547.88</v>
      </c>
      <c r="F18" s="3433">
        <v>51828.53</v>
      </c>
      <c r="G18" s="3433">
        <v>1.82</v>
      </c>
      <c r="H18" s="3433" t="s">
        <v>2776</v>
      </c>
      <c r="I18" s="3433" t="s">
        <v>2807</v>
      </c>
      <c r="J18" s="3433" t="s">
        <v>2778</v>
      </c>
      <c r="K18" s="3434">
        <v>44580</v>
      </c>
      <c r="L18" s="3433" t="s">
        <v>2779</v>
      </c>
      <c r="M18" s="3433" t="s">
        <v>2854</v>
      </c>
      <c r="N18" s="3433">
        <v>37700</v>
      </c>
      <c r="O18" s="3433">
        <v>7600</v>
      </c>
      <c r="P18" s="3433" t="s">
        <v>2851</v>
      </c>
      <c r="Q18" s="3433">
        <v>37700</v>
      </c>
      <c r="R18" s="3433">
        <v>880.39</v>
      </c>
      <c r="S18" s="3433">
        <v>7274</v>
      </c>
      <c r="T18" s="3433">
        <v>0</v>
      </c>
      <c r="U18" s="3433" t="s">
        <v>2823</v>
      </c>
    </row>
    <row r="19" spans="1:21">
      <c r="A19" s="3433" t="s">
        <v>2855</v>
      </c>
      <c r="B19" s="3433" t="s">
        <v>437</v>
      </c>
      <c r="C19" s="3433" t="s">
        <v>2856</v>
      </c>
      <c r="D19" s="3433" t="s">
        <v>2774</v>
      </c>
      <c r="E19" s="3433">
        <v>29991.73</v>
      </c>
      <c r="F19" s="3433">
        <v>119966.93</v>
      </c>
      <c r="G19" s="3433">
        <v>4</v>
      </c>
      <c r="H19" s="3433" t="s">
        <v>2776</v>
      </c>
      <c r="I19" s="3433" t="s">
        <v>2807</v>
      </c>
      <c r="J19" s="3433" t="s">
        <v>2778</v>
      </c>
      <c r="K19" s="3434">
        <v>44566</v>
      </c>
      <c r="L19" s="3433" t="s">
        <v>2779</v>
      </c>
      <c r="M19" s="3433" t="s">
        <v>2857</v>
      </c>
      <c r="N19" s="3433">
        <v>165300</v>
      </c>
      <c r="O19" s="3433">
        <v>33100</v>
      </c>
      <c r="P19" s="3433" t="s">
        <v>2744</v>
      </c>
      <c r="Q19" s="3433">
        <v>165300</v>
      </c>
      <c r="R19" s="3433">
        <v>3674.35</v>
      </c>
      <c r="S19" s="3433">
        <v>13779</v>
      </c>
      <c r="T19" s="3433">
        <v>0</v>
      </c>
      <c r="U19" s="3433" t="s">
        <v>2858</v>
      </c>
    </row>
    <row r="20" spans="1:21">
      <c r="A20" s="3433" t="s">
        <v>2859</v>
      </c>
      <c r="B20" s="3433" t="s">
        <v>437</v>
      </c>
      <c r="C20" s="3433" t="s">
        <v>2860</v>
      </c>
      <c r="D20" s="3433" t="s">
        <v>2774</v>
      </c>
      <c r="E20" s="3433">
        <v>15197.52</v>
      </c>
      <c r="F20" s="3433">
        <v>30395.05</v>
      </c>
      <c r="G20" s="3433">
        <v>2</v>
      </c>
      <c r="H20" s="3433" t="s">
        <v>2776</v>
      </c>
      <c r="I20" s="3433" t="s">
        <v>2861</v>
      </c>
      <c r="J20" s="3433" t="s">
        <v>2862</v>
      </c>
      <c r="K20" s="3434">
        <v>44554</v>
      </c>
      <c r="L20" s="3433" t="s">
        <v>2779</v>
      </c>
      <c r="M20" s="3433" t="s">
        <v>2863</v>
      </c>
      <c r="N20" s="3433">
        <v>42600</v>
      </c>
      <c r="O20" s="3433">
        <v>8600</v>
      </c>
      <c r="P20" s="3433" t="s">
        <v>2864</v>
      </c>
      <c r="Q20" s="3433">
        <v>42600</v>
      </c>
      <c r="R20" s="3433">
        <v>1868.73</v>
      </c>
      <c r="S20" s="3433">
        <v>14015</v>
      </c>
      <c r="T20" s="3433">
        <v>0</v>
      </c>
      <c r="U20" s="3433" t="s">
        <v>2823</v>
      </c>
    </row>
    <row r="21" spans="1:21">
      <c r="A21" s="3433" t="s">
        <v>2865</v>
      </c>
      <c r="B21" s="3433" t="s">
        <v>437</v>
      </c>
      <c r="C21" s="3433" t="s">
        <v>2866</v>
      </c>
      <c r="D21" s="3433" t="s">
        <v>2774</v>
      </c>
      <c r="E21" s="3433">
        <v>38252.550000000003</v>
      </c>
      <c r="F21" s="3433">
        <v>84155.61</v>
      </c>
      <c r="G21" s="3433">
        <v>2.2000000000000002</v>
      </c>
      <c r="H21" s="3433" t="s">
        <v>2776</v>
      </c>
      <c r="I21" s="3433" t="s">
        <v>2807</v>
      </c>
      <c r="J21" s="3433" t="s">
        <v>2778</v>
      </c>
      <c r="K21" s="3434">
        <v>44495</v>
      </c>
      <c r="L21" s="3433" t="s">
        <v>2779</v>
      </c>
      <c r="M21" s="3433" t="s">
        <v>2867</v>
      </c>
      <c r="N21" s="3433">
        <v>175000</v>
      </c>
      <c r="O21" s="3433">
        <v>35000</v>
      </c>
      <c r="P21" s="3433" t="s">
        <v>2868</v>
      </c>
      <c r="Q21" s="3433">
        <v>175000</v>
      </c>
      <c r="R21" s="3433">
        <v>3049.91</v>
      </c>
      <c r="S21" s="3433">
        <v>20795</v>
      </c>
      <c r="T21" s="3433">
        <v>0</v>
      </c>
      <c r="U21" s="3433" t="s">
        <v>2858</v>
      </c>
    </row>
    <row r="22" spans="1:21">
      <c r="A22" s="3433" t="s">
        <v>2869</v>
      </c>
      <c r="B22" s="3433" t="s">
        <v>437</v>
      </c>
      <c r="C22" s="3433" t="s">
        <v>2870</v>
      </c>
      <c r="D22" s="3433" t="s">
        <v>2774</v>
      </c>
      <c r="E22" s="3433">
        <v>30025.18</v>
      </c>
      <c r="F22" s="3433">
        <v>66055.39</v>
      </c>
      <c r="G22" s="3433">
        <v>2.2000000000000002</v>
      </c>
      <c r="H22" s="3433" t="s">
        <v>2776</v>
      </c>
      <c r="I22" s="3433" t="s">
        <v>2807</v>
      </c>
      <c r="J22" s="3433" t="s">
        <v>2778</v>
      </c>
      <c r="K22" s="3434">
        <v>44495</v>
      </c>
      <c r="L22" s="3433" t="s">
        <v>2779</v>
      </c>
      <c r="M22" s="3433" t="s">
        <v>2871</v>
      </c>
      <c r="N22" s="3433">
        <v>137000</v>
      </c>
      <c r="O22" s="3433">
        <v>137000</v>
      </c>
      <c r="P22" s="3433" t="s">
        <v>2868</v>
      </c>
      <c r="Q22" s="3433">
        <v>137000</v>
      </c>
      <c r="R22" s="3433">
        <v>3041.89</v>
      </c>
      <c r="S22" s="3433">
        <v>20740</v>
      </c>
      <c r="T22" s="3433">
        <v>0</v>
      </c>
      <c r="U22" s="3433" t="s">
        <v>2858</v>
      </c>
    </row>
    <row r="23" spans="1:21">
      <c r="A23" s="3433" t="s">
        <v>2872</v>
      </c>
      <c r="B23" s="3433" t="s">
        <v>437</v>
      </c>
      <c r="C23" s="3433" t="s">
        <v>2873</v>
      </c>
      <c r="D23" s="3433" t="s">
        <v>2774</v>
      </c>
      <c r="E23" s="3433">
        <v>204418.11</v>
      </c>
      <c r="F23" s="3433">
        <v>302000</v>
      </c>
      <c r="G23" s="3433">
        <v>1.5</v>
      </c>
      <c r="H23" s="3433" t="s">
        <v>2776</v>
      </c>
      <c r="I23" s="3433" t="s">
        <v>2807</v>
      </c>
      <c r="J23" s="3433" t="s">
        <v>2778</v>
      </c>
      <c r="K23" s="3434">
        <v>44495</v>
      </c>
      <c r="L23" s="3433" t="s">
        <v>2779</v>
      </c>
      <c r="M23" s="3433" t="s">
        <v>2874</v>
      </c>
      <c r="N23" s="3433">
        <v>506700</v>
      </c>
      <c r="O23" s="3433">
        <v>101400</v>
      </c>
      <c r="P23" s="3433" t="s">
        <v>2868</v>
      </c>
      <c r="Q23" s="3433">
        <v>506700</v>
      </c>
      <c r="R23" s="3433">
        <v>1652.5</v>
      </c>
      <c r="S23" s="3433">
        <v>16778</v>
      </c>
      <c r="T23" s="3433">
        <v>0</v>
      </c>
      <c r="U23" s="3433" t="s">
        <v>2858</v>
      </c>
    </row>
    <row r="24" spans="1:21" s="3435" customFormat="1">
      <c r="A24" s="3435" t="s">
        <v>2875</v>
      </c>
      <c r="B24" s="3435" t="s">
        <v>437</v>
      </c>
      <c r="C24" s="3435" t="s">
        <v>2876</v>
      </c>
      <c r="D24" s="3435" t="s">
        <v>2774</v>
      </c>
      <c r="E24" s="3435">
        <v>12136.3</v>
      </c>
      <c r="F24" s="3435">
        <v>42477</v>
      </c>
      <c r="G24" s="3435">
        <v>3.5</v>
      </c>
      <c r="H24" s="3435" t="s">
        <v>2776</v>
      </c>
      <c r="I24" s="3435" t="s">
        <v>2777</v>
      </c>
      <c r="J24" s="3435" t="s">
        <v>2778</v>
      </c>
      <c r="K24" s="3436">
        <v>44495</v>
      </c>
      <c r="L24" s="3435" t="s">
        <v>2779</v>
      </c>
      <c r="M24" s="3435" t="s">
        <v>2877</v>
      </c>
      <c r="N24" s="3435">
        <v>71000</v>
      </c>
      <c r="O24" s="3435">
        <v>14200</v>
      </c>
      <c r="P24" s="3435" t="s">
        <v>2868</v>
      </c>
      <c r="Q24" s="3435">
        <v>71000</v>
      </c>
      <c r="R24" s="3435">
        <v>3900.15</v>
      </c>
      <c r="S24" s="3435">
        <v>16715</v>
      </c>
      <c r="T24" s="3435">
        <v>0</v>
      </c>
      <c r="U24" s="3435" t="s">
        <v>2858</v>
      </c>
    </row>
    <row r="25" spans="1:21">
      <c r="A25" s="3433" t="s">
        <v>2878</v>
      </c>
      <c r="B25" s="3433" t="s">
        <v>437</v>
      </c>
      <c r="C25" s="3433" t="s">
        <v>2879</v>
      </c>
      <c r="D25" s="3433" t="s">
        <v>2774</v>
      </c>
      <c r="E25" s="3433">
        <v>5907.54</v>
      </c>
      <c r="F25" s="3433">
        <v>21900</v>
      </c>
      <c r="G25" s="3433">
        <v>3.71</v>
      </c>
      <c r="H25" s="3433" t="s">
        <v>2776</v>
      </c>
      <c r="I25" s="3433" t="s">
        <v>2880</v>
      </c>
      <c r="J25" s="3433" t="s">
        <v>2778</v>
      </c>
      <c r="K25" s="3434">
        <v>44495</v>
      </c>
      <c r="L25" s="3433" t="s">
        <v>2779</v>
      </c>
      <c r="M25" s="3433" t="s">
        <v>2881</v>
      </c>
      <c r="N25" s="3433">
        <v>46000</v>
      </c>
      <c r="O25" s="3433">
        <v>9500</v>
      </c>
      <c r="P25" s="3433" t="s">
        <v>2868</v>
      </c>
      <c r="Q25" s="3433">
        <v>46000</v>
      </c>
      <c r="R25" s="3433">
        <v>5191.1099999999997</v>
      </c>
      <c r="S25" s="3433">
        <v>21005</v>
      </c>
      <c r="T25" s="3433">
        <v>0</v>
      </c>
      <c r="U25" s="3433" t="s">
        <v>2858</v>
      </c>
    </row>
    <row r="26" spans="1:21">
      <c r="A26" s="3433" t="s">
        <v>2882</v>
      </c>
      <c r="B26" s="3433" t="s">
        <v>437</v>
      </c>
      <c r="C26" s="3433" t="s">
        <v>2883</v>
      </c>
      <c r="D26" s="3433" t="s">
        <v>2774</v>
      </c>
      <c r="E26" s="3433">
        <v>25121.77</v>
      </c>
      <c r="F26" s="3433">
        <v>55267.89</v>
      </c>
      <c r="G26" s="3433">
        <v>2.2000000000000002</v>
      </c>
      <c r="H26" s="3433" t="s">
        <v>2776</v>
      </c>
      <c r="I26" s="3433" t="s">
        <v>2807</v>
      </c>
      <c r="J26" s="3433" t="s">
        <v>2778</v>
      </c>
      <c r="K26" s="3434">
        <v>44495</v>
      </c>
      <c r="L26" s="3433" t="s">
        <v>2779</v>
      </c>
      <c r="M26" s="3433" t="s">
        <v>2884</v>
      </c>
      <c r="N26" s="3433">
        <v>115000</v>
      </c>
      <c r="O26" s="3433">
        <v>23000</v>
      </c>
      <c r="P26" s="3433" t="s">
        <v>2868</v>
      </c>
      <c r="Q26" s="3433">
        <v>115000</v>
      </c>
      <c r="R26" s="3433">
        <v>3051.8</v>
      </c>
      <c r="S26" s="3433">
        <v>20808</v>
      </c>
      <c r="T26" s="3433">
        <v>0</v>
      </c>
      <c r="U26" s="3433" t="s">
        <v>2858</v>
      </c>
    </row>
    <row r="27" spans="1:21">
      <c r="A27" s="3433" t="s">
        <v>2885</v>
      </c>
      <c r="B27" s="3433" t="s">
        <v>437</v>
      </c>
      <c r="C27" s="3433" t="s">
        <v>2886</v>
      </c>
      <c r="D27" s="3433" t="s">
        <v>2774</v>
      </c>
      <c r="E27" s="3433">
        <v>17147.95</v>
      </c>
      <c r="F27" s="3433">
        <v>53158.65</v>
      </c>
      <c r="G27" s="3433" t="s">
        <v>2887</v>
      </c>
      <c r="H27" s="3433" t="s">
        <v>2776</v>
      </c>
      <c r="I27" s="3433" t="s">
        <v>2888</v>
      </c>
      <c r="J27" s="3433" t="s">
        <v>2778</v>
      </c>
      <c r="K27" s="3434">
        <v>44335</v>
      </c>
      <c r="L27" s="3433" t="s">
        <v>2779</v>
      </c>
      <c r="M27" s="3433" t="s">
        <v>2889</v>
      </c>
      <c r="N27" s="3433">
        <v>69200</v>
      </c>
      <c r="O27" s="3433">
        <v>14000</v>
      </c>
      <c r="P27" s="3433" t="s">
        <v>2744</v>
      </c>
      <c r="Q27" s="3433">
        <v>69200</v>
      </c>
      <c r="R27" s="3433">
        <v>2690.31</v>
      </c>
      <c r="S27" s="3433">
        <v>13018</v>
      </c>
      <c r="T27" s="3433">
        <v>0</v>
      </c>
      <c r="U27" s="3433" t="s">
        <v>2890</v>
      </c>
    </row>
    <row r="28" spans="1:21">
      <c r="A28" s="3433" t="s">
        <v>2891</v>
      </c>
      <c r="B28" s="3433" t="s">
        <v>437</v>
      </c>
      <c r="C28" s="3433" t="s">
        <v>2892</v>
      </c>
      <c r="D28" s="3433" t="s">
        <v>2774</v>
      </c>
      <c r="E28" s="3433">
        <v>22058.78</v>
      </c>
      <c r="F28" s="3433">
        <v>47390</v>
      </c>
      <c r="G28" s="3433" t="s">
        <v>2893</v>
      </c>
      <c r="H28" s="3433" t="s">
        <v>2776</v>
      </c>
      <c r="I28" s="3433" t="s">
        <v>2807</v>
      </c>
      <c r="J28" s="3433" t="s">
        <v>2778</v>
      </c>
      <c r="K28" s="3434">
        <v>44234</v>
      </c>
      <c r="L28" s="3433" t="s">
        <v>2779</v>
      </c>
      <c r="M28" s="3433" t="s">
        <v>2894</v>
      </c>
      <c r="N28" s="3433">
        <v>32700</v>
      </c>
      <c r="O28" s="3433">
        <v>6600</v>
      </c>
      <c r="P28" s="3433" t="s">
        <v>2744</v>
      </c>
      <c r="Q28" s="3433">
        <v>32700</v>
      </c>
      <c r="R28" s="3433">
        <v>988.27</v>
      </c>
      <c r="S28" s="3433">
        <v>6900</v>
      </c>
      <c r="T28" s="3433">
        <v>0</v>
      </c>
      <c r="U28" s="3433" t="s">
        <v>2890</v>
      </c>
    </row>
    <row r="29" spans="1:21">
      <c r="A29" s="3433" t="s">
        <v>2895</v>
      </c>
      <c r="B29" s="3433" t="s">
        <v>437</v>
      </c>
      <c r="C29" s="3433" t="s">
        <v>2896</v>
      </c>
      <c r="D29" s="3433" t="s">
        <v>2774</v>
      </c>
      <c r="E29" s="3433">
        <v>1676.22</v>
      </c>
      <c r="F29" s="3433">
        <v>753.4</v>
      </c>
      <c r="G29" s="3433" t="s">
        <v>2897</v>
      </c>
      <c r="H29" s="3433" t="s">
        <v>2776</v>
      </c>
      <c r="I29" s="3433" t="s">
        <v>2796</v>
      </c>
      <c r="J29" s="3433" t="s">
        <v>2778</v>
      </c>
      <c r="K29" s="3434">
        <v>44224</v>
      </c>
      <c r="L29" s="3433" t="s">
        <v>2779</v>
      </c>
      <c r="M29" s="3433" t="s">
        <v>2898</v>
      </c>
      <c r="N29" s="3433">
        <v>550</v>
      </c>
      <c r="O29" s="3433">
        <v>150</v>
      </c>
      <c r="P29" s="3433" t="s">
        <v>2899</v>
      </c>
      <c r="Q29" s="3433">
        <v>550</v>
      </c>
      <c r="R29" s="3433">
        <v>218.75</v>
      </c>
      <c r="S29" s="3433">
        <v>7300</v>
      </c>
      <c r="T29" s="3433">
        <v>0</v>
      </c>
      <c r="U29" s="3433" t="s">
        <v>2823</v>
      </c>
    </row>
    <row r="30" spans="1:21">
      <c r="A30" s="3433" t="s">
        <v>2900</v>
      </c>
      <c r="B30" s="3433" t="s">
        <v>437</v>
      </c>
      <c r="C30" s="3433" t="s">
        <v>2901</v>
      </c>
      <c r="D30" s="3433" t="s">
        <v>2774</v>
      </c>
      <c r="E30" s="3433">
        <v>25224.15</v>
      </c>
      <c r="F30" s="3433">
        <v>75672.45</v>
      </c>
      <c r="G30" s="3433" t="s">
        <v>2902</v>
      </c>
      <c r="H30" s="3433" t="s">
        <v>2776</v>
      </c>
      <c r="I30" s="3433" t="s">
        <v>2807</v>
      </c>
      <c r="J30" s="3433" t="s">
        <v>2778</v>
      </c>
      <c r="K30" s="3434">
        <v>44193</v>
      </c>
      <c r="L30" s="3433" t="s">
        <v>2779</v>
      </c>
      <c r="M30" s="3433" t="s">
        <v>2903</v>
      </c>
      <c r="N30" s="3433">
        <v>60800</v>
      </c>
      <c r="O30" s="3433">
        <v>12200</v>
      </c>
      <c r="P30" s="3433" t="s">
        <v>2904</v>
      </c>
      <c r="Q30" s="3433">
        <v>60800</v>
      </c>
      <c r="R30" s="3433">
        <v>1606.93</v>
      </c>
      <c r="S30" s="3433">
        <v>8035</v>
      </c>
      <c r="T30" s="3433">
        <v>0</v>
      </c>
      <c r="U30" s="3433" t="s">
        <v>2823</v>
      </c>
    </row>
    <row r="31" spans="1:21">
      <c r="A31" s="3433" t="s">
        <v>2905</v>
      </c>
      <c r="B31" s="3433" t="s">
        <v>437</v>
      </c>
      <c r="C31" s="3433" t="s">
        <v>2906</v>
      </c>
      <c r="D31" s="3433" t="s">
        <v>2774</v>
      </c>
      <c r="E31" s="3433">
        <v>26197.17</v>
      </c>
      <c r="F31" s="3433">
        <v>26500</v>
      </c>
      <c r="G31" s="3433" t="s">
        <v>2907</v>
      </c>
      <c r="H31" s="3433" t="s">
        <v>2908</v>
      </c>
      <c r="I31" s="3433" t="s">
        <v>2807</v>
      </c>
      <c r="J31" s="3433" t="s">
        <v>2778</v>
      </c>
      <c r="K31" s="3434">
        <v>44172</v>
      </c>
      <c r="L31" s="3433" t="s">
        <v>2779</v>
      </c>
      <c r="M31" s="3433" t="s">
        <v>2909</v>
      </c>
      <c r="N31" s="3433" t="s">
        <v>2910</v>
      </c>
      <c r="O31" s="3433">
        <v>4200</v>
      </c>
      <c r="P31" s="3433" t="s">
        <v>2911</v>
      </c>
      <c r="Q31" s="3433">
        <v>20986.799999999999</v>
      </c>
      <c r="R31" s="3433">
        <v>534.07000000000005</v>
      </c>
      <c r="S31" s="3433">
        <v>7920</v>
      </c>
      <c r="T31" s="3433">
        <v>0</v>
      </c>
      <c r="U31" s="3433" t="s">
        <v>2823</v>
      </c>
    </row>
    <row r="32" spans="1:21" s="3435" customFormat="1">
      <c r="A32" s="3435" t="s">
        <v>2912</v>
      </c>
      <c r="B32" s="3435" t="s">
        <v>437</v>
      </c>
      <c r="C32" s="3435" t="s">
        <v>2913</v>
      </c>
      <c r="D32" s="3435" t="s">
        <v>2774</v>
      </c>
      <c r="E32" s="3435">
        <v>28676.63</v>
      </c>
      <c r="F32" s="3435">
        <v>114706.51</v>
      </c>
      <c r="G32" s="3435" t="s">
        <v>2914</v>
      </c>
      <c r="H32" s="3435" t="s">
        <v>2776</v>
      </c>
      <c r="I32" s="3435" t="s">
        <v>2796</v>
      </c>
      <c r="J32" s="3435" t="s">
        <v>2778</v>
      </c>
      <c r="K32" s="3436">
        <v>44179</v>
      </c>
      <c r="L32" s="3435" t="s">
        <v>2779</v>
      </c>
      <c r="M32" s="3435" t="s">
        <v>2915</v>
      </c>
      <c r="N32" s="3435">
        <v>175500</v>
      </c>
      <c r="O32" s="3435">
        <v>35500</v>
      </c>
      <c r="P32" s="3435" t="s">
        <v>2916</v>
      </c>
      <c r="Q32" s="3435">
        <v>175500</v>
      </c>
      <c r="R32" s="3435">
        <v>4079.98</v>
      </c>
      <c r="S32" s="3435">
        <v>15300</v>
      </c>
      <c r="T32" s="3435">
        <v>0</v>
      </c>
      <c r="U32" s="3435" t="s">
        <v>2823</v>
      </c>
    </row>
    <row r="33" spans="1:21">
      <c r="A33" s="3433" t="s">
        <v>2917</v>
      </c>
      <c r="B33" s="3433" t="s">
        <v>437</v>
      </c>
      <c r="C33" s="3433" t="s">
        <v>2918</v>
      </c>
      <c r="D33" s="3433" t="s">
        <v>2774</v>
      </c>
      <c r="E33" s="3433">
        <v>51788.13</v>
      </c>
      <c r="F33" s="3433">
        <v>184800</v>
      </c>
      <c r="G33" s="3433" t="s">
        <v>2919</v>
      </c>
      <c r="H33" s="3433" t="s">
        <v>2776</v>
      </c>
      <c r="I33" s="3433" t="s">
        <v>2777</v>
      </c>
      <c r="J33" s="3433" t="s">
        <v>2778</v>
      </c>
      <c r="K33" s="3434">
        <v>44167</v>
      </c>
      <c r="L33" s="3433" t="s">
        <v>2779</v>
      </c>
      <c r="M33" s="3433" t="s">
        <v>2920</v>
      </c>
      <c r="N33" s="3433">
        <v>570500</v>
      </c>
      <c r="O33" s="3433">
        <v>115000</v>
      </c>
      <c r="P33" s="3433" t="s">
        <v>2921</v>
      </c>
      <c r="Q33" s="3433">
        <v>579500</v>
      </c>
      <c r="R33" s="3433">
        <v>7459.88</v>
      </c>
      <c r="S33" s="3433">
        <v>31358</v>
      </c>
      <c r="T33" s="3433">
        <v>1.58</v>
      </c>
      <c r="U33" s="3433" t="s">
        <v>2823</v>
      </c>
    </row>
    <row r="34" spans="1:21">
      <c r="A34" s="3433" t="s">
        <v>2922</v>
      </c>
      <c r="B34" s="3433" t="s">
        <v>437</v>
      </c>
      <c r="C34" s="3433" t="s">
        <v>2923</v>
      </c>
      <c r="D34" s="3433" t="s">
        <v>2774</v>
      </c>
      <c r="E34" s="3433">
        <v>63225.37</v>
      </c>
      <c r="F34" s="3433">
        <v>120200</v>
      </c>
      <c r="G34" s="3433" t="s">
        <v>2924</v>
      </c>
      <c r="H34" s="3433" t="s">
        <v>2776</v>
      </c>
      <c r="I34" s="3433" t="s">
        <v>2807</v>
      </c>
      <c r="J34" s="3433" t="s">
        <v>2778</v>
      </c>
      <c r="K34" s="3434">
        <v>44138</v>
      </c>
      <c r="L34" s="3433" t="s">
        <v>2779</v>
      </c>
      <c r="M34" s="3433" t="s">
        <v>2925</v>
      </c>
      <c r="N34" s="3433">
        <v>88100</v>
      </c>
      <c r="O34" s="3433">
        <v>17700</v>
      </c>
      <c r="P34" s="3433" t="s">
        <v>2926</v>
      </c>
      <c r="Q34" s="3433">
        <v>88100</v>
      </c>
      <c r="R34" s="3433">
        <v>928.95</v>
      </c>
      <c r="S34" s="3433">
        <v>7329</v>
      </c>
      <c r="T34" s="3433">
        <v>0</v>
      </c>
      <c r="U34" s="3433" t="s">
        <v>2823</v>
      </c>
    </row>
    <row r="35" spans="1:21">
      <c r="A35" s="3433" t="s">
        <v>2927</v>
      </c>
      <c r="B35" s="3433" t="s">
        <v>437</v>
      </c>
      <c r="C35" s="3433" t="s">
        <v>2928</v>
      </c>
      <c r="D35" s="3433" t="s">
        <v>2774</v>
      </c>
      <c r="E35" s="3433">
        <v>5352.65</v>
      </c>
      <c r="F35" s="3433">
        <v>843</v>
      </c>
      <c r="G35" s="3433" t="s">
        <v>2929</v>
      </c>
      <c r="H35" s="3433" t="s">
        <v>2776</v>
      </c>
      <c r="I35" s="3433" t="s">
        <v>2796</v>
      </c>
      <c r="J35" s="3433" t="s">
        <v>2778</v>
      </c>
      <c r="K35" s="3434">
        <v>44116</v>
      </c>
      <c r="L35" s="3433" t="s">
        <v>2779</v>
      </c>
      <c r="M35" s="3433" t="s">
        <v>2898</v>
      </c>
      <c r="N35" s="3433">
        <v>1310</v>
      </c>
      <c r="O35" s="3433">
        <v>300</v>
      </c>
      <c r="P35" s="3433" t="s">
        <v>2930</v>
      </c>
      <c r="Q35" s="3433">
        <v>1310</v>
      </c>
      <c r="R35" s="3433">
        <v>163.16</v>
      </c>
      <c r="S35" s="3433">
        <v>15540</v>
      </c>
      <c r="T35" s="3433">
        <v>0</v>
      </c>
      <c r="U35" s="3433" t="s">
        <v>2823</v>
      </c>
    </row>
    <row r="36" spans="1:21">
      <c r="A36" s="3433" t="s">
        <v>2931</v>
      </c>
      <c r="B36" s="3433" t="s">
        <v>437</v>
      </c>
      <c r="C36" s="3433" t="s">
        <v>2932</v>
      </c>
      <c r="D36" s="3433" t="s">
        <v>2774</v>
      </c>
      <c r="E36" s="3433">
        <v>36823.82</v>
      </c>
      <c r="F36" s="3433">
        <v>25187</v>
      </c>
      <c r="G36" s="3433" t="s">
        <v>2933</v>
      </c>
      <c r="H36" s="3433" t="s">
        <v>2776</v>
      </c>
      <c r="I36" s="3433" t="s">
        <v>2807</v>
      </c>
      <c r="J36" s="3433" t="s">
        <v>2778</v>
      </c>
      <c r="K36" s="3434">
        <v>44116</v>
      </c>
      <c r="L36" s="3433" t="s">
        <v>2779</v>
      </c>
      <c r="M36" s="3433" t="s">
        <v>2934</v>
      </c>
      <c r="N36" s="3433">
        <v>29500</v>
      </c>
      <c r="O36" s="3433">
        <v>6000</v>
      </c>
      <c r="P36" s="3433" t="s">
        <v>2930</v>
      </c>
      <c r="Q36" s="3433">
        <v>29500</v>
      </c>
      <c r="R36" s="3433">
        <v>534.07000000000005</v>
      </c>
      <c r="S36" s="3433">
        <v>11712</v>
      </c>
      <c r="T36" s="3433">
        <v>0</v>
      </c>
      <c r="U36" s="3433" t="s">
        <v>2823</v>
      </c>
    </row>
    <row r="37" spans="1:21">
      <c r="A37" s="3433" t="s">
        <v>2935</v>
      </c>
      <c r="B37" s="3433" t="s">
        <v>437</v>
      </c>
      <c r="C37" s="3433" t="s">
        <v>2936</v>
      </c>
      <c r="D37" s="3433" t="s">
        <v>2774</v>
      </c>
      <c r="E37" s="3433">
        <v>265269.8</v>
      </c>
      <c r="F37" s="3433">
        <v>665975.69999999995</v>
      </c>
      <c r="G37" s="3433" t="s">
        <v>2937</v>
      </c>
      <c r="H37" s="3433" t="s">
        <v>2776</v>
      </c>
      <c r="I37" s="3433" t="s">
        <v>2807</v>
      </c>
      <c r="J37" s="3433" t="s">
        <v>2778</v>
      </c>
      <c r="K37" s="3434">
        <v>44046</v>
      </c>
      <c r="L37" s="3433" t="s">
        <v>2779</v>
      </c>
      <c r="M37" s="3433" t="s">
        <v>2938</v>
      </c>
      <c r="N37" s="3433">
        <v>699300</v>
      </c>
      <c r="O37" s="3433">
        <v>139900</v>
      </c>
      <c r="P37" s="3433" t="s">
        <v>2939</v>
      </c>
      <c r="Q37" s="3433">
        <v>699300</v>
      </c>
      <c r="R37" s="3433">
        <v>1757.46</v>
      </c>
      <c r="S37" s="3433">
        <v>10500</v>
      </c>
      <c r="T37" s="3433">
        <v>0</v>
      </c>
      <c r="U37" s="3433" t="s">
        <v>2823</v>
      </c>
    </row>
  </sheetData>
  <phoneticPr fontId="22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M17" sqref="M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1682</v>
      </c>
      <c r="B1" s="375"/>
      <c r="C1" s="378" t="s">
        <v>997</v>
      </c>
      <c r="D1" s="546">
        <f>SUM(D33:D34,D37:D42)</f>
        <v>20276.490000000002</v>
      </c>
      <c r="E1" s="547"/>
      <c r="F1" s="547"/>
      <c r="G1" s="547"/>
      <c r="H1" s="547"/>
      <c r="I1" s="547"/>
      <c r="J1" s="547"/>
      <c r="K1" s="539"/>
      <c r="L1" s="751" t="s">
        <v>1683</v>
      </c>
      <c r="M1" s="752">
        <f>SUMPRODUCT((区片价!B5:B9=I2)*(区片价!C3:G3=E2)*(区片价!C5:G9))</f>
        <v>0</v>
      </c>
      <c r="N1" s="753">
        <f>SUMPRODUCT((因素修正幅度!B5:B9=I2)*(因素修正幅度!C3:G3=E2)*(因素修正幅度!C5:G9))</f>
        <v>0</v>
      </c>
      <c r="O1" s="540"/>
      <c r="P1" s="540"/>
      <c r="Q1" s="539"/>
      <c r="R1" s="845" t="s">
        <v>1684</v>
      </c>
      <c r="S1" s="845" t="s">
        <v>1685</v>
      </c>
      <c r="T1" s="845" t="s">
        <v>1686</v>
      </c>
      <c r="U1" s="845" t="s">
        <v>1687</v>
      </c>
      <c r="V1" s="845" t="s">
        <v>1688</v>
      </c>
      <c r="W1" s="846"/>
      <c r="X1" s="846"/>
      <c r="Y1" s="846"/>
      <c r="Z1" s="846"/>
      <c r="AA1" s="846"/>
      <c r="AB1" s="846"/>
      <c r="AC1" s="857"/>
      <c r="AD1" s="858"/>
      <c r="AE1" s="858"/>
      <c r="AF1" s="858"/>
      <c r="AG1" s="858"/>
      <c r="AH1" s="858"/>
      <c r="AI1" s="858"/>
      <c r="AJ1" s="867"/>
    </row>
    <row r="2" spans="1:36" ht="15.75">
      <c r="A2" s="378" t="s">
        <v>994</v>
      </c>
      <c r="B2" s="382">
        <f>C30</f>
        <v>22997</v>
      </c>
      <c r="C2" s="548" t="s">
        <v>995</v>
      </c>
      <c r="D2" s="549" t="s">
        <v>1689</v>
      </c>
      <c r="E2" s="550" t="s">
        <v>548</v>
      </c>
      <c r="F2" s="549" t="s">
        <v>1690</v>
      </c>
      <c r="G2" s="551" t="str">
        <f>IF(E2="商业",项目基本情况!B37,IF(E2="办公",项目基本情况!C37,IF(E2="住宅",项目基本情况!D37,IF(E2="工业",项目基本情况!E37,项目基本情况!F37))))</f>
        <v>五级</v>
      </c>
      <c r="H2" s="549" t="s">
        <v>1691</v>
      </c>
      <c r="I2" s="551" t="str">
        <f>IF(E2="商业",项目基本情况!B38,IF(E2="办公",项目基本情况!C38,IF(E2="住宅",项目基本情况!D38,IF(E2="工业",项目基本情况!E38,项目基本情况!F38))))</f>
        <v>Ⅴ-15</v>
      </c>
      <c r="J2" s="754"/>
      <c r="K2" s="539"/>
      <c r="L2" s="755" t="s">
        <v>1692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19018</v>
      </c>
      <c r="U2" s="848"/>
      <c r="V2" s="847">
        <f>ROUND(T2*U2/10000,0)</f>
        <v>0</v>
      </c>
      <c r="W2" s="846"/>
      <c r="X2" s="846"/>
      <c r="Y2" s="846"/>
      <c r="Z2" s="846"/>
      <c r="AA2" s="846"/>
      <c r="AB2" s="846"/>
      <c r="AC2" s="857"/>
      <c r="AD2" s="858"/>
      <c r="AE2" s="858"/>
      <c r="AF2" s="858"/>
      <c r="AG2" s="858"/>
      <c r="AH2" s="858"/>
      <c r="AI2" s="858"/>
      <c r="AJ2" s="867"/>
    </row>
    <row r="3" spans="1:36" ht="15.75">
      <c r="A3" s="381" t="s">
        <v>996</v>
      </c>
      <c r="B3" s="382">
        <f>ROUND(B2*10000/D1,0)</f>
        <v>11342</v>
      </c>
      <c r="C3" s="548" t="s">
        <v>1269</v>
      </c>
      <c r="D3" s="549" t="s">
        <v>1693</v>
      </c>
      <c r="E3" s="552" t="s">
        <v>1694</v>
      </c>
      <c r="F3" s="553" t="s">
        <v>1695</v>
      </c>
      <c r="G3" s="554">
        <f>IF(F3="宗地容积率",'数据-汇总表'!I4,IF(F3="估价对象容积率",'数据-汇总表'!I6,'数据-汇总表'!I7))</f>
        <v>2.5</v>
      </c>
      <c r="H3" s="555" t="s">
        <v>1696</v>
      </c>
      <c r="I3" s="757"/>
      <c r="J3" s="754" t="s">
        <v>1697</v>
      </c>
      <c r="K3" s="539"/>
      <c r="L3" s="755" t="s">
        <v>1698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14990</v>
      </c>
      <c r="U3" s="848"/>
      <c r="V3" s="847">
        <f t="shared" ref="V3:V16" si="1">ROUND(T3*U3/10000,0)</f>
        <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1699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12669</v>
      </c>
      <c r="U4" s="848"/>
      <c r="V4" s="847">
        <f t="shared" si="1"/>
        <v>0</v>
      </c>
      <c r="W4" s="846"/>
      <c r="X4" s="846"/>
      <c r="Y4" s="846"/>
      <c r="Z4" s="846"/>
      <c r="AA4" s="846"/>
      <c r="AB4" s="846"/>
      <c r="AC4" s="857"/>
      <c r="AD4" s="858"/>
      <c r="AE4" s="858"/>
      <c r="AF4" s="858"/>
      <c r="AG4" s="858"/>
      <c r="AH4" s="858"/>
      <c r="AI4" s="858"/>
      <c r="AJ4" s="867"/>
    </row>
    <row r="5" spans="1:36" s="538" customFormat="1" ht="15">
      <c r="A5" s="556" t="s">
        <v>895</v>
      </c>
      <c r="B5" s="557" t="s">
        <v>1700</v>
      </c>
      <c r="C5" s="558">
        <f>ROUND(IF(E2="商业",C6*C7*C17+C20,(IF(E2="住宅",C6*C13*C17+C20,IF(E2="办公",C6*C12*C17+C20,C6+C20)))),0)</f>
        <v>14560</v>
      </c>
      <c r="D5" s="559">
        <f>ROUND(C6*C17+C20,0)</f>
        <v>14560</v>
      </c>
      <c r="E5" s="559"/>
      <c r="F5" s="560"/>
      <c r="G5" s="561"/>
      <c r="H5" s="561"/>
      <c r="I5" s="561"/>
      <c r="J5" s="758"/>
      <c r="K5" s="759"/>
      <c r="L5" s="755" t="s">
        <v>1701</v>
      </c>
      <c r="M5" s="756">
        <f>SUMPRODUCT((区片价!B87:B126=I2)*(区片价!C3:G3=E2)*(区片价!C87:G126))</f>
        <v>14560</v>
      </c>
      <c r="N5" s="753">
        <f>SUMPRODUCT((因素修正幅度!B87:B126=I2)*(因素修正幅度!C3:G3=E2)*(因素修正幅度!C87:G126))</f>
        <v>0.1</v>
      </c>
      <c r="O5" s="539"/>
      <c r="P5" s="539"/>
      <c r="Q5" s="539"/>
      <c r="R5" s="845">
        <v>4</v>
      </c>
      <c r="S5" s="847">
        <f>ROUND(SUMPRODUCT((B106:B110=R5)*(C105:N105=G2)*(C106:N110)),4)</f>
        <v>0.88239999999999996</v>
      </c>
      <c r="T5" s="847">
        <f t="shared" si="0"/>
        <v>11174</v>
      </c>
      <c r="U5" s="848"/>
      <c r="V5" s="847">
        <f t="shared" si="1"/>
        <v>0</v>
      </c>
      <c r="W5" s="846"/>
      <c r="X5" s="846"/>
      <c r="Y5" s="846"/>
      <c r="Z5" s="846"/>
      <c r="AA5" s="846"/>
      <c r="AB5" s="846"/>
      <c r="AC5" s="859"/>
      <c r="AD5" s="860"/>
      <c r="AE5" s="860"/>
      <c r="AF5" s="860"/>
      <c r="AG5" s="860"/>
      <c r="AH5" s="860"/>
      <c r="AI5" s="860"/>
      <c r="AJ5" s="868"/>
    </row>
    <row r="6" spans="1:36" ht="15">
      <c r="A6" s="562" t="s">
        <v>1271</v>
      </c>
      <c r="B6" s="563" t="s">
        <v>1702</v>
      </c>
      <c r="C6" s="564">
        <f>SUMIF(L1:L12,G2,M1:M12)</f>
        <v>14560</v>
      </c>
      <c r="D6" s="565"/>
      <c r="E6" s="566"/>
      <c r="F6" s="566"/>
      <c r="G6" s="567"/>
      <c r="H6" s="567"/>
      <c r="I6" s="567"/>
      <c r="J6" s="760"/>
      <c r="K6" s="761"/>
      <c r="L6" s="755" t="s">
        <v>1703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10738</v>
      </c>
      <c r="U6" s="848"/>
      <c r="V6" s="847">
        <f t="shared" si="1"/>
        <v>0</v>
      </c>
      <c r="W6" s="846"/>
      <c r="X6" s="846"/>
      <c r="Y6" s="846"/>
      <c r="Z6" s="846"/>
      <c r="AA6" s="846"/>
      <c r="AB6" s="846"/>
      <c r="AC6" s="859"/>
      <c r="AD6" s="860"/>
      <c r="AE6" s="860"/>
      <c r="AF6" s="860"/>
      <c r="AG6" s="860"/>
      <c r="AH6" s="860"/>
      <c r="AI6" s="860"/>
      <c r="AJ6" s="868"/>
    </row>
    <row r="7" spans="1:36" ht="24">
      <c r="A7" s="568" t="s">
        <v>1704</v>
      </c>
      <c r="B7" s="569" t="s">
        <v>1705</v>
      </c>
      <c r="C7" s="570">
        <f>IF(C8="不临65条商业街",1,ROUND(1+(1.6*E8+1.2*E9+0.8*E10+0.4*E11)*C9,4))</f>
        <v>1</v>
      </c>
      <c r="D7" s="571" t="s">
        <v>1706</v>
      </c>
      <c r="E7" s="572"/>
      <c r="F7" s="573"/>
      <c r="G7" s="574"/>
      <c r="H7" s="574"/>
      <c r="I7" s="574"/>
      <c r="J7" s="762"/>
      <c r="K7" s="761"/>
      <c r="L7" s="755" t="s">
        <v>1707</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1708</v>
      </c>
      <c r="X7" s="851" t="str">
        <f>G2</f>
        <v>五级</v>
      </c>
      <c r="Y7" s="851" t="s">
        <v>1709</v>
      </c>
      <c r="Z7" s="861">
        <f>G3</f>
        <v>2.5</v>
      </c>
      <c r="AA7" s="846"/>
      <c r="AB7" s="846"/>
      <c r="AC7" s="857"/>
      <c r="AD7" s="858"/>
      <c r="AE7" s="858"/>
      <c r="AF7" s="858"/>
      <c r="AG7" s="858"/>
      <c r="AH7" s="858"/>
      <c r="AI7" s="858"/>
      <c r="AJ7" s="867"/>
    </row>
    <row r="8" spans="1:36" ht="25.5">
      <c r="A8" s="575"/>
      <c r="B8" s="555" t="s">
        <v>1710</v>
      </c>
      <c r="C8" s="576" t="s">
        <v>1711</v>
      </c>
      <c r="D8" s="577" t="s">
        <v>1712</v>
      </c>
      <c r="E8" s="578" t="e">
        <f>ROUND(C11/E7,4)</f>
        <v>#DIV/0!</v>
      </c>
      <c r="F8" s="579" t="s">
        <v>1713</v>
      </c>
      <c r="G8" s="580"/>
      <c r="H8" s="580"/>
      <c r="I8" s="580"/>
      <c r="J8" s="763"/>
      <c r="K8" s="539"/>
      <c r="L8" s="755" t="s">
        <v>1714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1715</v>
      </c>
      <c r="X8" s="3733"/>
      <c r="Y8" s="862" t="s">
        <v>1716</v>
      </c>
      <c r="Z8" s="862" t="s">
        <v>1717</v>
      </c>
      <c r="AA8" s="862" t="s">
        <v>1718</v>
      </c>
      <c r="AB8" s="862" t="s">
        <v>1719</v>
      </c>
      <c r="AC8" s="862" t="s">
        <v>1720</v>
      </c>
      <c r="AD8" s="862" t="s">
        <v>1721</v>
      </c>
      <c r="AE8" s="862" t="s">
        <v>1722</v>
      </c>
      <c r="AF8" s="862" t="s">
        <v>1723</v>
      </c>
      <c r="AG8" s="862" t="s">
        <v>1724</v>
      </c>
      <c r="AH8" s="862" t="s">
        <v>1725</v>
      </c>
      <c r="AI8" s="862" t="s">
        <v>1726</v>
      </c>
      <c r="AJ8" s="862" t="s">
        <v>1727</v>
      </c>
    </row>
    <row r="9" spans="1:36" ht="15">
      <c r="A9" s="575"/>
      <c r="B9" s="555" t="s">
        <v>1728</v>
      </c>
      <c r="C9" s="581">
        <f>SUMIF(修正!C71:C138,C8,修正!E71:E138)</f>
        <v>0</v>
      </c>
      <c r="D9" s="582" t="s">
        <v>1729</v>
      </c>
      <c r="E9" s="582" t="e">
        <f>ROUND(C11/E7,4)</f>
        <v>#DIV/0!</v>
      </c>
      <c r="F9" s="579" t="s">
        <v>1730</v>
      </c>
      <c r="G9" s="580"/>
      <c r="H9" s="580"/>
      <c r="I9" s="580"/>
      <c r="J9" s="763"/>
      <c r="K9" s="539"/>
      <c r="L9" s="755" t="s">
        <v>1731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1732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1733</v>
      </c>
      <c r="C10" s="582">
        <f>SUMIF(修正!C71:C138,C8,修正!F71:F138)</f>
        <v>0</v>
      </c>
      <c r="D10" s="582" t="s">
        <v>1734</v>
      </c>
      <c r="E10" s="582" t="e">
        <f>ROUND(C11/E7,4)</f>
        <v>#DIV/0!</v>
      </c>
      <c r="F10" s="579" t="s">
        <v>1735</v>
      </c>
      <c r="G10" s="580"/>
      <c r="H10" s="580"/>
      <c r="I10" s="580"/>
      <c r="J10" s="763"/>
      <c r="K10" s="539"/>
      <c r="L10" s="755" t="s">
        <v>1736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1737</v>
      </c>
      <c r="C11" s="585">
        <f>C10/4</f>
        <v>0</v>
      </c>
      <c r="D11" s="585" t="s">
        <v>1738</v>
      </c>
      <c r="E11" s="585" t="e">
        <f>ROUND(C11/E7,4)</f>
        <v>#DIV/0!</v>
      </c>
      <c r="F11" s="586" t="s">
        <v>1739</v>
      </c>
      <c r="G11" s="587"/>
      <c r="H11" s="587"/>
      <c r="I11" s="587"/>
      <c r="J11" s="764"/>
      <c r="K11" s="539"/>
      <c r="L11" s="755" t="s">
        <v>1740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1741</v>
      </c>
      <c r="B12" s="588" t="s">
        <v>1742</v>
      </c>
      <c r="C12" s="589">
        <v>1</v>
      </c>
      <c r="D12" s="590" t="s">
        <v>1743</v>
      </c>
      <c r="E12" s="591" t="s">
        <v>1744</v>
      </c>
      <c r="F12" s="592"/>
      <c r="G12" s="593"/>
      <c r="H12" s="593"/>
      <c r="I12" s="593"/>
      <c r="J12" s="765"/>
      <c r="K12" s="539"/>
      <c r="L12" s="766" t="s">
        <v>1745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1746</v>
      </c>
      <c r="B13" s="594" t="s">
        <v>1747</v>
      </c>
      <c r="C13" s="570">
        <f>ROUND(C16*D16*E16*F16*G16*H16*I16*J16,4)</f>
        <v>0</v>
      </c>
      <c r="D13" s="595" t="s">
        <v>1748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1749</v>
      </c>
      <c r="C14" s="600" t="s">
        <v>1750</v>
      </c>
      <c r="D14" s="601" t="s">
        <v>1751</v>
      </c>
      <c r="E14" s="602" t="s">
        <v>1752</v>
      </c>
      <c r="F14" s="603" t="s">
        <v>1753</v>
      </c>
      <c r="G14" s="603" t="s">
        <v>1753</v>
      </c>
      <c r="H14" s="603" t="s">
        <v>1753</v>
      </c>
      <c r="I14" s="603" t="s">
        <v>1753</v>
      </c>
      <c r="J14" s="603" t="s">
        <v>1753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1656</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1755</v>
      </c>
      <c r="B17" s="614" t="s">
        <v>1756</v>
      </c>
      <c r="C17" s="615">
        <f>ROUND(IF(OR(E2="工业",E2="公共服务"),1,IF(AND(E18=0,E19=0),1,IF(AND(E18=J24,E19=G19),0.8,IF(E19=0,1+E17*(-0.2),1+E17*G17*(-0.2))))),4)</f>
        <v>1</v>
      </c>
      <c r="D17" s="616" t="s">
        <v>1757</v>
      </c>
      <c r="E17" s="615">
        <f>ROUND(G18/I18,2)</f>
        <v>0</v>
      </c>
      <c r="F17" s="616" t="s">
        <v>1758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1759</v>
      </c>
      <c r="E18" s="621"/>
      <c r="F18" s="622" t="s">
        <v>1760</v>
      </c>
      <c r="G18" s="619">
        <f>ROUND(1-(1/(POWER(1+G24,E18))),4)</f>
        <v>0</v>
      </c>
      <c r="H18" s="622" t="s">
        <v>1761</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1762</v>
      </c>
      <c r="E19" s="626"/>
      <c r="F19" s="627" t="s">
        <v>1763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1764</v>
      </c>
      <c r="B20" s="628" t="s">
        <v>1765</v>
      </c>
      <c r="C20" s="629">
        <f>ROUND(IF(F21="与级别开发程度一致",0,(G21-E21)/C21),0)</f>
        <v>0</v>
      </c>
      <c r="D20" s="630" t="s">
        <v>1766</v>
      </c>
      <c r="E20" s="631"/>
      <c r="F20" s="3734" t="s">
        <v>1767</v>
      </c>
      <c r="G20" s="3735"/>
      <c r="H20" s="632" t="s">
        <v>342</v>
      </c>
      <c r="I20" s="632" t="s">
        <v>343</v>
      </c>
      <c r="J20" s="778" t="s">
        <v>344</v>
      </c>
      <c r="K20" s="779" t="s">
        <v>345</v>
      </c>
      <c r="L20" s="779" t="s">
        <v>346</v>
      </c>
      <c r="M20" s="779" t="s">
        <v>347</v>
      </c>
      <c r="N20" s="779" t="s">
        <v>1889</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1768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906</v>
      </c>
      <c r="B22" s="640" t="s">
        <v>1769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911</v>
      </c>
      <c r="B23" s="645" t="s">
        <v>1770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1771</v>
      </c>
      <c r="E23" s="648">
        <v>44197</v>
      </c>
      <c r="F23" s="647" t="s">
        <v>1772</v>
      </c>
      <c r="G23" s="649">
        <f>'数据-取费表'!B2</f>
        <v>45078</v>
      </c>
      <c r="H23" s="650" t="s">
        <v>1773</v>
      </c>
      <c r="I23" s="787" t="str">
        <f>IF(H23="季度增幅（自定义）",SUMIF(N25:N28,E2,O25:O28),"")</f>
        <v/>
      </c>
      <c r="J23" s="788" t="s">
        <v>1774</v>
      </c>
      <c r="K23" s="784"/>
      <c r="L23" s="789" t="s">
        <v>1775</v>
      </c>
      <c r="M23" s="790">
        <f>ROUND(SUMIF(地价!B2:G2,E2,地价!B16:G16),0)</f>
        <v>350</v>
      </c>
      <c r="N23" s="791" t="s">
        <v>1776</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914</v>
      </c>
      <c r="B24" s="652" t="s">
        <v>1777</v>
      </c>
      <c r="C24" s="653">
        <f>ROUND(POWER(1+G24,J24-I24)*(POWER(1+G24,I24)-1)/(POWER(1+G24,J24)-1),4)</f>
        <v>0.82079999999999997</v>
      </c>
      <c r="D24" s="654" t="s">
        <v>1778</v>
      </c>
      <c r="E24" s="655">
        <f>存贷款利率!E22/100</f>
        <v>4.3499999999999997E-2</v>
      </c>
      <c r="F24" s="654" t="s">
        <v>1779</v>
      </c>
      <c r="G24" s="656">
        <f>SUMIF(M30:Q30,E2,M33:Q33)</f>
        <v>5.5E-2</v>
      </c>
      <c r="H24" s="654" t="s">
        <v>1780</v>
      </c>
      <c r="I24" s="794">
        <f>SUMIF('数据-取费表'!C6:C15,E2,'数据-取费表'!F6:F15)/COUNTIF('数据-取费表'!C6:C15,E2)</f>
        <v>27</v>
      </c>
      <c r="J24" s="795">
        <f>IF(E2="住宅",70,IF(E2="商业",40,50))</f>
        <v>50</v>
      </c>
      <c r="K24" s="784"/>
      <c r="L24" s="796" t="s">
        <v>1781</v>
      </c>
      <c r="M24" s="797">
        <f>ROUND(SUMPRODUCT((地价!A4:A16=YEAR(G23)&amp;"-"&amp;ROUNDUP(MONTH(G23)/3,0))*(地价!B2:G2=E2)*(地价!B4:G16)),0)</f>
        <v>0</v>
      </c>
      <c r="N24" s="798" t="s">
        <v>1782</v>
      </c>
      <c r="O24" s="799" t="s">
        <v>1783</v>
      </c>
      <c r="P24" s="800" t="s">
        <v>1784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1785</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1787</v>
      </c>
      <c r="B26" s="662" t="s">
        <v>1788</v>
      </c>
      <c r="C26" s="663" t="s">
        <v>1789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1792</v>
      </c>
      <c r="B27" s="665" t="s">
        <v>1793</v>
      </c>
      <c r="C27" s="666">
        <f>ROUND(IF(I3&lt;6,SUMPRODUCT((B106:B110=I3)*(C105:N105=G2)*(C106:N110)),SUMIF(C105:N105,G2,C112:N112)),4)</f>
        <v>0</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1795</v>
      </c>
      <c r="B28" s="645" t="s">
        <v>1796</v>
      </c>
      <c r="C28" s="646">
        <f>SUMIF(A47:A101,E2,B47:B101)</f>
        <v>1.0385</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1801</v>
      </c>
      <c r="C30" s="677">
        <f>IF(B25="容积率修正",E33+SUM(E37:E42),SUM(V2:V16)+SUM(E37:E42))</f>
        <v>22997</v>
      </c>
      <c r="D30" s="678"/>
      <c r="E30" s="667"/>
      <c r="F30" s="679"/>
      <c r="G30" s="667"/>
      <c r="H30" s="667"/>
      <c r="I30" s="667"/>
      <c r="J30" s="815"/>
      <c r="K30" s="539"/>
      <c r="L30" s="816" t="s">
        <v>1689</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1806</v>
      </c>
      <c r="C31" s="681">
        <f>E34+SUM(I37:I42)</f>
        <v>223</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1808</v>
      </c>
      <c r="C32" s="687" t="s">
        <v>1809</v>
      </c>
      <c r="D32" s="687" t="s">
        <v>561</v>
      </c>
      <c r="E32" s="688" t="s">
        <v>1810</v>
      </c>
      <c r="F32" s="689"/>
      <c r="G32" s="597"/>
      <c r="H32" s="597"/>
      <c r="I32" s="597"/>
      <c r="J32" s="768"/>
      <c r="K32" s="539"/>
      <c r="L32" s="820" t="s">
        <v>1779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1811</v>
      </c>
      <c r="C33" s="692">
        <f>ROUND(C5*C22*C23*C24*C25*C28,0)</f>
        <v>12663</v>
      </c>
      <c r="D33" s="693">
        <f>'数据-基础表'!I13</f>
        <v>17455.670000000002</v>
      </c>
      <c r="E33" s="694">
        <f>ROUND(C33*D33/10000,0)</f>
        <v>22104</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1814</v>
      </c>
      <c r="C34" s="635">
        <f>ROUND(IF(E2="工业",C33*M42,IF(B25="楼层修正",SUM(V2:V16)*M41*10000/D34,C33*M41)),0)</f>
        <v>3166</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1809</v>
      </c>
      <c r="D36" s="708" t="s">
        <v>561</v>
      </c>
      <c r="E36" s="708" t="s">
        <v>1810</v>
      </c>
      <c r="F36" s="546" t="s">
        <v>1819</v>
      </c>
      <c r="G36" s="709" t="s">
        <v>1809</v>
      </c>
      <c r="H36" s="709" t="s">
        <v>561</v>
      </c>
      <c r="I36" s="709" t="s">
        <v>1810</v>
      </c>
      <c r="J36" s="429"/>
      <c r="K36" s="827" t="s">
        <v>1820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1821</v>
      </c>
      <c r="C37" s="692">
        <f>ROUND(D5*C22*C23*C24*C28*F37,0)</f>
        <v>7598</v>
      </c>
      <c r="D37" s="693"/>
      <c r="E37" s="582">
        <f>ROUND(C37*D37/10000,0)</f>
        <v>0</v>
      </c>
      <c r="F37" s="582">
        <f>SUMIF(修正!A57:A68,G2,修正!B57:B68)</f>
        <v>0.6</v>
      </c>
      <c r="G37" s="582">
        <f>ROUND(IF(E2="工业",C37*$M$42,C37*$M$41),0)</f>
        <v>1900</v>
      </c>
      <c r="H37" s="582">
        <f>D37</f>
        <v>0</v>
      </c>
      <c r="I37" s="582">
        <f>ROUND(G37*H37/10000,0)</f>
        <v>0</v>
      </c>
      <c r="J37" s="830"/>
      <c r="K37" s="831" t="s">
        <v>1822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1823</v>
      </c>
      <c r="C38" s="692">
        <f>ROUND(D5*C22*C23*C24*C28*F38,0)</f>
        <v>3799</v>
      </c>
      <c r="D38" s="693"/>
      <c r="E38" s="582">
        <f t="shared" ref="E38:E42" si="4">ROUND(C38*D38/10000,0)</f>
        <v>0</v>
      </c>
      <c r="F38" s="582">
        <f>SUMIF(修正!A57:A68,G2,修正!C57:C68)</f>
        <v>0.3</v>
      </c>
      <c r="G38" s="582">
        <f>ROUND(IF(E2="工业",C38*$M$42,C38*$M$41),0)</f>
        <v>950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1824</v>
      </c>
      <c r="C39" s="692">
        <f>ROUND(D5*C22*C23*C24*C28*F39,0)</f>
        <v>3166</v>
      </c>
      <c r="D39" s="693"/>
      <c r="E39" s="582">
        <f t="shared" si="4"/>
        <v>0</v>
      </c>
      <c r="F39" s="582">
        <f>SUMIF(修正!A57:A68,G2,修正!D57:D68)</f>
        <v>0.25</v>
      </c>
      <c r="G39" s="582">
        <f>ROUND(IF(E2="工业",C39*$M$42,C39*$M$41),0)</f>
        <v>792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3166</v>
      </c>
      <c r="D40" s="693">
        <f>'数据-基础表'!K13</f>
        <v>2820.8199999999997</v>
      </c>
      <c r="E40" s="582">
        <f t="shared" si="4"/>
        <v>893</v>
      </c>
      <c r="F40" s="692">
        <f>SUMIF(修正!A57:A68,G2,修正!E57:E68)</f>
        <v>0.25</v>
      </c>
      <c r="G40" s="582">
        <f>ROUND(IF(E2="工业",C40*$M$42,C40*$M$41),0)</f>
        <v>792</v>
      </c>
      <c r="H40" s="582">
        <f t="shared" si="5"/>
        <v>2820.8199999999997</v>
      </c>
      <c r="I40" s="582">
        <f t="shared" si="6"/>
        <v>223</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1830</v>
      </c>
      <c r="C44" s="546">
        <f>ROUND(POWER(1+E44,H44-G44)*(POWER(1+E44,G44)-1)/(POWER(1+E44,H44)-1),4)</f>
        <v>0</v>
      </c>
      <c r="D44" s="582" t="s">
        <v>1779</v>
      </c>
      <c r="E44" s="717">
        <f>G24</f>
        <v>5.5E-2</v>
      </c>
      <c r="F44" s="582" t="s">
        <v>1780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1833</v>
      </c>
      <c r="B49" s="731" t="s">
        <v>1834</v>
      </c>
      <c r="C49" s="731" t="s">
        <v>1835</v>
      </c>
      <c r="D49" s="731" t="s">
        <v>1836</v>
      </c>
      <c r="E49" s="732" t="s">
        <v>1837</v>
      </c>
      <c r="F49" s="733" t="s">
        <v>1838</v>
      </c>
      <c r="G49" s="731" t="s">
        <v>1656</v>
      </c>
      <c r="H49" s="734" t="s">
        <v>1839</v>
      </c>
      <c r="I49" s="731" t="s">
        <v>1840</v>
      </c>
      <c r="J49" s="841" t="s">
        <v>1056</v>
      </c>
      <c r="K49" s="841" t="s">
        <v>1057</v>
      </c>
      <c r="L49" s="841" t="s">
        <v>1058</v>
      </c>
      <c r="M49" s="841" t="s">
        <v>1059</v>
      </c>
      <c r="N49" s="841" t="s">
        <v>1060</v>
      </c>
      <c r="AA49" s="715"/>
      <c r="AB49" s="715"/>
      <c r="AC49" s="715"/>
      <c r="AD49" s="715"/>
      <c r="AE49" s="715"/>
      <c r="AF49" s="715"/>
      <c r="AG49" s="715"/>
      <c r="AH49" s="715"/>
      <c r="AI49" s="715"/>
      <c r="AJ49" s="715"/>
      <c r="AK49" s="715"/>
    </row>
    <row r="50" spans="1:37" s="539" customFormat="1" ht="38.25">
      <c r="A50" s="730" t="s">
        <v>1841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1844</v>
      </c>
      <c r="B53" s="744" t="s">
        <v>1845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1847</v>
      </c>
      <c r="B55" s="745" t="s">
        <v>1848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1852</v>
      </c>
      <c r="B59" s="725">
        <f>1+E61</f>
        <v>1.0385</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1833</v>
      </c>
      <c r="B60" s="731"/>
      <c r="C60" s="731" t="s">
        <v>1835</v>
      </c>
      <c r="D60" s="731" t="s">
        <v>1836</v>
      </c>
      <c r="E60" s="732" t="s">
        <v>1837</v>
      </c>
      <c r="F60" s="733" t="s">
        <v>1853</v>
      </c>
      <c r="G60" s="731" t="s">
        <v>1656</v>
      </c>
      <c r="H60" s="734" t="s">
        <v>1839</v>
      </c>
      <c r="I60" s="731" t="s">
        <v>1840</v>
      </c>
      <c r="J60" s="841" t="s">
        <v>1056</v>
      </c>
      <c r="K60" s="841" t="s">
        <v>1057</v>
      </c>
      <c r="L60" s="841" t="s">
        <v>1058</v>
      </c>
      <c r="M60" s="841" t="s">
        <v>1059</v>
      </c>
      <c r="N60" s="841" t="s">
        <v>1060</v>
      </c>
      <c r="AA60" s="715"/>
      <c r="AB60" s="715"/>
      <c r="AC60" s="715"/>
      <c r="AD60" s="715"/>
      <c r="AE60" s="715"/>
      <c r="AF60" s="715"/>
      <c r="AG60" s="715"/>
      <c r="AH60" s="715"/>
      <c r="AI60" s="715"/>
      <c r="AJ60" s="715"/>
      <c r="AK60" s="715"/>
    </row>
    <row r="61" spans="1:37" s="539" customFormat="1" ht="38.25">
      <c r="A61" s="730" t="s">
        <v>1854</v>
      </c>
      <c r="B61" s="735" t="str">
        <f>估价对象房地状况!C17</f>
        <v>估价对象位于XX商圈，周边办公楼项目较多，入驻率高，办公集聚程度较好</v>
      </c>
      <c r="C61" s="606" t="s">
        <v>1855</v>
      </c>
      <c r="D61" s="736">
        <f t="shared" ref="D61:D69" si="12">SUMIF($J$60:$N$60,C61,J61:N61)</f>
        <v>0</v>
      </c>
      <c r="E61" s="737">
        <f>ROUND(SUM(D61:D69),4)</f>
        <v>3.85E-2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38.25">
      <c r="A62" s="730" t="s">
        <v>1842</v>
      </c>
      <c r="B62" s="741" t="str">
        <f>估价对象房地状况!C18</f>
        <v>估价对象周边道路状况、公共交通通达情况、停车便捷程度，综合评价交通便捷度较好</v>
      </c>
      <c r="C62" s="606" t="s">
        <v>1856</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36">
      <c r="A63" s="743" t="s">
        <v>1843</v>
      </c>
      <c r="B63" s="741">
        <f>估价对象房地状况!C19</f>
        <v>0</v>
      </c>
      <c r="C63" s="606" t="s">
        <v>1856</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6.75">
      <c r="A64" s="730" t="s">
        <v>1844</v>
      </c>
      <c r="B64" s="744" t="s">
        <v>1845</v>
      </c>
      <c r="C64" s="606" t="s">
        <v>1856</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1846</v>
      </c>
      <c r="B65" s="741">
        <f>估价对象房地状况!C24</f>
        <v>0</v>
      </c>
      <c r="C65" s="606" t="s">
        <v>1856</v>
      </c>
      <c r="D65" s="736">
        <f t="shared" si="12"/>
        <v>2.5000000000000001E-3</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24">
      <c r="A66" s="730" t="s">
        <v>1847</v>
      </c>
      <c r="B66" s="745" t="s">
        <v>1848</v>
      </c>
      <c r="C66" s="606" t="s">
        <v>1856</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5.5">
      <c r="A67" s="730" t="s">
        <v>1849</v>
      </c>
      <c r="B67" s="747" t="str">
        <f>估价对象房地状况!C21</f>
        <v>估价对象所在区域公共配套设施齐备情况</v>
      </c>
      <c r="C67" s="606" t="s">
        <v>1856</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5.5">
      <c r="A68" s="730" t="s">
        <v>1850</v>
      </c>
      <c r="B68" s="747" t="str">
        <f>估价对象房地状况!C22</f>
        <v>估价对象所在区域基础设施水平</v>
      </c>
      <c r="C68" s="606" t="s">
        <v>1857</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25.5">
      <c r="A69" s="748" t="s">
        <v>1851</v>
      </c>
      <c r="B69" s="874" t="str">
        <f>估价对象房地状况!C20</f>
        <v>区域自然环境：；人文环境；综合评价环境状况一般</v>
      </c>
      <c r="C69" s="606" t="s">
        <v>1855</v>
      </c>
      <c r="D69" s="736">
        <f t="shared" si="12"/>
        <v>0</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5">
      <c r="A70" s="724" t="s">
        <v>1858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1833</v>
      </c>
      <c r="B71" s="731"/>
      <c r="C71" s="731" t="s">
        <v>1835</v>
      </c>
      <c r="D71" s="731" t="s">
        <v>1836</v>
      </c>
      <c r="E71" s="732" t="s">
        <v>1837</v>
      </c>
      <c r="F71" s="733" t="s">
        <v>1853</v>
      </c>
      <c r="G71" s="731" t="s">
        <v>1656</v>
      </c>
      <c r="H71" s="734" t="s">
        <v>1839</v>
      </c>
      <c r="I71" s="731" t="s">
        <v>1840</v>
      </c>
      <c r="J71" s="841" t="s">
        <v>1056</v>
      </c>
      <c r="K71" s="841" t="s">
        <v>1057</v>
      </c>
      <c r="L71" s="841" t="s">
        <v>1058</v>
      </c>
      <c r="M71" s="841" t="s">
        <v>1059</v>
      </c>
      <c r="N71" s="841" t="s">
        <v>1060</v>
      </c>
      <c r="AA71" s="715"/>
      <c r="AB71" s="715"/>
      <c r="AC71" s="715"/>
      <c r="AD71" s="715"/>
      <c r="AE71" s="715"/>
      <c r="AF71" s="715"/>
      <c r="AG71" s="715"/>
      <c r="AH71" s="715"/>
      <c r="AI71" s="715"/>
      <c r="AJ71" s="715"/>
      <c r="AK71" s="715"/>
    </row>
    <row r="72" spans="1:37" s="539" customFormat="1" ht="51">
      <c r="A72" s="730" t="s">
        <v>1859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1862</v>
      </c>
      <c r="B81" s="725">
        <f>1+E83</f>
        <v>1</v>
      </c>
      <c r="C81" s="727"/>
      <c r="D81" s="727"/>
      <c r="E81" s="728"/>
      <c r="F81" s="729"/>
      <c r="G81" s="723"/>
      <c r="H81" s="723"/>
      <c r="I81" s="723"/>
      <c r="J81" s="722"/>
      <c r="K81" s="722"/>
      <c r="L81" s="722"/>
      <c r="M81" s="722"/>
      <c r="N81" s="722"/>
      <c r="Z81" s="543"/>
      <c r="AA81" s="541"/>
      <c r="AG81" s="545"/>
      <c r="AK81" s="541"/>
    </row>
    <row r="82" spans="1:37" ht="24.75">
      <c r="A82" s="730" t="s">
        <v>1833</v>
      </c>
      <c r="B82" s="731"/>
      <c r="C82" s="731" t="s">
        <v>1835</v>
      </c>
      <c r="D82" s="731" t="s">
        <v>1836</v>
      </c>
      <c r="E82" s="732" t="s">
        <v>1837</v>
      </c>
      <c r="F82" s="733" t="s">
        <v>1853</v>
      </c>
      <c r="G82" s="731" t="s">
        <v>1656</v>
      </c>
      <c r="H82" s="734" t="s">
        <v>1839</v>
      </c>
      <c r="I82" s="731" t="s">
        <v>1840</v>
      </c>
      <c r="J82" s="841" t="s">
        <v>1056</v>
      </c>
      <c r="K82" s="841" t="s">
        <v>1057</v>
      </c>
      <c r="L82" s="841" t="s">
        <v>1058</v>
      </c>
      <c r="M82" s="841" t="s">
        <v>1059</v>
      </c>
      <c r="N82" s="841" t="s">
        <v>1060</v>
      </c>
      <c r="Z82" s="543"/>
      <c r="AA82" s="541"/>
      <c r="AG82" s="545"/>
      <c r="AK82" s="541"/>
    </row>
    <row r="83" spans="1:37" ht="38.25">
      <c r="A83" s="730" t="s">
        <v>1863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1847</v>
      </c>
      <c r="B89" s="745" t="s">
        <v>1864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1833</v>
      </c>
      <c r="B92" s="886"/>
      <c r="C92" s="886" t="s">
        <v>1835</v>
      </c>
      <c r="D92" s="886" t="s">
        <v>1836</v>
      </c>
      <c r="E92" s="855" t="s">
        <v>1837</v>
      </c>
      <c r="F92" s="887" t="s">
        <v>1853</v>
      </c>
      <c r="G92" s="886" t="s">
        <v>1656</v>
      </c>
      <c r="H92" s="888" t="s">
        <v>1839</v>
      </c>
      <c r="I92" s="886" t="s">
        <v>1840</v>
      </c>
      <c r="J92" s="921" t="s">
        <v>1056</v>
      </c>
      <c r="K92" s="921" t="s">
        <v>1057</v>
      </c>
      <c r="L92" s="921" t="s">
        <v>1058</v>
      </c>
      <c r="M92" s="921" t="s">
        <v>1059</v>
      </c>
      <c r="N92" s="921" t="s">
        <v>1060</v>
      </c>
    </row>
    <row r="93" spans="1:37" ht="24">
      <c r="A93" s="743" t="s">
        <v>1866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1867</v>
      </c>
      <c r="B103" s="3736"/>
      <c r="C103" s="3736"/>
      <c r="D103" s="3736"/>
      <c r="E103" s="3736"/>
      <c r="F103" s="3736"/>
      <c r="G103" s="3736"/>
      <c r="H103" s="3736"/>
      <c r="I103" s="3736"/>
      <c r="J103" s="3736"/>
      <c r="K103" s="899"/>
      <c r="L103" s="899"/>
      <c r="M103" s="899"/>
      <c r="N103" s="899"/>
    </row>
    <row r="104" spans="1:14">
      <c r="A104" s="3742" t="s">
        <v>1868</v>
      </c>
      <c r="B104" s="3742" t="s">
        <v>1869</v>
      </c>
      <c r="C104" s="901" t="s">
        <v>1870</v>
      </c>
      <c r="D104" s="902"/>
      <c r="E104" s="902"/>
      <c r="F104" s="902"/>
      <c r="G104" s="902"/>
      <c r="H104" s="902"/>
      <c r="I104" s="902"/>
      <c r="J104" s="922"/>
      <c r="K104" s="923"/>
      <c r="L104" s="923"/>
      <c r="M104" s="923"/>
      <c r="N104" s="923"/>
    </row>
    <row r="105" spans="1:14">
      <c r="A105" s="3742"/>
      <c r="B105" s="3742"/>
      <c r="C105" s="900" t="s">
        <v>1716</v>
      </c>
      <c r="D105" s="900" t="s">
        <v>1717</v>
      </c>
      <c r="E105" s="900" t="s">
        <v>1718</v>
      </c>
      <c r="F105" s="900" t="s">
        <v>1719</v>
      </c>
      <c r="G105" s="900" t="s">
        <v>1720</v>
      </c>
      <c r="H105" s="900" t="s">
        <v>1721</v>
      </c>
      <c r="I105" s="900" t="s">
        <v>1722</v>
      </c>
      <c r="J105" s="900" t="s">
        <v>1723</v>
      </c>
      <c r="K105" s="900" t="s">
        <v>1724</v>
      </c>
      <c r="L105" s="900" t="s">
        <v>1725</v>
      </c>
      <c r="M105" s="900" t="s">
        <v>1726</v>
      </c>
      <c r="N105" s="900" t="s">
        <v>1727</v>
      </c>
    </row>
    <row r="106" spans="1:14">
      <c r="A106" s="3743"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1732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1872</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1873</v>
      </c>
      <c r="B116" s="907">
        <f>G3</f>
        <v>2.5</v>
      </c>
      <c r="C116" s="908" t="s">
        <v>1874</v>
      </c>
      <c r="D116" s="909">
        <f>SUMPRODUCT((A118:A122=F116)*(B117:M117=H116)*B118:M122)</f>
        <v>0.90600000000000003</v>
      </c>
      <c r="E116" s="549" t="s">
        <v>1689</v>
      </c>
      <c r="F116" s="910" t="str">
        <f>E2</f>
        <v>办公</v>
      </c>
      <c r="G116" s="549" t="s">
        <v>1690</v>
      </c>
      <c r="H116" s="910" t="str">
        <f>G2</f>
        <v>五级</v>
      </c>
      <c r="I116" s="549"/>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1803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1804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1887</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1891</v>
      </c>
      <c r="B18" s="499"/>
      <c r="C18" s="500"/>
      <c r="D18" s="500"/>
      <c r="E18" s="499"/>
      <c r="F18" s="500"/>
      <c r="G18" s="500"/>
    </row>
    <row r="19" spans="1:13" ht="19.5" customHeight="1">
      <c r="A19" s="498" t="s">
        <v>1892</v>
      </c>
      <c r="B19" s="501" t="s">
        <v>1893</v>
      </c>
      <c r="C19" s="501" t="s">
        <v>1894</v>
      </c>
      <c r="D19" s="502"/>
      <c r="E19" s="498" t="s">
        <v>1895</v>
      </c>
      <c r="F19" s="503"/>
      <c r="G19" s="503"/>
    </row>
    <row r="20" spans="1:13" ht="19.5" customHeight="1">
      <c r="A20" s="3747" t="s">
        <v>1887</v>
      </c>
      <c r="B20" s="3753" t="s">
        <v>1896</v>
      </c>
      <c r="C20" s="504" t="s">
        <v>1897</v>
      </c>
      <c r="D20" s="505"/>
      <c r="E20" s="506">
        <v>1</v>
      </c>
      <c r="F20" s="507" t="s">
        <v>1898</v>
      </c>
      <c r="G20" s="507"/>
    </row>
    <row r="21" spans="1:13" ht="19.5" customHeight="1">
      <c r="A21" s="3748"/>
      <c r="B21" s="3754"/>
      <c r="C21" s="508" t="s">
        <v>1899</v>
      </c>
      <c r="D21" s="509"/>
      <c r="E21" s="510">
        <v>1</v>
      </c>
      <c r="F21" s="507" t="s">
        <v>1900</v>
      </c>
      <c r="G21" s="507"/>
    </row>
    <row r="22" spans="1:13" ht="19.5" customHeight="1">
      <c r="A22" s="3748"/>
      <c r="B22" s="3754"/>
      <c r="C22" s="508" t="s">
        <v>1901</v>
      </c>
      <c r="D22" s="509"/>
      <c r="E22" s="510">
        <v>0.9</v>
      </c>
      <c r="F22" s="507" t="s">
        <v>1902</v>
      </c>
      <c r="G22" s="507"/>
    </row>
    <row r="23" spans="1:13" ht="19.5" customHeight="1">
      <c r="A23" s="3748"/>
      <c r="B23" s="3754"/>
      <c r="C23" s="508" t="s">
        <v>1903</v>
      </c>
      <c r="D23" s="509"/>
      <c r="E23" s="510">
        <v>0.9</v>
      </c>
      <c r="F23" s="507" t="s">
        <v>1904</v>
      </c>
      <c r="G23" s="507"/>
    </row>
    <row r="24" spans="1:13" ht="19.5" customHeight="1">
      <c r="A24" s="3748"/>
      <c r="B24" s="3754"/>
      <c r="C24" s="508" t="s">
        <v>1905</v>
      </c>
      <c r="D24" s="509"/>
      <c r="E24" s="510">
        <v>0.8</v>
      </c>
      <c r="F24" s="507" t="s">
        <v>1906</v>
      </c>
      <c r="G24" s="507"/>
    </row>
    <row r="25" spans="1:13" ht="19.5" customHeight="1">
      <c r="A25" s="3749"/>
      <c r="B25" s="3755"/>
      <c r="C25" s="511" t="s">
        <v>1907</v>
      </c>
      <c r="D25" s="512"/>
      <c r="E25" s="513">
        <v>0.8</v>
      </c>
      <c r="F25" s="507" t="s">
        <v>1908</v>
      </c>
      <c r="G25" s="507"/>
    </row>
    <row r="26" spans="1:13" ht="19.5" customHeight="1">
      <c r="A26" s="514" t="s">
        <v>548</v>
      </c>
      <c r="B26" s="515" t="s">
        <v>1896</v>
      </c>
      <c r="C26" s="516" t="s">
        <v>1694</v>
      </c>
      <c r="D26" s="517"/>
      <c r="E26" s="518">
        <v>1</v>
      </c>
      <c r="F26" s="507" t="s">
        <v>1909</v>
      </c>
      <c r="G26" s="507"/>
    </row>
    <row r="27" spans="1:13" ht="19.5" customHeight="1">
      <c r="A27" s="3750" t="s">
        <v>280</v>
      </c>
      <c r="B27" s="3753" t="s">
        <v>280</v>
      </c>
      <c r="C27" s="504" t="s">
        <v>1910</v>
      </c>
      <c r="D27" s="505"/>
      <c r="E27" s="506">
        <v>1</v>
      </c>
      <c r="F27" s="507" t="s">
        <v>1911</v>
      </c>
      <c r="G27" s="507"/>
    </row>
    <row r="28" spans="1:13" ht="19.5" customHeight="1">
      <c r="A28" s="3751"/>
      <c r="B28" s="3754"/>
      <c r="C28" s="508" t="s">
        <v>1912</v>
      </c>
      <c r="D28" s="509"/>
      <c r="E28" s="510">
        <v>1</v>
      </c>
      <c r="F28" s="507" t="s">
        <v>1913</v>
      </c>
      <c r="G28" s="507"/>
    </row>
    <row r="29" spans="1:13" ht="19.5" customHeight="1">
      <c r="A29" s="3751"/>
      <c r="B29" s="3754"/>
      <c r="C29" s="508" t="s">
        <v>1914</v>
      </c>
      <c r="D29" s="509"/>
      <c r="E29" s="510">
        <v>0.8</v>
      </c>
      <c r="F29" s="507" t="s">
        <v>1915</v>
      </c>
      <c r="G29" s="507"/>
    </row>
    <row r="30" spans="1:13" ht="19.5" customHeight="1">
      <c r="A30" s="3751"/>
      <c r="B30" s="3754"/>
      <c r="C30" s="508" t="s">
        <v>1916</v>
      </c>
      <c r="D30" s="509"/>
      <c r="E30" s="510">
        <v>0.8</v>
      </c>
      <c r="F30" s="507" t="s">
        <v>1917</v>
      </c>
      <c r="G30" s="507"/>
    </row>
    <row r="31" spans="1:13" ht="19.5" customHeight="1">
      <c r="A31" s="3751"/>
      <c r="B31" s="3754"/>
      <c r="C31" s="508" t="s">
        <v>1918</v>
      </c>
      <c r="D31" s="509"/>
      <c r="E31" s="510">
        <v>0.8</v>
      </c>
      <c r="F31" s="507" t="s">
        <v>1919</v>
      </c>
      <c r="G31" s="507"/>
    </row>
    <row r="32" spans="1:13" ht="19.5" customHeight="1">
      <c r="A32" s="3751"/>
      <c r="B32" s="3754"/>
      <c r="C32" s="508" t="s">
        <v>1920</v>
      </c>
      <c r="D32" s="509"/>
      <c r="E32" s="510">
        <v>0.7</v>
      </c>
      <c r="F32" s="507" t="s">
        <v>1921</v>
      </c>
      <c r="G32" s="507"/>
    </row>
    <row r="33" spans="1:7" ht="19.5" customHeight="1">
      <c r="A33" s="3751"/>
      <c r="B33" s="3754"/>
      <c r="C33" s="508" t="s">
        <v>1922</v>
      </c>
      <c r="D33" s="509"/>
      <c r="E33" s="510">
        <v>0.8</v>
      </c>
      <c r="F33" s="507" t="s">
        <v>1923</v>
      </c>
      <c r="G33" s="507"/>
    </row>
    <row r="34" spans="1:7" ht="19.5" customHeight="1">
      <c r="A34" s="3751"/>
      <c r="B34" s="3754"/>
      <c r="C34" s="508" t="s">
        <v>1924</v>
      </c>
      <c r="D34" s="509"/>
      <c r="E34" s="510">
        <v>0.6</v>
      </c>
      <c r="F34" s="507" t="s">
        <v>1925</v>
      </c>
      <c r="G34" s="507"/>
    </row>
    <row r="35" spans="1:7" ht="19.5" customHeight="1">
      <c r="A35" s="3751"/>
      <c r="B35" s="3754"/>
      <c r="C35" s="508" t="s">
        <v>1926</v>
      </c>
      <c r="D35" s="509"/>
      <c r="E35" s="510">
        <v>0.2</v>
      </c>
      <c r="F35" s="507" t="s">
        <v>1927</v>
      </c>
      <c r="G35" s="507"/>
    </row>
    <row r="36" spans="1:7" ht="19.5" customHeight="1">
      <c r="A36" s="3751"/>
      <c r="B36" s="3754"/>
      <c r="C36" s="508" t="s">
        <v>1928</v>
      </c>
      <c r="D36" s="509"/>
      <c r="E36" s="510">
        <v>0.2</v>
      </c>
      <c r="F36" s="507" t="s">
        <v>1929</v>
      </c>
      <c r="G36" s="507"/>
    </row>
    <row r="37" spans="1:7" ht="19.5" customHeight="1">
      <c r="A37" s="3751"/>
      <c r="B37" s="3756" t="s">
        <v>1930</v>
      </c>
      <c r="C37" s="508" t="s">
        <v>1931</v>
      </c>
      <c r="D37" s="509"/>
      <c r="E37" s="510">
        <v>0.6</v>
      </c>
      <c r="F37" s="507" t="s">
        <v>1932</v>
      </c>
      <c r="G37" s="507"/>
    </row>
    <row r="38" spans="1:7" ht="19.5" customHeight="1">
      <c r="A38" s="3751"/>
      <c r="B38" s="3754"/>
      <c r="C38" s="508" t="s">
        <v>1933</v>
      </c>
      <c r="D38" s="509"/>
      <c r="E38" s="510">
        <v>0.6</v>
      </c>
      <c r="F38" s="507" t="s">
        <v>1934</v>
      </c>
      <c r="G38" s="507"/>
    </row>
    <row r="39" spans="1:7" ht="19.5" customHeight="1">
      <c r="A39" s="3752"/>
      <c r="B39" s="3755"/>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47" t="s">
        <v>408</v>
      </c>
      <c r="B41" s="3753" t="s">
        <v>1939</v>
      </c>
      <c r="C41" s="504" t="s">
        <v>1940</v>
      </c>
      <c r="D41" s="505"/>
      <c r="E41" s="506">
        <v>1</v>
      </c>
      <c r="F41" s="507" t="s">
        <v>1941</v>
      </c>
      <c r="G41" s="507"/>
    </row>
    <row r="42" spans="1:7" ht="19.5" customHeight="1">
      <c r="A42" s="3748"/>
      <c r="B42" s="3754"/>
      <c r="C42" s="508" t="s">
        <v>1942</v>
      </c>
      <c r="D42" s="509"/>
      <c r="E42" s="510">
        <v>1</v>
      </c>
      <c r="F42" s="507" t="s">
        <v>1943</v>
      </c>
      <c r="G42" s="507"/>
    </row>
    <row r="43" spans="1:7" ht="19.5" customHeight="1">
      <c r="A43" s="3748"/>
      <c r="B43" s="3757"/>
      <c r="C43" s="508" t="s">
        <v>1944</v>
      </c>
      <c r="D43" s="509"/>
      <c r="E43" s="510">
        <v>1.5</v>
      </c>
      <c r="F43" s="507" t="s">
        <v>1945</v>
      </c>
      <c r="G43" s="507"/>
    </row>
    <row r="44" spans="1:7" ht="19.5" customHeight="1">
      <c r="A44" s="3748"/>
      <c r="B44" s="520" t="s">
        <v>280</v>
      </c>
      <c r="C44" s="508" t="s">
        <v>1888</v>
      </c>
      <c r="D44" s="509"/>
      <c r="E44" s="510">
        <v>2</v>
      </c>
      <c r="F44" s="507" t="s">
        <v>1946</v>
      </c>
      <c r="G44" s="507"/>
    </row>
    <row r="45" spans="1:7" ht="19.5" customHeight="1">
      <c r="A45" s="3748"/>
      <c r="B45" s="3756" t="s">
        <v>1947</v>
      </c>
      <c r="C45" s="508" t="s">
        <v>1948</v>
      </c>
      <c r="D45" s="509"/>
      <c r="E45" s="510">
        <v>1</v>
      </c>
      <c r="F45" s="507" t="s">
        <v>1949</v>
      </c>
      <c r="G45" s="507"/>
    </row>
    <row r="46" spans="1:7" ht="19.5" customHeight="1">
      <c r="A46" s="3748"/>
      <c r="B46" s="3754"/>
      <c r="C46" s="508" t="s">
        <v>1950</v>
      </c>
      <c r="D46" s="509"/>
      <c r="E46" s="510">
        <v>1</v>
      </c>
      <c r="F46" s="507" t="s">
        <v>1951</v>
      </c>
      <c r="G46" s="507"/>
    </row>
    <row r="47" spans="1:7" ht="19.5" customHeight="1">
      <c r="A47" s="3748"/>
      <c r="B47" s="3754"/>
      <c r="C47" s="508" t="s">
        <v>1952</v>
      </c>
      <c r="D47" s="509"/>
      <c r="E47" s="510">
        <v>1</v>
      </c>
      <c r="F47" s="507" t="s">
        <v>1953</v>
      </c>
      <c r="G47" s="507"/>
    </row>
    <row r="48" spans="1:7" ht="19.5" customHeight="1">
      <c r="A48" s="3748"/>
      <c r="B48" s="3754"/>
      <c r="C48" s="508" t="s">
        <v>1954</v>
      </c>
      <c r="D48" s="509"/>
      <c r="E48" s="510">
        <v>1</v>
      </c>
      <c r="F48" s="507" t="s">
        <v>1955</v>
      </c>
      <c r="G48" s="507"/>
    </row>
    <row r="49" spans="1:7" ht="19.5" customHeight="1">
      <c r="A49" s="3748"/>
      <c r="B49" s="3754"/>
      <c r="C49" s="508" t="s">
        <v>1956</v>
      </c>
      <c r="D49" s="509"/>
      <c r="E49" s="510">
        <v>1</v>
      </c>
      <c r="F49" s="507" t="s">
        <v>1957</v>
      </c>
      <c r="G49" s="507"/>
    </row>
    <row r="50" spans="1:7" ht="19.5" customHeight="1">
      <c r="A50" s="3748"/>
      <c r="B50" s="3754"/>
      <c r="C50" s="508" t="s">
        <v>1958</v>
      </c>
      <c r="D50" s="509"/>
      <c r="E50" s="510">
        <v>1</v>
      </c>
      <c r="F50" s="507" t="s">
        <v>1959</v>
      </c>
      <c r="G50" s="507"/>
    </row>
    <row r="51" spans="1:7" ht="19.5" customHeight="1">
      <c r="A51" s="3749"/>
      <c r="B51" s="3755"/>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1962</v>
      </c>
      <c r="G54" s="498" t="s">
        <v>542</v>
      </c>
    </row>
    <row r="55" spans="1:7" ht="19.5" customHeight="1">
      <c r="A55" s="523"/>
      <c r="B55" s="498" t="s">
        <v>1887</v>
      </c>
      <c r="C55" s="498" t="s">
        <v>1887</v>
      </c>
      <c r="D55" s="498" t="s">
        <v>1887</v>
      </c>
      <c r="E55" s="496" t="s">
        <v>548</v>
      </c>
      <c r="F55" s="496" t="s">
        <v>408</v>
      </c>
      <c r="G55" s="496" t="s">
        <v>1590</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3.5">
      <c r="A72" s="520"/>
      <c r="B72" s="520"/>
      <c r="C72" s="520" t="s">
        <v>1711</v>
      </c>
      <c r="D72" s="520"/>
      <c r="E72" s="520" t="s">
        <v>124</v>
      </c>
      <c r="F72" s="520" t="s">
        <v>124</v>
      </c>
    </row>
    <row r="73" spans="1:7" ht="13.5">
      <c r="A73" s="520">
        <v>1</v>
      </c>
      <c r="B73" s="3756" t="s">
        <v>1971</v>
      </c>
      <c r="C73" s="496" t="s">
        <v>1972</v>
      </c>
      <c r="D73" s="496" t="s">
        <v>1973</v>
      </c>
      <c r="E73" s="520">
        <v>0.2</v>
      </c>
      <c r="F73" s="520">
        <v>25</v>
      </c>
    </row>
    <row r="74" spans="1:7" ht="24">
      <c r="A74" s="520">
        <v>2</v>
      </c>
      <c r="B74" s="3754"/>
      <c r="C74" s="496" t="s">
        <v>1974</v>
      </c>
      <c r="D74" s="496" t="s">
        <v>1975</v>
      </c>
      <c r="E74" s="520">
        <v>0.2</v>
      </c>
      <c r="F74" s="520">
        <v>25</v>
      </c>
    </row>
    <row r="75" spans="1:7" ht="24">
      <c r="A75" s="520">
        <v>3</v>
      </c>
      <c r="B75" s="3754"/>
      <c r="C75" s="496" t="s">
        <v>1976</v>
      </c>
      <c r="D75" s="496" t="s">
        <v>1977</v>
      </c>
      <c r="E75" s="520">
        <v>0.2</v>
      </c>
      <c r="F75" s="520">
        <v>25</v>
      </c>
    </row>
    <row r="76" spans="1:7" ht="13.5">
      <c r="A76" s="520">
        <v>4</v>
      </c>
      <c r="B76" s="3754"/>
      <c r="C76" s="496" t="s">
        <v>1978</v>
      </c>
      <c r="D76" s="496" t="s">
        <v>1979</v>
      </c>
      <c r="E76" s="520">
        <v>0.15</v>
      </c>
      <c r="F76" s="520">
        <v>20</v>
      </c>
    </row>
    <row r="77" spans="1:7" ht="24">
      <c r="A77" s="520">
        <v>5</v>
      </c>
      <c r="B77" s="3754"/>
      <c r="C77" s="496" t="s">
        <v>1980</v>
      </c>
      <c r="D77" s="496" t="s">
        <v>1981</v>
      </c>
      <c r="E77" s="520">
        <v>0.15</v>
      </c>
      <c r="F77" s="520">
        <v>20</v>
      </c>
    </row>
    <row r="78" spans="1:7" ht="24">
      <c r="A78" s="520">
        <v>6</v>
      </c>
      <c r="B78" s="3754"/>
      <c r="C78" s="496" t="s">
        <v>1982</v>
      </c>
      <c r="D78" s="496" t="s">
        <v>1983</v>
      </c>
      <c r="E78" s="520">
        <v>0.15</v>
      </c>
      <c r="F78" s="520">
        <v>20</v>
      </c>
    </row>
    <row r="79" spans="1:7" ht="24">
      <c r="A79" s="520">
        <v>7</v>
      </c>
      <c r="B79" s="3754"/>
      <c r="C79" s="496" t="s">
        <v>1984</v>
      </c>
      <c r="D79" s="496" t="s">
        <v>1985</v>
      </c>
      <c r="E79" s="520">
        <v>0.15</v>
      </c>
      <c r="F79" s="520">
        <v>20</v>
      </c>
    </row>
    <row r="80" spans="1:7" ht="24">
      <c r="A80" s="520">
        <v>8</v>
      </c>
      <c r="B80" s="3754"/>
      <c r="C80" s="496" t="s">
        <v>1986</v>
      </c>
      <c r="D80" s="496" t="s">
        <v>1987</v>
      </c>
      <c r="E80" s="520">
        <v>0.1</v>
      </c>
      <c r="F80" s="520">
        <v>15</v>
      </c>
    </row>
    <row r="81" spans="1:6" ht="24">
      <c r="A81" s="520">
        <v>9</v>
      </c>
      <c r="B81" s="3754"/>
      <c r="C81" s="496" t="s">
        <v>1988</v>
      </c>
      <c r="D81" s="496" t="s">
        <v>1989</v>
      </c>
      <c r="E81" s="520">
        <v>0.1</v>
      </c>
      <c r="F81" s="520">
        <v>15</v>
      </c>
    </row>
    <row r="82" spans="1:6" ht="24">
      <c r="A82" s="520">
        <v>10</v>
      </c>
      <c r="B82" s="3754"/>
      <c r="C82" s="496" t="s">
        <v>1990</v>
      </c>
      <c r="D82" s="496" t="s">
        <v>1991</v>
      </c>
      <c r="E82" s="520">
        <v>0.1</v>
      </c>
      <c r="F82" s="520">
        <v>15</v>
      </c>
    </row>
    <row r="83" spans="1:6" ht="24">
      <c r="A83" s="520">
        <v>11</v>
      </c>
      <c r="B83" s="3754"/>
      <c r="C83" s="496" t="s">
        <v>1992</v>
      </c>
      <c r="D83" s="496" t="s">
        <v>1993</v>
      </c>
      <c r="E83" s="520">
        <v>0.1</v>
      </c>
      <c r="F83" s="520">
        <v>15</v>
      </c>
    </row>
    <row r="84" spans="1:6" ht="24">
      <c r="A84" s="520">
        <v>12</v>
      </c>
      <c r="B84" s="3754"/>
      <c r="C84" s="496" t="s">
        <v>1994</v>
      </c>
      <c r="D84" s="496" t="s">
        <v>1995</v>
      </c>
      <c r="E84" s="520">
        <v>0.1</v>
      </c>
      <c r="F84" s="520">
        <v>15</v>
      </c>
    </row>
    <row r="85" spans="1:6" ht="13.5">
      <c r="A85" s="520">
        <v>13</v>
      </c>
      <c r="B85" s="3754"/>
      <c r="C85" s="496" t="s">
        <v>1996</v>
      </c>
      <c r="D85" s="496" t="s">
        <v>1997</v>
      </c>
      <c r="E85" s="520">
        <v>0.1</v>
      </c>
      <c r="F85" s="520">
        <v>15</v>
      </c>
    </row>
    <row r="86" spans="1:6" ht="13.5">
      <c r="A86" s="520">
        <v>14</v>
      </c>
      <c r="B86" s="3754"/>
      <c r="C86" s="496" t="s">
        <v>1998</v>
      </c>
      <c r="D86" s="496" t="s">
        <v>1999</v>
      </c>
      <c r="E86" s="520">
        <v>0.1</v>
      </c>
      <c r="F86" s="520">
        <v>15</v>
      </c>
    </row>
    <row r="87" spans="1:6" ht="13.5">
      <c r="A87" s="520">
        <v>15</v>
      </c>
      <c r="B87" s="3754"/>
      <c r="C87" s="496" t="s">
        <v>2000</v>
      </c>
      <c r="D87" s="496" t="s">
        <v>2001</v>
      </c>
      <c r="E87" s="520">
        <v>0.1</v>
      </c>
      <c r="F87" s="520">
        <v>15</v>
      </c>
    </row>
    <row r="88" spans="1:6" ht="24">
      <c r="A88" s="520">
        <v>16</v>
      </c>
      <c r="B88" s="3754"/>
      <c r="C88" s="496" t="s">
        <v>2002</v>
      </c>
      <c r="D88" s="496" t="s">
        <v>2003</v>
      </c>
      <c r="E88" s="520">
        <v>0.1</v>
      </c>
      <c r="F88" s="520">
        <v>15</v>
      </c>
    </row>
    <row r="89" spans="1:6" ht="24">
      <c r="A89" s="520">
        <v>17</v>
      </c>
      <c r="B89" s="3757"/>
      <c r="C89" s="496" t="s">
        <v>2004</v>
      </c>
      <c r="D89" s="496" t="s">
        <v>2005</v>
      </c>
      <c r="E89" s="520">
        <v>0.1</v>
      </c>
      <c r="F89" s="520">
        <v>15</v>
      </c>
    </row>
    <row r="90" spans="1:6" ht="13.5">
      <c r="A90" s="520">
        <v>18</v>
      </c>
      <c r="B90" s="3756" t="s">
        <v>2006</v>
      </c>
      <c r="C90" s="496" t="s">
        <v>2007</v>
      </c>
      <c r="D90" s="496" t="s">
        <v>2008</v>
      </c>
      <c r="E90" s="520">
        <v>0.2</v>
      </c>
      <c r="F90" s="520">
        <v>25</v>
      </c>
    </row>
    <row r="91" spans="1:6" ht="24">
      <c r="A91" s="520">
        <v>19</v>
      </c>
      <c r="B91" s="3754"/>
      <c r="C91" s="496" t="s">
        <v>2009</v>
      </c>
      <c r="D91" s="496" t="s">
        <v>2010</v>
      </c>
      <c r="E91" s="520">
        <v>0.2</v>
      </c>
      <c r="F91" s="520">
        <v>25</v>
      </c>
    </row>
    <row r="92" spans="1:6" ht="13.5">
      <c r="A92" s="520">
        <v>20</v>
      </c>
      <c r="B92" s="3754"/>
      <c r="C92" s="496" t="s">
        <v>2011</v>
      </c>
      <c r="D92" s="496" t="s">
        <v>2012</v>
      </c>
      <c r="E92" s="520">
        <v>0.15</v>
      </c>
      <c r="F92" s="520">
        <v>20</v>
      </c>
    </row>
    <row r="93" spans="1:6" ht="13.5">
      <c r="A93" s="520">
        <v>21</v>
      </c>
      <c r="B93" s="3754"/>
      <c r="C93" s="496" t="s">
        <v>2013</v>
      </c>
      <c r="D93" s="496" t="s">
        <v>2014</v>
      </c>
      <c r="E93" s="520">
        <v>0.15</v>
      </c>
      <c r="F93" s="520">
        <v>20</v>
      </c>
    </row>
    <row r="94" spans="1:6" ht="13.5">
      <c r="A94" s="520">
        <v>22</v>
      </c>
      <c r="B94" s="3754"/>
      <c r="C94" s="496" t="s">
        <v>2015</v>
      </c>
      <c r="D94" s="496" t="s">
        <v>2016</v>
      </c>
      <c r="E94" s="520">
        <v>0.15</v>
      </c>
      <c r="F94" s="520">
        <v>20</v>
      </c>
    </row>
    <row r="95" spans="1:6" ht="36">
      <c r="A95" s="520">
        <v>23</v>
      </c>
      <c r="B95" s="3754"/>
      <c r="C95" s="496" t="s">
        <v>2017</v>
      </c>
      <c r="D95" s="496" t="s">
        <v>2018</v>
      </c>
      <c r="E95" s="520">
        <v>0.15</v>
      </c>
      <c r="F95" s="520">
        <v>20</v>
      </c>
    </row>
    <row r="96" spans="1:6" ht="13.5">
      <c r="A96" s="520">
        <v>24</v>
      </c>
      <c r="B96" s="3754"/>
      <c r="C96" s="496" t="s">
        <v>2019</v>
      </c>
      <c r="D96" s="496" t="s">
        <v>2020</v>
      </c>
      <c r="E96" s="520">
        <v>0.1</v>
      </c>
      <c r="F96" s="520">
        <v>15</v>
      </c>
    </row>
    <row r="97" spans="1:6" ht="13.5">
      <c r="A97" s="520">
        <v>25</v>
      </c>
      <c r="B97" s="3754"/>
      <c r="C97" s="496" t="s">
        <v>2021</v>
      </c>
      <c r="D97" s="496" t="s">
        <v>2022</v>
      </c>
      <c r="E97" s="520">
        <v>0.1</v>
      </c>
      <c r="F97" s="520">
        <v>15</v>
      </c>
    </row>
    <row r="98" spans="1:6" ht="24">
      <c r="A98" s="520">
        <v>26</v>
      </c>
      <c r="B98" s="3754"/>
      <c r="C98" s="496" t="s">
        <v>2023</v>
      </c>
      <c r="D98" s="496" t="s">
        <v>2024</v>
      </c>
      <c r="E98" s="520">
        <v>0.1</v>
      </c>
      <c r="F98" s="520">
        <v>15</v>
      </c>
    </row>
    <row r="99" spans="1:6" ht="24">
      <c r="A99" s="520">
        <v>27</v>
      </c>
      <c r="B99" s="3754"/>
      <c r="C99" s="496" t="s">
        <v>2025</v>
      </c>
      <c r="D99" s="496" t="s">
        <v>2026</v>
      </c>
      <c r="E99" s="520">
        <v>0.1</v>
      </c>
      <c r="F99" s="520">
        <v>15</v>
      </c>
    </row>
    <row r="100" spans="1:6" ht="13.5">
      <c r="A100" s="520">
        <v>28</v>
      </c>
      <c r="B100" s="3754"/>
      <c r="C100" s="496" t="s">
        <v>2027</v>
      </c>
      <c r="D100" s="496" t="s">
        <v>2028</v>
      </c>
      <c r="E100" s="520">
        <v>0.1</v>
      </c>
      <c r="F100" s="520">
        <v>15</v>
      </c>
    </row>
    <row r="101" spans="1:6" ht="13.5">
      <c r="A101" s="520">
        <v>29</v>
      </c>
      <c r="B101" s="3754"/>
      <c r="C101" s="496" t="s">
        <v>2029</v>
      </c>
      <c r="D101" s="496" t="s">
        <v>2030</v>
      </c>
      <c r="E101" s="520">
        <v>0.1</v>
      </c>
      <c r="F101" s="520">
        <v>15</v>
      </c>
    </row>
    <row r="102" spans="1:6" ht="13.5">
      <c r="A102" s="520">
        <v>30</v>
      </c>
      <c r="B102" s="3754"/>
      <c r="C102" s="496" t="s">
        <v>2031</v>
      </c>
      <c r="D102" s="496" t="s">
        <v>2032</v>
      </c>
      <c r="E102" s="520">
        <v>0.1</v>
      </c>
      <c r="F102" s="520">
        <v>15</v>
      </c>
    </row>
    <row r="103" spans="1:6" ht="24">
      <c r="A103" s="520">
        <v>31</v>
      </c>
      <c r="B103" s="3754"/>
      <c r="C103" s="496" t="s">
        <v>2033</v>
      </c>
      <c r="D103" s="496" t="s">
        <v>2034</v>
      </c>
      <c r="E103" s="520">
        <v>0.1</v>
      </c>
      <c r="F103" s="520">
        <v>15</v>
      </c>
    </row>
    <row r="104" spans="1:6" ht="24">
      <c r="A104" s="520">
        <v>32</v>
      </c>
      <c r="B104" s="3754"/>
      <c r="C104" s="496" t="s">
        <v>2035</v>
      </c>
      <c r="D104" s="496" t="s">
        <v>2036</v>
      </c>
      <c r="E104" s="520">
        <v>0.1</v>
      </c>
      <c r="F104" s="520">
        <v>15</v>
      </c>
    </row>
    <row r="105" spans="1:6" ht="24">
      <c r="A105" s="520">
        <v>33</v>
      </c>
      <c r="B105" s="3754"/>
      <c r="C105" s="496" t="s">
        <v>2037</v>
      </c>
      <c r="D105" s="496" t="s">
        <v>2038</v>
      </c>
      <c r="E105" s="520">
        <v>0.1</v>
      </c>
      <c r="F105" s="520">
        <v>15</v>
      </c>
    </row>
    <row r="106" spans="1:6" ht="24">
      <c r="A106" s="520">
        <v>34</v>
      </c>
      <c r="B106" s="3757"/>
      <c r="C106" s="496" t="s">
        <v>2039</v>
      </c>
      <c r="D106" s="496" t="s">
        <v>2040</v>
      </c>
      <c r="E106" s="520">
        <v>0.1</v>
      </c>
      <c r="F106" s="520">
        <v>15</v>
      </c>
    </row>
    <row r="107" spans="1:6" ht="24">
      <c r="A107" s="520">
        <v>35</v>
      </c>
      <c r="B107" s="3756" t="s">
        <v>2041</v>
      </c>
      <c r="C107" s="520" t="s">
        <v>2042</v>
      </c>
      <c r="D107" s="496" t="s">
        <v>2043</v>
      </c>
      <c r="E107" s="520">
        <v>0.15</v>
      </c>
      <c r="F107" s="520">
        <v>20</v>
      </c>
    </row>
    <row r="108" spans="1:6" ht="13.5">
      <c r="A108" s="520">
        <v>36</v>
      </c>
      <c r="B108" s="3754"/>
      <c r="C108" s="520" t="s">
        <v>2044</v>
      </c>
      <c r="D108" s="496" t="s">
        <v>2045</v>
      </c>
      <c r="E108" s="520">
        <v>0.15</v>
      </c>
      <c r="F108" s="520">
        <v>20</v>
      </c>
    </row>
    <row r="109" spans="1:6" ht="13.5">
      <c r="A109" s="520">
        <v>37</v>
      </c>
      <c r="B109" s="3754"/>
      <c r="C109" s="520" t="s">
        <v>2046</v>
      </c>
      <c r="D109" s="496" t="s">
        <v>2047</v>
      </c>
      <c r="E109" s="520">
        <v>0.15</v>
      </c>
      <c r="F109" s="520">
        <v>20</v>
      </c>
    </row>
    <row r="110" spans="1:6" ht="13.5">
      <c r="A110" s="520">
        <v>38</v>
      </c>
      <c r="B110" s="3754"/>
      <c r="C110" s="520" t="s">
        <v>2048</v>
      </c>
      <c r="D110" s="496" t="s">
        <v>2049</v>
      </c>
      <c r="E110" s="520">
        <v>0.1</v>
      </c>
      <c r="F110" s="520">
        <v>15</v>
      </c>
    </row>
    <row r="111" spans="1:6" ht="24">
      <c r="A111" s="520">
        <v>39</v>
      </c>
      <c r="B111" s="3754"/>
      <c r="C111" s="520" t="s">
        <v>2050</v>
      </c>
      <c r="D111" s="496" t="s">
        <v>2051</v>
      </c>
      <c r="E111" s="520">
        <v>0.1</v>
      </c>
      <c r="F111" s="520">
        <v>15</v>
      </c>
    </row>
    <row r="112" spans="1:6" ht="24">
      <c r="A112" s="520">
        <v>40</v>
      </c>
      <c r="B112" s="3757"/>
      <c r="C112" s="520" t="s">
        <v>2052</v>
      </c>
      <c r="D112" s="496" t="s">
        <v>2053</v>
      </c>
      <c r="E112" s="520">
        <v>0.1</v>
      </c>
      <c r="F112" s="520">
        <v>15</v>
      </c>
    </row>
    <row r="113" spans="1:6" ht="13.5">
      <c r="A113" s="520">
        <v>41</v>
      </c>
      <c r="B113" s="3758" t="s">
        <v>2054</v>
      </c>
      <c r="C113" s="520" t="s">
        <v>2055</v>
      </c>
      <c r="D113" s="496" t="s">
        <v>2056</v>
      </c>
      <c r="E113" s="520">
        <v>0.1</v>
      </c>
      <c r="F113" s="520">
        <v>15</v>
      </c>
    </row>
    <row r="114" spans="1:6" ht="13.5">
      <c r="A114" s="520">
        <v>42</v>
      </c>
      <c r="B114" s="3758"/>
      <c r="C114" s="520" t="s">
        <v>2057</v>
      </c>
      <c r="D114" s="496" t="s">
        <v>2058</v>
      </c>
      <c r="E114" s="520">
        <v>0.1</v>
      </c>
      <c r="F114" s="520">
        <v>15</v>
      </c>
    </row>
    <row r="115" spans="1:6" ht="24">
      <c r="A115" s="520">
        <v>43</v>
      </c>
      <c r="B115" s="3758"/>
      <c r="C115" s="520" t="s">
        <v>2059</v>
      </c>
      <c r="D115" s="496" t="s">
        <v>2060</v>
      </c>
      <c r="E115" s="520">
        <v>0.1</v>
      </c>
      <c r="F115" s="520">
        <v>15</v>
      </c>
    </row>
    <row r="116" spans="1:6" ht="13.5">
      <c r="A116" s="520">
        <v>44</v>
      </c>
      <c r="B116" s="3756" t="s">
        <v>2061</v>
      </c>
      <c r="C116" s="520" t="s">
        <v>2062</v>
      </c>
      <c r="D116" s="496" t="s">
        <v>2063</v>
      </c>
      <c r="E116" s="520">
        <v>0.1</v>
      </c>
      <c r="F116" s="520">
        <v>15</v>
      </c>
    </row>
    <row r="117" spans="1:6" ht="24">
      <c r="A117" s="520">
        <v>45</v>
      </c>
      <c r="B117" s="3757"/>
      <c r="C117" s="496" t="s">
        <v>2064</v>
      </c>
      <c r="D117" s="496" t="s">
        <v>2065</v>
      </c>
      <c r="E117" s="520">
        <v>0.1</v>
      </c>
      <c r="F117" s="520">
        <v>15</v>
      </c>
    </row>
    <row r="118" spans="1:6" ht="24">
      <c r="A118" s="520">
        <v>46</v>
      </c>
      <c r="B118" s="3756" t="s">
        <v>2066</v>
      </c>
      <c r="C118" s="520" t="s">
        <v>2067</v>
      </c>
      <c r="D118" s="496" t="s">
        <v>2068</v>
      </c>
      <c r="E118" s="520">
        <v>0.1</v>
      </c>
      <c r="F118" s="520">
        <v>15</v>
      </c>
    </row>
    <row r="119" spans="1:6" ht="24">
      <c r="A119" s="520">
        <v>47</v>
      </c>
      <c r="B119" s="3757"/>
      <c r="C119" s="520" t="s">
        <v>2069</v>
      </c>
      <c r="D119" s="496" t="s">
        <v>2070</v>
      </c>
      <c r="E119" s="520">
        <v>0.1</v>
      </c>
      <c r="F119" s="520">
        <v>15</v>
      </c>
    </row>
    <row r="120" spans="1:6" ht="13.5">
      <c r="A120" s="520">
        <v>48</v>
      </c>
      <c r="B120" s="3756" t="s">
        <v>2071</v>
      </c>
      <c r="C120" s="520" t="s">
        <v>2072</v>
      </c>
      <c r="D120" s="496" t="s">
        <v>2073</v>
      </c>
      <c r="E120" s="520">
        <v>0.1</v>
      </c>
      <c r="F120" s="520">
        <v>15</v>
      </c>
    </row>
    <row r="121" spans="1:6" ht="13.5">
      <c r="A121" s="520">
        <v>49</v>
      </c>
      <c r="B121" s="3757"/>
      <c r="C121" s="520" t="s">
        <v>2074</v>
      </c>
      <c r="D121" s="496" t="s">
        <v>2075</v>
      </c>
      <c r="E121" s="520">
        <v>0.1</v>
      </c>
      <c r="F121" s="520">
        <v>15</v>
      </c>
    </row>
    <row r="122" spans="1:6" ht="24">
      <c r="A122" s="520">
        <v>50</v>
      </c>
      <c r="B122" s="3758" t="s">
        <v>2076</v>
      </c>
      <c r="C122" s="520" t="s">
        <v>2077</v>
      </c>
      <c r="D122" s="496" t="s">
        <v>2078</v>
      </c>
      <c r="E122" s="520">
        <v>0.1</v>
      </c>
      <c r="F122" s="520">
        <v>15</v>
      </c>
    </row>
    <row r="123" spans="1:6" ht="24">
      <c r="A123" s="520">
        <v>51</v>
      </c>
      <c r="B123" s="3758"/>
      <c r="C123" s="520" t="s">
        <v>2079</v>
      </c>
      <c r="D123" s="496" t="s">
        <v>2080</v>
      </c>
      <c r="E123" s="520">
        <v>0.1</v>
      </c>
      <c r="F123" s="520">
        <v>15</v>
      </c>
    </row>
    <row r="124" spans="1:6" ht="24">
      <c r="A124" s="520">
        <v>52</v>
      </c>
      <c r="B124" s="3758" t="s">
        <v>2081</v>
      </c>
      <c r="C124" s="520" t="s">
        <v>2082</v>
      </c>
      <c r="D124" s="496" t="s">
        <v>2083</v>
      </c>
      <c r="E124" s="520">
        <v>0.1</v>
      </c>
      <c r="F124" s="520">
        <v>15</v>
      </c>
    </row>
    <row r="125" spans="1:6" ht="24">
      <c r="A125" s="520">
        <v>53</v>
      </c>
      <c r="B125" s="3758"/>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58" t="s">
        <v>2089</v>
      </c>
      <c r="C127" s="520" t="s">
        <v>2090</v>
      </c>
      <c r="D127" s="496" t="s">
        <v>2091</v>
      </c>
      <c r="E127" s="520">
        <v>0.1</v>
      </c>
      <c r="F127" s="520">
        <v>15</v>
      </c>
    </row>
    <row r="128" spans="1:6" ht="13.5">
      <c r="A128" s="520">
        <v>56</v>
      </c>
      <c r="B128" s="3758"/>
      <c r="C128" s="520" t="s">
        <v>2092</v>
      </c>
      <c r="D128" s="496" t="s">
        <v>2093</v>
      </c>
      <c r="E128" s="520">
        <v>0.1</v>
      </c>
      <c r="F128" s="520">
        <v>15</v>
      </c>
    </row>
    <row r="129" spans="1:6" ht="24">
      <c r="A129" s="520">
        <v>57</v>
      </c>
      <c r="B129" s="3758"/>
      <c r="C129" s="520" t="s">
        <v>2094</v>
      </c>
      <c r="D129" s="496" t="s">
        <v>2095</v>
      </c>
      <c r="E129" s="520">
        <v>0.1</v>
      </c>
      <c r="F129" s="520">
        <v>15</v>
      </c>
    </row>
    <row r="130" spans="1:6" ht="24">
      <c r="A130" s="520">
        <v>58</v>
      </c>
      <c r="B130" s="3758" t="s">
        <v>2096</v>
      </c>
      <c r="C130" s="520" t="s">
        <v>2097</v>
      </c>
      <c r="D130" s="496" t="s">
        <v>2098</v>
      </c>
      <c r="E130" s="520">
        <v>0.1</v>
      </c>
      <c r="F130" s="520">
        <v>15</v>
      </c>
    </row>
    <row r="131" spans="1:6" ht="13.5">
      <c r="A131" s="520">
        <v>59</v>
      </c>
      <c r="B131" s="3758"/>
      <c r="C131" s="520" t="s">
        <v>2099</v>
      </c>
      <c r="D131" s="496" t="s">
        <v>2100</v>
      </c>
      <c r="E131" s="520">
        <v>0.1</v>
      </c>
      <c r="F131" s="520">
        <v>15</v>
      </c>
    </row>
    <row r="132" spans="1:6" ht="13.5">
      <c r="A132" s="520">
        <v>60</v>
      </c>
      <c r="B132" s="3756" t="s">
        <v>2101</v>
      </c>
      <c r="C132" s="520" t="s">
        <v>2102</v>
      </c>
      <c r="D132" s="496" t="s">
        <v>2103</v>
      </c>
      <c r="E132" s="520">
        <v>0.1</v>
      </c>
      <c r="F132" s="520">
        <v>15</v>
      </c>
    </row>
    <row r="133" spans="1:6" ht="13.5">
      <c r="A133" s="520">
        <v>61</v>
      </c>
      <c r="B133" s="3757"/>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58" t="s">
        <v>2109</v>
      </c>
      <c r="C135" s="520" t="s">
        <v>2110</v>
      </c>
      <c r="D135" s="496" t="s">
        <v>2111</v>
      </c>
      <c r="E135" s="520">
        <v>0.1</v>
      </c>
      <c r="F135" s="520">
        <v>15</v>
      </c>
    </row>
    <row r="136" spans="1:6" ht="13.5">
      <c r="A136" s="520">
        <v>64</v>
      </c>
      <c r="B136" s="3758"/>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79"/>
      <c r="B4" s="3450" t="s">
        <v>95</v>
      </c>
      <c r="C4" s="3450"/>
      <c r="D4" s="3450"/>
      <c r="E4" s="3379"/>
    </row>
    <row r="5" spans="1:5" ht="15.75">
      <c r="A5" s="3378"/>
      <c r="B5" s="3442" t="s">
        <v>96</v>
      </c>
      <c r="C5" s="3380" t="s">
        <v>97</v>
      </c>
      <c r="D5" s="3381">
        <f ca="1">结果表!H101</f>
        <v>42619</v>
      </c>
      <c r="E5" s="3378"/>
    </row>
    <row r="6" spans="1:5" ht="15.75">
      <c r="A6" s="3378"/>
      <c r="B6" s="3442"/>
      <c r="C6" s="3380" t="s">
        <v>98</v>
      </c>
      <c r="D6" s="3381" t="str">
        <f ca="1">NUMBERSTRING(INT(D5*10000),2)&amp;"元整"</f>
        <v>肆亿贰仟陆佰壹拾玖万元整</v>
      </c>
      <c r="E6" s="3378"/>
    </row>
    <row r="7" spans="1:5" ht="15.75">
      <c r="A7" s="3378"/>
      <c r="B7" s="3443"/>
      <c r="C7" s="3382" t="s">
        <v>99</v>
      </c>
      <c r="D7" s="3383">
        <f ca="1">结果表!H102</f>
        <v>21019</v>
      </c>
      <c r="E7" s="3378"/>
    </row>
    <row r="8" spans="1:5" ht="15.75">
      <c r="A8" s="3378"/>
      <c r="B8" s="3444" t="str">
        <f>结果表!E103</f>
        <v>2.估价师知悉的法定优先受偿款</v>
      </c>
      <c r="C8" s="3384" t="s">
        <v>100</v>
      </c>
      <c r="D8" s="3383">
        <f>结果表!H103</f>
        <v>0</v>
      </c>
      <c r="E8" s="3378"/>
    </row>
    <row r="9" spans="1:5" ht="15.75">
      <c r="A9" s="3378"/>
      <c r="B9" s="344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41" t="str">
        <f>结果表!E107</f>
        <v>3.房地产抵押价值</v>
      </c>
      <c r="C13" s="3388" t="s">
        <v>97</v>
      </c>
      <c r="D13" s="3389">
        <f ca="1">结果表!H107</f>
        <v>42619</v>
      </c>
      <c r="E13" s="3378"/>
    </row>
    <row r="14" spans="1:5" ht="15.75">
      <c r="A14" s="3378"/>
      <c r="B14" s="3442"/>
      <c r="C14" s="3380" t="s">
        <v>98</v>
      </c>
      <c r="D14" s="3381" t="str">
        <f ca="1">NUMBERSTRING(INT(D13*10000),2)&amp;"元整"</f>
        <v>肆亿贰仟陆佰壹拾玖万元整</v>
      </c>
      <c r="E14" s="3378"/>
    </row>
    <row r="15" spans="1:5" ht="15">
      <c r="A15" s="3378"/>
      <c r="B15" s="3443"/>
      <c r="C15" s="3382" t="s">
        <v>99</v>
      </c>
      <c r="D15" s="3390">
        <f ca="1">结果表!H108</f>
        <v>21019</v>
      </c>
      <c r="E15" s="3378"/>
    </row>
    <row r="16" spans="1:5" ht="15">
      <c r="A16" s="3378"/>
      <c r="B16" s="3444" t="str">
        <f>结果表!E109</f>
        <v>——</v>
      </c>
      <c r="C16" s="3388" t="s">
        <v>97</v>
      </c>
      <c r="D16" s="3391" t="str">
        <f>结果表!H109</f>
        <v>——</v>
      </c>
      <c r="E16" s="3378"/>
    </row>
    <row r="17" spans="1:5" ht="15.75">
      <c r="A17" s="3378"/>
      <c r="B17" s="3445"/>
      <c r="C17" s="3380" t="s">
        <v>98</v>
      </c>
      <c r="D17" s="3381" t="e">
        <f>NUMBERSTRING(INT(D16*10000),2)&amp;"元整"</f>
        <v>#VALUE!</v>
      </c>
      <c r="E17" s="3378"/>
    </row>
    <row r="18" spans="1:5" ht="15">
      <c r="A18" s="3378"/>
      <c r="B18" s="3446"/>
      <c r="C18" s="3382" t="s">
        <v>99</v>
      </c>
      <c r="D18" s="3390" t="str">
        <f>结果表!H110</f>
        <v>——</v>
      </c>
      <c r="E18" s="3378"/>
    </row>
    <row r="19" spans="1:5" ht="15.75">
      <c r="A19" s="3378"/>
      <c r="B19" s="3441" t="str">
        <f>结果表!E111</f>
        <v>——</v>
      </c>
      <c r="C19" s="3388" t="s">
        <v>97</v>
      </c>
      <c r="D19" s="3383" t="str">
        <f>结果表!H111</f>
        <v>——</v>
      </c>
      <c r="E19" s="3378"/>
    </row>
    <row r="20" spans="1:5" ht="15.75">
      <c r="A20" s="3378"/>
      <c r="B20" s="3442"/>
      <c r="C20" s="3380" t="s">
        <v>98</v>
      </c>
      <c r="D20" s="3381" t="e">
        <f>NUMBERSTRING(INT(D19*10000),2)&amp;"元整"</f>
        <v>#VALUE!</v>
      </c>
      <c r="E20" s="3378"/>
    </row>
    <row r="21" spans="1:5" ht="15">
      <c r="A21" s="3378"/>
      <c r="B21" s="344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36900</v>
      </c>
      <c r="C2" s="380" t="s">
        <v>1422</v>
      </c>
      <c r="D2" s="377"/>
      <c r="E2" s="377"/>
      <c r="F2" s="377"/>
      <c r="G2" s="377"/>
    </row>
    <row r="3" spans="1:7" s="366" customFormat="1" ht="18" customHeight="1">
      <c r="A3" s="381" t="s">
        <v>2131</v>
      </c>
      <c r="B3" s="382">
        <f ca="1">ROUND(B2*10000/'数据-汇总表'!E3,0)</f>
        <v>18198</v>
      </c>
      <c r="C3" s="380" t="s">
        <v>1600</v>
      </c>
      <c r="D3" s="377"/>
      <c r="E3" s="377"/>
      <c r="F3" s="377"/>
      <c r="G3" s="377"/>
    </row>
    <row r="4" spans="1:7" s="367" customFormat="1" ht="15.75">
      <c r="A4" s="383" t="s">
        <v>2132</v>
      </c>
      <c r="B4" s="384"/>
      <c r="C4" s="384"/>
      <c r="D4" s="384"/>
      <c r="E4" s="384"/>
      <c r="F4" s="384"/>
      <c r="G4" s="385"/>
    </row>
    <row r="5" spans="1:7" s="368" customFormat="1" ht="13.5" customHeight="1">
      <c r="A5" s="386" t="s">
        <v>1271</v>
      </c>
      <c r="B5" s="387" t="s">
        <v>2133</v>
      </c>
      <c r="C5" s="388">
        <f>C6+C7+C8</f>
        <v>20610</v>
      </c>
      <c r="D5" s="388" t="s">
        <v>2134</v>
      </c>
      <c r="E5" s="389" t="s">
        <v>2135</v>
      </c>
      <c r="F5" s="389" t="s">
        <v>2136</v>
      </c>
      <c r="G5" s="390"/>
    </row>
    <row r="6" spans="1:7" s="368" customFormat="1" ht="13.5" customHeight="1">
      <c r="A6" s="391" t="s">
        <v>1275</v>
      </c>
      <c r="B6" s="392" t="s">
        <v>2137</v>
      </c>
      <c r="C6" s="393">
        <v>20000</v>
      </c>
      <c r="D6" s="394"/>
      <c r="E6" s="395"/>
      <c r="F6" s="395"/>
      <c r="G6" s="396"/>
    </row>
    <row r="7" spans="1:7" s="368" customFormat="1" ht="13.5" customHeight="1">
      <c r="A7" s="391" t="s">
        <v>1277</v>
      </c>
      <c r="B7" s="392" t="s">
        <v>2138</v>
      </c>
      <c r="C7" s="397">
        <f>ROUND(C6*F7,0)</f>
        <v>610</v>
      </c>
      <c r="D7" s="397"/>
      <c r="E7" s="395"/>
      <c r="F7" s="398">
        <f>'数据-取费表'!B48+'数据-取费表'!B49</f>
        <v>3.0499999999999999E-2</v>
      </c>
      <c r="G7" s="396"/>
    </row>
    <row r="8" spans="1:7" s="369" customFormat="1">
      <c r="A8" s="391" t="s">
        <v>1279</v>
      </c>
      <c r="B8" s="392" t="s">
        <v>2139</v>
      </c>
      <c r="C8" s="397" t="str">
        <f>IF(G8="已包含在土地购买价格中","0",'数据-取费表'!B29)</f>
        <v>0</v>
      </c>
      <c r="D8" s="399"/>
      <c r="E8" s="397"/>
      <c r="F8" s="398"/>
      <c r="G8" s="400" t="s">
        <v>2140</v>
      </c>
    </row>
    <row r="9" spans="1:7" s="368" customFormat="1" ht="13.5" customHeight="1">
      <c r="A9" s="401" t="s">
        <v>1183</v>
      </c>
      <c r="B9" s="402" t="s">
        <v>2141</v>
      </c>
      <c r="C9" s="403">
        <f>ROUND(D9*E9/10000,0)</f>
        <v>0</v>
      </c>
      <c r="D9" s="404">
        <f>'数据-汇总表'!E5</f>
        <v>0</v>
      </c>
      <c r="E9" s="403">
        <f>'数据-取费表'!B27</f>
        <v>0</v>
      </c>
      <c r="F9" s="398"/>
      <c r="G9" s="405"/>
    </row>
    <row r="10" spans="1:7" s="368" customFormat="1" ht="13.5" customHeight="1">
      <c r="A10" s="401" t="s">
        <v>1190</v>
      </c>
      <c r="B10" s="402" t="s">
        <v>2142</v>
      </c>
      <c r="C10" s="403">
        <f>ROUND(D10*E10/10000,0)</f>
        <v>406</v>
      </c>
      <c r="D10" s="404">
        <f>'数据-汇总表'!E6</f>
        <v>20276.490000000002</v>
      </c>
      <c r="E10" s="403">
        <f>'数据-取费表'!B28</f>
        <v>200</v>
      </c>
      <c r="F10" s="398"/>
      <c r="G10" s="405"/>
    </row>
    <row r="11" spans="1:7" s="368" customFormat="1" ht="13.5" hidden="1" customHeight="1">
      <c r="A11" s="406" t="s">
        <v>1286</v>
      </c>
      <c r="B11" s="392" t="s">
        <v>2143</v>
      </c>
      <c r="C11" s="388"/>
      <c r="D11" s="407"/>
      <c r="E11" s="395"/>
      <c r="F11" s="395"/>
      <c r="G11" s="396"/>
    </row>
    <row r="12" spans="1:7" s="368" customFormat="1" ht="13.5" hidden="1" customHeight="1">
      <c r="A12" s="406" t="s">
        <v>1288</v>
      </c>
      <c r="B12" s="392" t="s">
        <v>2144</v>
      </c>
      <c r="C12" s="388">
        <v>0</v>
      </c>
      <c r="D12" s="407"/>
      <c r="E12" s="408"/>
      <c r="F12" s="398">
        <v>3.0499999999999999E-2</v>
      </c>
      <c r="G12" s="396"/>
    </row>
    <row r="13" spans="1:7" s="368" customFormat="1" ht="13.5" hidden="1" customHeight="1">
      <c r="A13" s="406" t="s">
        <v>1289</v>
      </c>
      <c r="B13" s="392" t="s">
        <v>2145</v>
      </c>
      <c r="C13" s="388"/>
      <c r="D13" s="407"/>
      <c r="E13" s="395"/>
      <c r="F13" s="395"/>
      <c r="G13" s="396"/>
    </row>
    <row r="14" spans="1:7" s="368" customFormat="1" ht="13.5" hidden="1" customHeight="1">
      <c r="A14" s="406" t="s">
        <v>1291</v>
      </c>
      <c r="B14" s="392" t="s">
        <v>2139</v>
      </c>
      <c r="C14" s="388"/>
      <c r="D14" s="407"/>
      <c r="E14" s="395"/>
      <c r="F14" s="395"/>
      <c r="G14" s="396" t="s">
        <v>2146</v>
      </c>
    </row>
    <row r="15" spans="1:7" s="368" customFormat="1" ht="13.5" hidden="1" customHeight="1">
      <c r="A15" s="406" t="s">
        <v>1293</v>
      </c>
      <c r="B15" s="392" t="s">
        <v>2147</v>
      </c>
      <c r="C15" s="397"/>
      <c r="D15" s="407"/>
      <c r="E15" s="395"/>
      <c r="F15" s="395"/>
      <c r="G15" s="396" t="s">
        <v>2148</v>
      </c>
    </row>
    <row r="16" spans="1:7" s="368" customFormat="1" ht="13.5" hidden="1" customHeight="1">
      <c r="A16" s="406" t="s">
        <v>1296</v>
      </c>
      <c r="B16" s="392" t="s">
        <v>2139</v>
      </c>
      <c r="C16" s="397"/>
      <c r="D16" s="407"/>
      <c r="E16" s="395"/>
      <c r="F16" s="395"/>
      <c r="G16" s="396"/>
    </row>
    <row r="17" spans="1:7" s="368" customFormat="1" ht="13.5" hidden="1" customHeight="1">
      <c r="A17" s="406" t="s">
        <v>1297</v>
      </c>
      <c r="B17" s="392" t="s">
        <v>2149</v>
      </c>
      <c r="C17" s="409"/>
      <c r="D17" s="410"/>
      <c r="E17" s="409"/>
      <c r="F17" s="409"/>
      <c r="G17" s="396" t="s">
        <v>2148</v>
      </c>
    </row>
    <row r="18" spans="1:7" s="368" customFormat="1" ht="13.5" hidden="1" customHeight="1">
      <c r="A18" s="406" t="s">
        <v>1299</v>
      </c>
      <c r="B18" s="392" t="s">
        <v>2150</v>
      </c>
      <c r="C18" s="397">
        <v>0</v>
      </c>
      <c r="D18" s="407"/>
      <c r="E18" s="395"/>
      <c r="F18" s="398">
        <v>3.0499999999999999E-2</v>
      </c>
      <c r="G18" s="396" t="s">
        <v>2151</v>
      </c>
    </row>
    <row r="19" spans="1:7" s="369" customFormat="1" ht="13.5" customHeight="1">
      <c r="A19" s="411" t="s">
        <v>1704</v>
      </c>
      <c r="B19" s="387" t="s">
        <v>2152</v>
      </c>
      <c r="C19" s="388">
        <f>IF(G19="已包含在土地取得成本中","0",ROUND(D19*E19/10000,0))</f>
        <v>406</v>
      </c>
      <c r="D19" s="412">
        <f>'数据-汇总表'!E3</f>
        <v>20276.490000000002</v>
      </c>
      <c r="E19" s="388">
        <f>'数据-取费表'!B31</f>
        <v>200</v>
      </c>
      <c r="F19" s="413"/>
      <c r="G19" s="400" t="s">
        <v>2153</v>
      </c>
    </row>
    <row r="20" spans="1:7" s="368" customFormat="1" ht="13.5" customHeight="1">
      <c r="A20" s="411" t="s">
        <v>1741</v>
      </c>
      <c r="B20" s="387" t="s">
        <v>2154</v>
      </c>
      <c r="C20" s="414">
        <f>ROUND((C5+C19)*F20,0)</f>
        <v>420</v>
      </c>
      <c r="D20" s="414"/>
      <c r="E20" s="414"/>
      <c r="F20" s="415">
        <f>'数据-取费表'!B37</f>
        <v>0.02</v>
      </c>
      <c r="G20" s="416" t="s">
        <v>2155</v>
      </c>
    </row>
    <row r="21" spans="1:7" s="368" customFormat="1" ht="13.5" customHeight="1">
      <c r="A21" s="411" t="s">
        <v>1746</v>
      </c>
      <c r="B21" s="387" t="s">
        <v>2156</v>
      </c>
      <c r="C21" s="417">
        <f>F21</f>
        <v>0.02</v>
      </c>
      <c r="D21" s="418" t="s">
        <v>2157</v>
      </c>
      <c r="E21" s="414"/>
      <c r="F21" s="415">
        <f>'数据-取费表'!B38</f>
        <v>0.02</v>
      </c>
      <c r="G21" s="419" t="s">
        <v>2158</v>
      </c>
    </row>
    <row r="22" spans="1:7" s="368" customFormat="1" ht="13.5" customHeight="1">
      <c r="A22" s="411" t="s">
        <v>1755</v>
      </c>
      <c r="B22" s="387" t="s">
        <v>2159</v>
      </c>
      <c r="C22" s="420">
        <f ca="1">ROUND(SUM(C23:C25),0)</f>
        <v>1797</v>
      </c>
      <c r="D22" s="417">
        <f ca="1">C26</f>
        <v>8.0000000000000004E-4</v>
      </c>
      <c r="E22" s="418" t="s">
        <v>2157</v>
      </c>
      <c r="F22" s="421">
        <f ca="1">'数据-取费表'!B40</f>
        <v>4.1499999999999995E-2</v>
      </c>
      <c r="G22" s="416" t="str">
        <f>IF('数据-取费表'!B22&lt;=1,"单利计息","复利计息")</f>
        <v>复利计息</v>
      </c>
    </row>
    <row r="23" spans="1:7" s="368" customFormat="1" ht="13.5" customHeight="1">
      <c r="A23" s="422" t="s">
        <v>1275</v>
      </c>
      <c r="B23" s="392" t="s">
        <v>2160</v>
      </c>
      <c r="C23" s="423">
        <f ca="1">ROUND(IF('数据-取费表'!B22&lt;=1,C5*F22*'数据-取费表'!B23,C5*(POWER((1+F22),'数据-取费表'!B23)-1)),0)</f>
        <v>1746</v>
      </c>
      <c r="D23" s="424"/>
      <c r="E23" s="424"/>
      <c r="F23" s="425"/>
      <c r="G23" s="426" t="s">
        <v>2161</v>
      </c>
    </row>
    <row r="24" spans="1:7" s="368" customFormat="1" ht="13.5" customHeight="1">
      <c r="A24" s="422" t="s">
        <v>1277</v>
      </c>
      <c r="B24" s="392" t="s">
        <v>2162</v>
      </c>
      <c r="C24" s="423">
        <f ca="1">ROUND(IF('数据-取费表'!B22&lt;=1,C19*F22*('数据-取费表'!B19/2+'数据-取费表'!B21),C19*(POWER((1+F22),('数据-取费表'!B19/2+'数据-取费表'!B21))-1)),0)</f>
        <v>34</v>
      </c>
      <c r="D24" s="424"/>
      <c r="E24" s="424"/>
      <c r="F24" s="425"/>
      <c r="G24" s="426" t="s">
        <v>2163</v>
      </c>
    </row>
    <row r="25" spans="1:7" s="368" customFormat="1" ht="24">
      <c r="A25" s="422" t="s">
        <v>1279</v>
      </c>
      <c r="B25" s="392" t="s">
        <v>2164</v>
      </c>
      <c r="C25" s="423">
        <f ca="1">ROUND(IF('数据-取费表'!B22&lt;=1,C20*F22*'数据-取费表'!B23/2,C20*(POWER((1+F22),'数据-取费表'!B23/2)-1)),0)</f>
        <v>17</v>
      </c>
      <c r="D25" s="424"/>
      <c r="E25" s="427"/>
      <c r="F25" s="425"/>
      <c r="G25" s="428" t="s">
        <v>2165</v>
      </c>
    </row>
    <row r="26" spans="1:7" s="368" customFormat="1">
      <c r="A26" s="422" t="s">
        <v>1320</v>
      </c>
      <c r="B26" s="392" t="s">
        <v>2166</v>
      </c>
      <c r="C26" s="424">
        <f ca="1">ROUND(IF('数据-取费表'!B22&lt;=1,F21*F22*'数据-取费表'!B23/2,F21*(POWER((1+F22),'数据-取费表'!B23/2)-1)),4)</f>
        <v>8.0000000000000004E-4</v>
      </c>
      <c r="D26" s="424"/>
      <c r="E26" s="427"/>
      <c r="F26" s="425"/>
      <c r="G26" s="429"/>
    </row>
    <row r="27" spans="1:7" s="368" customFormat="1" ht="24.75">
      <c r="A27" s="411" t="s">
        <v>1764</v>
      </c>
      <c r="B27" s="430" t="s">
        <v>2167</v>
      </c>
      <c r="C27" s="431">
        <f>C28</f>
        <v>3215</v>
      </c>
      <c r="D27" s="417">
        <f>C29</f>
        <v>3.0000000000000001E-3</v>
      </c>
      <c r="E27" s="418" t="s">
        <v>2157</v>
      </c>
      <c r="F27" s="432">
        <f>'数据-取费表'!Q16</f>
        <v>0.15</v>
      </c>
      <c r="G27" s="433" t="s">
        <v>2168</v>
      </c>
    </row>
    <row r="28" spans="1:7" s="368" customFormat="1" ht="13.5" customHeight="1">
      <c r="A28" s="422" t="s">
        <v>1275</v>
      </c>
      <c r="B28" s="434" t="s">
        <v>2169</v>
      </c>
      <c r="C28" s="435">
        <f>ROUND((C5+C19+C20)*F27*'数据-取费表'!B21/'数据-取费表'!B20,0)</f>
        <v>3215</v>
      </c>
      <c r="D28" s="417"/>
      <c r="E28" s="418"/>
      <c r="F28" s="432"/>
      <c r="G28" s="433"/>
    </row>
    <row r="29" spans="1:7" s="368" customFormat="1" ht="13.5" customHeight="1">
      <c r="A29" s="422" t="s">
        <v>1277</v>
      </c>
      <c r="B29" s="434" t="s">
        <v>2170</v>
      </c>
      <c r="C29" s="424">
        <f>ROUND(C21*F27*'数据-取费表'!B21/'数据-取费表'!B20,4)</f>
        <v>3.0000000000000001E-3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28659</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1271</v>
      </c>
      <c r="B33" s="387" t="s">
        <v>2178</v>
      </c>
      <c r="C33" s="442">
        <f>SUM(C34:C38)</f>
        <v>7822</v>
      </c>
      <c r="D33" s="414"/>
      <c r="E33" s="389"/>
      <c r="F33" s="427"/>
      <c r="G33" s="419"/>
    </row>
    <row r="34" spans="1:7" s="370" customFormat="1" ht="13.5" customHeight="1">
      <c r="A34" s="422" t="s">
        <v>1275</v>
      </c>
      <c r="B34" s="392" t="s">
        <v>2179</v>
      </c>
      <c r="C34" s="397">
        <f>IF(F34=100%,'数据-取费表'!M16-SUMIF('数据-取费表'!C:C,"公共配套",'数据-取费表'!M:M),'数据-取费表'!O16-SUMIF('数据-取费表'!C:C,"公共配套",'数据-取费表'!O:O))</f>
        <v>7097</v>
      </c>
      <c r="D34" s="394"/>
      <c r="E34" s="397"/>
      <c r="F34" s="443">
        <f>IF('数据-取费表'!B24=0,1,'数据-取费表'!N16)</f>
        <v>1</v>
      </c>
      <c r="G34" s="396" t="s">
        <v>2180</v>
      </c>
    </row>
    <row r="35" spans="1:7" ht="13.5" customHeight="1">
      <c r="A35" s="422" t="s">
        <v>1277</v>
      </c>
      <c r="B35" s="392" t="s">
        <v>2181</v>
      </c>
      <c r="C35" s="397">
        <f>ROUND(C34*F35,0)</f>
        <v>213</v>
      </c>
      <c r="D35" s="397"/>
      <c r="E35" s="397"/>
      <c r="F35" s="444">
        <f>'数据-取费表'!B33</f>
        <v>0.03</v>
      </c>
      <c r="G35" s="396" t="s">
        <v>2182</v>
      </c>
    </row>
    <row r="36" spans="1:7" ht="24">
      <c r="A36" s="422" t="s">
        <v>1279</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1320</v>
      </c>
      <c r="B37" s="392" t="s">
        <v>2185</v>
      </c>
      <c r="C37" s="435">
        <f>ROUND(E37*D37*F34/10000,0)</f>
        <v>406</v>
      </c>
      <c r="D37" s="394">
        <f>'数据-汇总表'!E3</f>
        <v>20276.490000000002</v>
      </c>
      <c r="E37" s="435">
        <f>'数据-取费表'!B35</f>
        <v>200</v>
      </c>
      <c r="F37" s="444"/>
      <c r="G37" s="446" t="s">
        <v>2186</v>
      </c>
    </row>
    <row r="38" spans="1:7" ht="13.5" customHeight="1">
      <c r="A38" s="422" t="s">
        <v>1342</v>
      </c>
      <c r="B38" s="392" t="s">
        <v>2144</v>
      </c>
      <c r="C38" s="397">
        <f>ROUND(C34*F38,0)</f>
        <v>106</v>
      </c>
      <c r="D38" s="397"/>
      <c r="E38" s="397"/>
      <c r="F38" s="444">
        <f>'数据-取费表'!B36</f>
        <v>1.4999999999999999E-2</v>
      </c>
      <c r="G38" s="396" t="s">
        <v>2182</v>
      </c>
    </row>
    <row r="39" spans="1:7" s="368" customFormat="1" ht="13.5" customHeight="1">
      <c r="A39" s="411" t="s">
        <v>1704</v>
      </c>
      <c r="B39" s="387" t="s">
        <v>2154</v>
      </c>
      <c r="C39" s="414">
        <f>ROUND(C33*F20,0)</f>
        <v>156</v>
      </c>
      <c r="D39" s="414"/>
      <c r="E39" s="414"/>
      <c r="F39" s="415"/>
      <c r="G39" s="416" t="s">
        <v>2187</v>
      </c>
    </row>
    <row r="40" spans="1:7" s="368" customFormat="1" ht="13.5" customHeight="1">
      <c r="A40" s="411" t="s">
        <v>1741</v>
      </c>
      <c r="B40" s="387" t="s">
        <v>2156</v>
      </c>
      <c r="C40" s="447">
        <f>F21</f>
        <v>0.02</v>
      </c>
      <c r="D40" s="418" t="s">
        <v>2188</v>
      </c>
      <c r="E40" s="414"/>
      <c r="F40" s="415"/>
      <c r="G40" s="419" t="s">
        <v>2189</v>
      </c>
    </row>
    <row r="41" spans="1:7" s="368" customFormat="1" ht="13.5" customHeight="1">
      <c r="A41" s="411" t="s">
        <v>1746</v>
      </c>
      <c r="B41" s="387" t="s">
        <v>2159</v>
      </c>
      <c r="C41" s="414">
        <f ca="1">ROUND(SUM(C42:C43),0)</f>
        <v>331</v>
      </c>
      <c r="D41" s="417">
        <f ca="1">C44</f>
        <v>8.0000000000000004E-4</v>
      </c>
      <c r="E41" s="418" t="s">
        <v>2188</v>
      </c>
      <c r="F41" s="421"/>
      <c r="G41" s="416" t="str">
        <f>IF('数据-取费表'!B22&lt;=1,"单利计息","复利计息")</f>
        <v>复利计息</v>
      </c>
    </row>
    <row r="42" spans="1:7" ht="13.5" customHeight="1">
      <c r="A42" s="422" t="s">
        <v>1275</v>
      </c>
      <c r="B42" s="392" t="s">
        <v>2160</v>
      </c>
      <c r="C42" s="424">
        <f ca="1">ROUND(IF('数据-取费表'!B22&lt;=1,C33*F22*'数据-取费表'!B21/2,C33*(POWER((1+F22),'数据-取费表'!B21/2)-1)),0)</f>
        <v>325</v>
      </c>
      <c r="D42" s="424"/>
      <c r="E42" s="424"/>
      <c r="F42" s="425"/>
      <c r="G42" s="3679" t="s">
        <v>2190</v>
      </c>
    </row>
    <row r="43" spans="1:7" ht="13.5" customHeight="1">
      <c r="A43" s="422" t="s">
        <v>1277</v>
      </c>
      <c r="B43" s="392" t="s">
        <v>2162</v>
      </c>
      <c r="C43" s="424">
        <f ca="1">ROUND(IF('数据-取费表'!B22&lt;=1,C39*F22*'数据-取费表'!B21/2,C39*(POWER((1+F22),'数据-取费表'!B21/2)-1)),0)</f>
        <v>6</v>
      </c>
      <c r="D43" s="424"/>
      <c r="E43" s="424"/>
      <c r="F43" s="425"/>
      <c r="G43" s="3680"/>
    </row>
    <row r="44" spans="1:7" ht="13.5" customHeight="1">
      <c r="A44" s="422" t="s">
        <v>1279</v>
      </c>
      <c r="B44" s="392" t="s">
        <v>2164</v>
      </c>
      <c r="C44" s="424">
        <f ca="1">ROUND(IF('数据-取费表'!B22&lt;=1,C40*F22*'数据-取费表'!B21/2,C40*(POWER((1+F22),'数据-取费表'!B21/2)-1)),4)</f>
        <v>8.0000000000000004E-4</v>
      </c>
      <c r="D44" s="424"/>
      <c r="E44" s="424"/>
      <c r="F44" s="425"/>
      <c r="G44" s="3681"/>
    </row>
    <row r="45" spans="1:7" s="368" customFormat="1" ht="13.5" customHeight="1">
      <c r="A45" s="411" t="s">
        <v>1755</v>
      </c>
      <c r="B45" s="430" t="s">
        <v>2167</v>
      </c>
      <c r="C45" s="431">
        <f>C46</f>
        <v>1197</v>
      </c>
      <c r="D45" s="417">
        <f>C47</f>
        <v>3.0000000000000001E-3</v>
      </c>
      <c r="E45" s="418" t="s">
        <v>2188</v>
      </c>
      <c r="F45" s="432"/>
      <c r="G45" s="433" t="s">
        <v>2191</v>
      </c>
    </row>
    <row r="46" spans="1:7" s="368" customFormat="1" ht="13.5" customHeight="1">
      <c r="A46" s="422" t="s">
        <v>1275</v>
      </c>
      <c r="B46" s="434" t="s">
        <v>2192</v>
      </c>
      <c r="C46" s="435">
        <f>ROUND((C33+C39)*F27,0)</f>
        <v>1197</v>
      </c>
      <c r="D46" s="448"/>
      <c r="E46" s="418"/>
      <c r="F46" s="432"/>
      <c r="G46" s="433"/>
    </row>
    <row r="47" spans="1:7" s="368" customFormat="1" ht="13.5" customHeight="1">
      <c r="A47" s="422" t="s">
        <v>1277</v>
      </c>
      <c r="B47" s="434" t="s">
        <v>2193</v>
      </c>
      <c r="C47" s="424">
        <f>ROUND(C40*F27,4)</f>
        <v>3.0000000000000001E-3</v>
      </c>
      <c r="D47" s="448"/>
      <c r="E47" s="418"/>
      <c r="F47" s="432"/>
      <c r="G47" s="433"/>
    </row>
    <row r="48" spans="1:7" s="368" customFormat="1" ht="13.5" customHeight="1">
      <c r="A48" s="411" t="s">
        <v>1764</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10301</v>
      </c>
      <c r="D49" s="414"/>
      <c r="E49" s="414"/>
      <c r="F49" s="449"/>
      <c r="G49" s="419" t="s">
        <v>2197</v>
      </c>
    </row>
    <row r="50" spans="1:7" s="370" customFormat="1" ht="24">
      <c r="A50" s="411" t="s">
        <v>2198</v>
      </c>
      <c r="B50" s="387" t="s">
        <v>2199</v>
      </c>
      <c r="C50" s="414"/>
      <c r="D50" s="414"/>
      <c r="E50" s="414"/>
      <c r="F50" s="449">
        <f>IF('数据-取费表'!B24=0,'数据-取费表'!N16,1)</f>
        <v>0.8</v>
      </c>
      <c r="G50" s="433" t="s">
        <v>2200</v>
      </c>
    </row>
    <row r="51" spans="1:7" ht="16.5" customHeight="1">
      <c r="A51" s="411" t="s">
        <v>2201</v>
      </c>
      <c r="B51" s="387" t="s">
        <v>2202</v>
      </c>
      <c r="C51" s="414">
        <f ca="1">ROUND(C49*F50,0)</f>
        <v>8241</v>
      </c>
      <c r="D51" s="414"/>
      <c r="E51" s="414"/>
      <c r="F51" s="449"/>
      <c r="G51" s="419" t="s">
        <v>2203</v>
      </c>
    </row>
    <row r="52" spans="1:7" s="367" customFormat="1" ht="15.75">
      <c r="A52" s="450" t="s">
        <v>2204</v>
      </c>
      <c r="B52" s="451"/>
      <c r="C52" s="452">
        <f ca="1">C31+C51</f>
        <v>36900</v>
      </c>
      <c r="D52" s="451"/>
      <c r="E52" s="451"/>
      <c r="F52" s="451"/>
      <c r="G52" s="453"/>
    </row>
    <row r="55" spans="1:7" ht="15">
      <c r="B55" s="454" t="s">
        <v>2205</v>
      </c>
      <c r="C55" s="455"/>
    </row>
    <row r="56" spans="1:7">
      <c r="B56" s="456" t="s">
        <v>2206</v>
      </c>
      <c r="C56" s="457">
        <f ca="1">ROUND(C51/C52,3)</f>
        <v>0.223</v>
      </c>
    </row>
    <row r="57" spans="1:7">
      <c r="B57" s="456" t="s">
        <v>2207</v>
      </c>
      <c r="C57" s="458">
        <f ca="1">1-C56</f>
        <v>0.77700000000000002</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2208</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61" t="s">
        <v>2223</v>
      </c>
      <c r="B3" s="340"/>
      <c r="C3" s="341" t="s">
        <v>1887</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62"/>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498</v>
      </c>
      <c r="N16" s="347" t="s">
        <v>2369</v>
      </c>
      <c r="O16" s="347" t="s">
        <v>2370</v>
      </c>
      <c r="P16" s="347" t="s">
        <v>2371</v>
      </c>
      <c r="Q16" s="347" t="s">
        <v>2372</v>
      </c>
      <c r="R16" s="347" t="s">
        <v>2373</v>
      </c>
      <c r="S16" s="347" t="s">
        <v>2374</v>
      </c>
    </row>
    <row r="17" spans="1:19" ht="14.25" customHeight="1">
      <c r="A17" s="347" t="s">
        <v>241</v>
      </c>
      <c r="B17" s="348" t="s">
        <v>2296</v>
      </c>
      <c r="C17" s="347">
        <v>29180</v>
      </c>
      <c r="D17" s="347">
        <v>27620</v>
      </c>
      <c r="E17" s="347">
        <v>28180</v>
      </c>
      <c r="F17" s="347">
        <v>10790</v>
      </c>
      <c r="G17" s="347">
        <v>20090</v>
      </c>
      <c r="H17" s="342"/>
      <c r="J17" s="348" t="s">
        <v>2375</v>
      </c>
      <c r="K17" s="348" t="s">
        <v>2376</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2375</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2376</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498</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2593</v>
      </c>
      <c r="B1" s="3763"/>
    </row>
    <row r="2" spans="1:7">
      <c r="A2" s="301"/>
      <c r="B2" s="301"/>
    </row>
    <row r="3" spans="1:7">
      <c r="A3" s="301"/>
      <c r="B3" s="301"/>
      <c r="C3" s="302" t="s">
        <v>1887</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2376</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498</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2598</v>
      </c>
      <c r="B1" s="3764"/>
      <c r="C1" s="3764"/>
      <c r="D1" s="3764"/>
      <c r="E1" s="3764"/>
      <c r="F1" s="3765"/>
    </row>
    <row r="2" spans="1:6" ht="15">
      <c r="A2" s="291" t="s">
        <v>2599</v>
      </c>
      <c r="B2" s="292"/>
      <c r="C2" s="292"/>
      <c r="D2" s="292"/>
      <c r="E2" s="292"/>
      <c r="F2" s="292"/>
    </row>
    <row r="3" spans="1:6" ht="15">
      <c r="A3" s="291" t="s">
        <v>2600</v>
      </c>
      <c r="B3" s="292"/>
      <c r="C3" s="292"/>
      <c r="D3" s="292"/>
      <c r="E3" s="292"/>
      <c r="F3" s="293" t="s">
        <v>2601</v>
      </c>
    </row>
    <row r="4" spans="1:6">
      <c r="A4" s="294" t="s">
        <v>404</v>
      </c>
      <c r="B4" s="294" t="s">
        <v>1887</v>
      </c>
      <c r="C4" s="294" t="s">
        <v>548</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45078</v>
      </c>
      <c r="B1" s="217" t="s">
        <v>2603</v>
      </c>
      <c r="C1" s="218"/>
      <c r="D1" s="218"/>
      <c r="E1" s="218"/>
      <c r="F1" s="218"/>
      <c r="G1" s="218"/>
      <c r="H1" s="218"/>
      <c r="I1" s="218"/>
      <c r="J1" s="244"/>
      <c r="K1" s="218" t="s">
        <v>2604</v>
      </c>
      <c r="L1" s="218"/>
      <c r="M1" s="218"/>
      <c r="N1" s="218"/>
      <c r="O1" s="218"/>
      <c r="P1" s="218"/>
      <c r="Q1" s="244"/>
      <c r="R1" s="3766" t="s">
        <v>2605</v>
      </c>
      <c r="S1" s="3767"/>
      <c r="T1" s="3767"/>
      <c r="U1" s="3767"/>
      <c r="V1" s="3767"/>
      <c r="W1" s="3767"/>
      <c r="X1" s="244"/>
      <c r="Y1" s="3766" t="s">
        <v>2606</v>
      </c>
      <c r="Z1" s="3767"/>
      <c r="AA1" s="3767"/>
      <c r="AB1" s="3767"/>
      <c r="AC1" s="3767"/>
      <c r="AD1" s="3767"/>
    </row>
    <row r="2" spans="1:30" s="208" customFormat="1">
      <c r="B2" s="219"/>
      <c r="C2" s="220"/>
      <c r="D2" s="221" t="s">
        <v>2607</v>
      </c>
      <c r="E2" s="222" t="s">
        <v>1887</v>
      </c>
      <c r="F2" s="222" t="s">
        <v>548</v>
      </c>
      <c r="G2" s="222" t="s">
        <v>412</v>
      </c>
      <c r="H2" s="222" t="s">
        <v>408</v>
      </c>
      <c r="I2" s="222" t="s">
        <v>280</v>
      </c>
      <c r="J2" s="245"/>
      <c r="K2" s="221" t="s">
        <v>2607</v>
      </c>
      <c r="L2" s="222" t="s">
        <v>1887</v>
      </c>
      <c r="M2" s="222" t="s">
        <v>548</v>
      </c>
      <c r="N2" s="222" t="s">
        <v>412</v>
      </c>
      <c r="O2" s="222" t="s">
        <v>408</v>
      </c>
      <c r="P2" s="222" t="s">
        <v>280</v>
      </c>
      <c r="Q2" s="245"/>
      <c r="R2" s="221" t="s">
        <v>2607</v>
      </c>
      <c r="S2" s="222" t="s">
        <v>1887</v>
      </c>
      <c r="T2" s="222" t="s">
        <v>548</v>
      </c>
      <c r="U2" s="222" t="s">
        <v>412</v>
      </c>
      <c r="V2" s="222" t="s">
        <v>408</v>
      </c>
      <c r="W2" s="222" t="s">
        <v>280</v>
      </c>
      <c r="X2" s="245"/>
      <c r="Y2" s="221" t="s">
        <v>2607</v>
      </c>
      <c r="Z2" s="222" t="s">
        <v>1887</v>
      </c>
      <c r="AA2" s="222" t="s">
        <v>548</v>
      </c>
      <c r="AB2" s="222" t="s">
        <v>412</v>
      </c>
      <c r="AC2" s="222" t="s">
        <v>408</v>
      </c>
      <c r="AD2" s="222" t="s">
        <v>280</v>
      </c>
    </row>
    <row r="3" spans="1:30" s="209" customFormat="1" ht="12.75">
      <c r="A3" s="223" t="s">
        <v>2608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1525</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66" t="s">
        <v>2605</v>
      </c>
      <c r="S21" s="3767"/>
      <c r="T21" s="3767"/>
      <c r="U21" s="3767"/>
      <c r="V21" s="3767"/>
      <c r="W21" s="3767"/>
      <c r="X21" s="244"/>
      <c r="Y21" s="3766" t="s">
        <v>2606</v>
      </c>
      <c r="Z21" s="3767"/>
      <c r="AA21" s="3767"/>
      <c r="AB21" s="3767"/>
      <c r="AC21" s="3767"/>
      <c r="AD21" s="3767"/>
    </row>
    <row r="22" spans="1:30" s="208" customFormat="1">
      <c r="B22" s="219"/>
      <c r="C22" s="220"/>
      <c r="D22" s="221" t="s">
        <v>2607</v>
      </c>
      <c r="E22" s="222" t="s">
        <v>1887</v>
      </c>
      <c r="F22" s="222" t="s">
        <v>548</v>
      </c>
      <c r="G22" s="222" t="s">
        <v>412</v>
      </c>
      <c r="H22" s="222"/>
      <c r="I22" s="222" t="s">
        <v>280</v>
      </c>
      <c r="J22" s="245"/>
      <c r="K22" s="221" t="s">
        <v>2607</v>
      </c>
      <c r="L22" s="222" t="s">
        <v>1887</v>
      </c>
      <c r="M22" s="222" t="s">
        <v>548</v>
      </c>
      <c r="N22" s="222" t="s">
        <v>412</v>
      </c>
      <c r="O22" s="222"/>
      <c r="P22" s="222" t="s">
        <v>280</v>
      </c>
      <c r="Q22" s="245"/>
      <c r="R22" s="221" t="s">
        <v>2607</v>
      </c>
      <c r="S22" s="222" t="s">
        <v>1887</v>
      </c>
      <c r="T22" s="222" t="s">
        <v>548</v>
      </c>
      <c r="U22" s="222" t="s">
        <v>412</v>
      </c>
      <c r="V22" s="222"/>
      <c r="W22" s="222" t="s">
        <v>280</v>
      </c>
      <c r="X22" s="245"/>
      <c r="Y22" s="221" t="s">
        <v>2607</v>
      </c>
      <c r="Z22" s="222" t="s">
        <v>1887</v>
      </c>
      <c r="AA22" s="222" t="s">
        <v>548</v>
      </c>
      <c r="AB22" s="222" t="s">
        <v>412</v>
      </c>
      <c r="AC22" s="222"/>
      <c r="AD22" s="222" t="s">
        <v>280</v>
      </c>
    </row>
    <row r="23" spans="1:30" s="209" customFormat="1" ht="12.75">
      <c r="A23" s="223" t="s">
        <v>2608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1.0344</v>
      </c>
      <c r="T25" s="270">
        <f>ROUND(IF([4]项目基本情况!$B$8="出让",SUMPRODUCT(PRODUCT(1+M25:M$36)),SUMPRODUCT(PRODUCT(1+M25:M$35))),4)</f>
        <v>1.0224</v>
      </c>
      <c r="U25" s="270">
        <f>ROUND(IF([4]项目基本情况!$B$8="出让",SUMPRODUCT(PRODUCT(1+N25:N$36)),SUMPRODUCT(PRODUCT(1+N25:N$35))),4)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1.0344</v>
      </c>
      <c r="T26" s="270">
        <f>ROUND(IF([4]项目基本情况!$B$8="出让",SUMPRODUCT(PRODUCT(1+M26:M$36)),SUMPRODUCT(PRODUCT(1+M26:M$35))),4)</f>
        <v>1.0224</v>
      </c>
      <c r="U26" s="270">
        <f>ROUND(IF([4]项目基本情况!$B$8="出让",SUMPRODUCT(PRODUCT(1+N26:N$36)),SUMPRODUCT(PRODUCT(1+N26:N$35))),4)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ROUND(IF([4]项目基本情况!$B$8="出让",SUMPRODUCT(PRODUCT(1+L27:L$36)),SUMPRODUCT(PRODUCT(1+L27:L$35))),4)</f>
        <v>1.0344</v>
      </c>
      <c r="T27" s="270">
        <f>ROUND(IF([4]项目基本情况!$B$8="出让",SUMPRODUCT(PRODUCT(1+M27:M$36)),SUMPRODUCT(PRODUCT(1+M27:M$35))),4)</f>
        <v>1.0224</v>
      </c>
      <c r="U27" s="270">
        <f>ROUND(IF([4]项目基本情况!$B$8="出让",SUMPRODUCT(PRODUCT(1+N27:N$36)),SUMPRODUCT(PRODUCT(1+N27:N$35))),4)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ROUND(IF([4]项目基本情况!$B$8="出让",SUMPRODUCT(PRODUCT(1+L28:L$36)),SUMPRODUCT(PRODUCT(1+L28:L$35))),4)</f>
        <v>1.0344</v>
      </c>
      <c r="T28" s="256">
        <f>ROUND(IF([4]项目基本情况!$B$8="出让",SUMPRODUCT(PRODUCT(1+M28:M$36)),SUMPRODUCT(PRODUCT(1+M28:M$35))),4)</f>
        <v>1.0224</v>
      </c>
      <c r="U28" s="256">
        <f>ROUND(IF([4]项目基本情况!$B$8="出让",SUMPRODUCT(PRODUCT(1+N28:N$36)),SUMPRODUCT(PRODUCT(1+N28:N$35))),4)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2624</v>
      </c>
      <c r="C1" s="3768"/>
      <c r="D1" s="3768"/>
      <c r="E1" s="3768"/>
      <c r="F1" s="3768"/>
      <c r="G1" s="3769" t="s">
        <v>2625</v>
      </c>
      <c r="H1" s="3769"/>
      <c r="I1" s="3769"/>
      <c r="J1" s="3769"/>
      <c r="K1" s="3769"/>
      <c r="L1" s="3769"/>
      <c r="N1" s="3769" t="s">
        <v>2604</v>
      </c>
      <c r="O1" s="3769"/>
      <c r="P1" s="3769"/>
      <c r="Q1" s="3769"/>
      <c r="S1" s="3769" t="s">
        <v>2626</v>
      </c>
      <c r="T1" s="3769"/>
      <c r="U1" s="3769"/>
      <c r="V1" s="3769"/>
      <c r="X1" s="3770" t="s">
        <v>2605</v>
      </c>
      <c r="Y1" s="3769"/>
      <c r="Z1" s="3769"/>
      <c r="AA1" s="3769"/>
      <c r="AB1" s="3769"/>
      <c r="AD1" s="3770" t="s">
        <v>2606</v>
      </c>
      <c r="AE1" s="3769"/>
      <c r="AF1" s="3769"/>
      <c r="AG1" s="3769"/>
      <c r="AH1" s="3769"/>
    </row>
    <row r="2" spans="1:34" s="75" customFormat="1" ht="13.5">
      <c r="B2" s="85" t="s">
        <v>2627</v>
      </c>
      <c r="C2" s="85" t="s">
        <v>2628</v>
      </c>
      <c r="D2" s="86" t="s">
        <v>548</v>
      </c>
      <c r="E2" s="86" t="s">
        <v>412</v>
      </c>
      <c r="F2" s="85" t="s">
        <v>2629</v>
      </c>
      <c r="G2" s="87"/>
      <c r="I2" s="85" t="s">
        <v>2627</v>
      </c>
      <c r="J2" s="86" t="s">
        <v>1896</v>
      </c>
      <c r="K2" s="86" t="s">
        <v>412</v>
      </c>
      <c r="L2" s="85" t="s">
        <v>2629</v>
      </c>
      <c r="N2" s="85" t="s">
        <v>2627</v>
      </c>
      <c r="O2" s="86" t="s">
        <v>1896</v>
      </c>
      <c r="P2" s="86" t="s">
        <v>412</v>
      </c>
      <c r="Q2" s="85" t="s">
        <v>2629</v>
      </c>
      <c r="S2" s="85" t="s">
        <v>2627</v>
      </c>
      <c r="T2" s="86" t="s">
        <v>1896</v>
      </c>
      <c r="U2" s="86" t="s">
        <v>412</v>
      </c>
      <c r="V2" s="85" t="s">
        <v>2629</v>
      </c>
      <c r="X2" s="85" t="s">
        <v>2627</v>
      </c>
      <c r="Y2" s="85" t="s">
        <v>2628</v>
      </c>
      <c r="Z2" s="86" t="s">
        <v>548</v>
      </c>
      <c r="AA2" s="86" t="s">
        <v>412</v>
      </c>
      <c r="AB2" s="85" t="s">
        <v>2629</v>
      </c>
      <c r="AD2" s="85" t="s">
        <v>2627</v>
      </c>
      <c r="AE2" s="85" t="s">
        <v>2628</v>
      </c>
      <c r="AF2" s="86" t="s">
        <v>548</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45078</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zoomScale="70" zoomScaleNormal="70" workbookViewId="0">
      <selection activeCell="AB34" sqref="AB34"/>
    </sheetView>
  </sheetViews>
  <sheetFormatPr defaultColWidth="9" defaultRowHeight="13.5"/>
  <sheetData/>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6"/>
  <sheetViews>
    <sheetView workbookViewId="0">
      <selection activeCell="F15" sqref="F15"/>
    </sheetView>
  </sheetViews>
  <sheetFormatPr defaultColWidth="9" defaultRowHeight="14.25"/>
  <cols>
    <col min="1" max="16384" width="9" style="3430"/>
  </cols>
  <sheetData>
    <row r="5" spans="3:6">
      <c r="D5" s="3430">
        <v>1</v>
      </c>
      <c r="E5" s="3430">
        <v>2</v>
      </c>
    </row>
    <row r="6" spans="3:6">
      <c r="C6" s="3430" t="s">
        <v>2745</v>
      </c>
      <c r="D6" s="3430">
        <v>5186.84</v>
      </c>
      <c r="E6" s="3430">
        <f>12085.89+182.94</f>
        <v>12268.83</v>
      </c>
    </row>
    <row r="7" spans="3:6">
      <c r="C7" s="3430" t="s">
        <v>2746</v>
      </c>
      <c r="D7" s="3430">
        <v>923.48</v>
      </c>
      <c r="E7" s="3430">
        <v>1897.34</v>
      </c>
    </row>
    <row r="8" spans="3:6">
      <c r="C8" s="3430" t="s">
        <v>2750</v>
      </c>
      <c r="D8" s="3430">
        <f>D6+D7</f>
        <v>6110.32</v>
      </c>
      <c r="E8" s="3430">
        <f>E6+E7</f>
        <v>14166.17</v>
      </c>
      <c r="F8" s="3430">
        <f>D8+E8</f>
        <v>20276.489999999998</v>
      </c>
    </row>
    <row r="13" spans="3:6">
      <c r="C13" s="3430" t="s">
        <v>2749</v>
      </c>
      <c r="E13" s="3430">
        <f>E6-E14-E15</f>
        <v>8474.15</v>
      </c>
      <c r="F13" s="3430">
        <v>3.3</v>
      </c>
    </row>
    <row r="14" spans="3:6">
      <c r="C14" s="3430" t="s">
        <v>2748</v>
      </c>
      <c r="E14" s="3430">
        <f>E7</f>
        <v>1897.34</v>
      </c>
      <c r="F14" s="3430">
        <v>6.5</v>
      </c>
    </row>
    <row r="15" spans="3:6">
      <c r="C15" s="3431" t="s">
        <v>2747</v>
      </c>
      <c r="E15" s="3430">
        <f>E7</f>
        <v>1897.34</v>
      </c>
      <c r="F15" s="3430">
        <v>2.5</v>
      </c>
    </row>
    <row r="16" spans="3:6">
      <c r="F16" s="3430">
        <f>(E13*F13+E14*F14+E15*F15)/(E6+E7)</f>
        <v>3.1794588798524934</v>
      </c>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73" t="s">
        <v>110</v>
      </c>
      <c r="E3" s="3373" t="s">
        <v>111</v>
      </c>
      <c r="F3" s="3373" t="s">
        <v>110</v>
      </c>
      <c r="G3" s="3373" t="s">
        <v>111</v>
      </c>
      <c r="H3" s="3373" t="s">
        <v>110</v>
      </c>
      <c r="I3" s="3373" t="s">
        <v>111</v>
      </c>
    </row>
    <row r="4" spans="1:9" ht="15">
      <c r="A4" s="3374" t="str">
        <f>项目基本情况!S2</f>
        <v>北京市房地产</v>
      </c>
      <c r="B4" s="3373">
        <f>项目基本情况!C17</f>
        <v>20276.490000000002</v>
      </c>
      <c r="C4" s="3373">
        <f>项目基本情况!C18</f>
        <v>0</v>
      </c>
      <c r="D4" s="3373">
        <f ca="1">结果表!D118</f>
        <v>34990</v>
      </c>
      <c r="E4" s="3373">
        <f ca="1">结果表!E118</f>
        <v>17257</v>
      </c>
      <c r="F4" s="3373">
        <f ca="1">结果表!F118</f>
        <v>7629</v>
      </c>
      <c r="G4" s="3373">
        <f ca="1">结果表!G118</f>
        <v>3762</v>
      </c>
      <c r="H4" s="3373">
        <f ca="1">结果表!H118</f>
        <v>42619</v>
      </c>
      <c r="I4" s="3373">
        <f ca="1">结果表!I118</f>
        <v>21019</v>
      </c>
    </row>
    <row r="5" spans="1:9" ht="30" customHeight="1">
      <c r="A5" s="3453" t="s">
        <v>112</v>
      </c>
      <c r="B5" s="3453"/>
      <c r="C5" s="3453"/>
      <c r="D5" s="3453" t="str">
        <f ca="1">结果表!D119</f>
        <v>叁亿肆仟玖佰玖拾万元整</v>
      </c>
      <c r="E5" s="3453"/>
      <c r="F5" s="3453" t="str">
        <f ca="1">结果表!F119</f>
        <v>柒仟陆佰贰拾玖万元整</v>
      </c>
      <c r="G5" s="3453"/>
      <c r="H5" s="3453" t="str">
        <f ca="1">结果表!H119</f>
        <v>肆亿贰仟陆佰壹拾玖万元整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42619</v>
      </c>
      <c r="E8" s="3454"/>
      <c r="F8" s="3454"/>
      <c r="G8" s="3454"/>
      <c r="H8" s="3454"/>
      <c r="I8" s="3454"/>
    </row>
    <row r="9" spans="1:9" ht="15">
      <c r="A9" s="3453" t="s">
        <v>112</v>
      </c>
      <c r="B9" s="3453"/>
      <c r="C9" s="3453"/>
      <c r="D9" s="3453" t="str">
        <f ca="1">结果表!D123</f>
        <v>肆亿贰仟陆佰壹拾玖万元整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75"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0" t="s">
        <v>114</v>
      </c>
      <c r="B1" s="3460"/>
      <c r="C1" s="3460"/>
      <c r="D1" s="3460"/>
    </row>
    <row r="2" spans="1:4" ht="18">
      <c r="A2" s="3461" t="s">
        <v>115</v>
      </c>
      <c r="B2" s="3461"/>
      <c r="C2" s="3461"/>
      <c r="D2" s="3461"/>
    </row>
    <row r="3" spans="1:4" ht="18.75">
      <c r="A3" s="3362" t="s">
        <v>116</v>
      </c>
      <c r="B3" s="3362" t="s">
        <v>117</v>
      </c>
      <c r="C3" s="3362" t="s">
        <v>118</v>
      </c>
      <c r="D3" s="3362" t="s">
        <v>119</v>
      </c>
    </row>
    <row r="4" spans="1:4" ht="56.25" customHeight="1">
      <c r="A4" s="3363" t="str">
        <f>项目基本情况!B4</f>
        <v>郑燚</v>
      </c>
      <c r="B4" s="3364">
        <f ca="1">项目基本情况!C4</f>
        <v>1120070131</v>
      </c>
      <c r="C4" s="3365"/>
      <c r="D4" s="3366" t="s">
        <v>120</v>
      </c>
    </row>
    <row r="5" spans="1:4" ht="56.25" customHeight="1">
      <c r="A5" s="3363" t="str">
        <f>项目基本情况!D4</f>
        <v>崔锴</v>
      </c>
      <c r="B5" s="3364">
        <f ca="1">项目基本情况!E4</f>
        <v>1120100036</v>
      </c>
      <c r="C5" s="3367"/>
      <c r="D5" s="3366" t="s">
        <v>120</v>
      </c>
    </row>
    <row r="6" spans="1:4" ht="18">
      <c r="A6" s="3461" t="s">
        <v>121</v>
      </c>
      <c r="B6" s="3461"/>
      <c r="C6" s="3461"/>
      <c r="D6" s="3461"/>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70"/>
      <c r="B23" s="1742"/>
      <c r="C23" s="1742"/>
      <c r="D23" s="1742"/>
    </row>
    <row r="24" spans="1:4">
      <c r="A24" s="3370"/>
      <c r="B24" s="1742"/>
      <c r="C24" s="1742"/>
      <c r="D24" s="1742"/>
    </row>
    <row r="25" spans="1:4" ht="18.75">
      <c r="A25" s="3371" t="s">
        <v>130</v>
      </c>
    </row>
    <row r="26" spans="1:4" ht="18">
      <c r="A26" s="3372"/>
    </row>
    <row r="27" spans="1:4" ht="18.75">
      <c r="A27" s="3372" t="s">
        <v>131</v>
      </c>
    </row>
    <row r="30" spans="1:4" ht="18.75">
      <c r="D30" s="3371"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71" t="s">
        <v>146</v>
      </c>
      <c r="B15" s="3476" t="s">
        <v>147</v>
      </c>
      <c r="C15" s="3470"/>
    </row>
    <row r="16" spans="1:7" ht="13.5">
      <c r="A16" s="3472"/>
      <c r="B16" s="3476" t="s">
        <v>148</v>
      </c>
      <c r="C16" s="3470"/>
    </row>
    <row r="17" spans="1:3" ht="13.5">
      <c r="A17" s="3472"/>
      <c r="B17" s="3475" t="s">
        <v>149</v>
      </c>
      <c r="C17" s="3350" t="s">
        <v>146</v>
      </c>
    </row>
    <row r="18" spans="1:3" ht="13.5">
      <c r="A18" s="3472"/>
      <c r="B18" s="3475"/>
      <c r="C18" s="3350" t="s">
        <v>150</v>
      </c>
    </row>
    <row r="19" spans="1:3" ht="13.5">
      <c r="A19" s="3472"/>
      <c r="B19" s="3475"/>
      <c r="C19" s="3350" t="s">
        <v>151</v>
      </c>
    </row>
    <row r="20" spans="1:3" ht="13.5">
      <c r="A20" s="3473"/>
      <c r="B20" s="3469" t="s">
        <v>152</v>
      </c>
      <c r="C20" s="3470"/>
    </row>
    <row r="21" spans="1:3" ht="13.5">
      <c r="A21" s="3351" t="s">
        <v>153</v>
      </c>
      <c r="B21" s="3352"/>
      <c r="C21" s="3353"/>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50" t="s">
        <v>159</v>
      </c>
    </row>
    <row r="26" spans="1:3" ht="13.5">
      <c r="A26" s="3474"/>
      <c r="B26" s="3475"/>
      <c r="C26" s="3350" t="s">
        <v>160</v>
      </c>
    </row>
    <row r="27" spans="1:3" ht="13.5">
      <c r="A27" s="3474"/>
      <c r="B27" s="3475"/>
      <c r="C27" s="3350" t="s">
        <v>161</v>
      </c>
    </row>
    <row r="28" spans="1:3" ht="13.5">
      <c r="A28" s="3474"/>
      <c r="B28" s="3475"/>
      <c r="C28" s="3350" t="s">
        <v>162</v>
      </c>
    </row>
    <row r="29" spans="1:3" ht="13.5">
      <c r="A29" s="3474"/>
      <c r="B29" s="3475"/>
      <c r="C29" s="3350" t="s">
        <v>163</v>
      </c>
    </row>
    <row r="30" spans="1:3" ht="13.5">
      <c r="A30" s="3474"/>
      <c r="B30" s="3475"/>
      <c r="C30" s="3350" t="s">
        <v>164</v>
      </c>
    </row>
    <row r="31" spans="1:3" ht="13.5">
      <c r="A31" s="3474"/>
      <c r="B31" s="3475"/>
      <c r="C31" s="3350" t="s">
        <v>165</v>
      </c>
    </row>
    <row r="32" spans="1:3" ht="13.5">
      <c r="A32" s="3474"/>
      <c r="B32" s="3475"/>
      <c r="C32" s="3350" t="s">
        <v>166</v>
      </c>
    </row>
    <row r="33" spans="1:3" ht="13.5">
      <c r="A33" s="3474"/>
      <c r="B33" s="347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45091</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17"/>
      <c r="E18" s="3479" t="s">
        <v>199</v>
      </c>
      <c r="F18" s="3478"/>
      <c r="G18" s="347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2023-06-14T05:35:51Z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1C41131174FB4706AE7880959CFA5AA3_12</vt:lpwstr>
  </property>
  <property fmtid="{D5CDD505-2E9C-101B-9397-08002B2CF9AE}" pid="3" name="KSOProductBuildVer">
    <vt:lpwstr>2052-11.1.0.10314</vt:lpwstr>
  </property>
</Properties>
</file>