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99" firstSheet="11"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sheetId="15" state="hidden" r:id="rId34"/>
    <sheet name="案例" sheetId="81"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33">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4" i="31" l="1"/>
  <c r="G4" i="31" s="1"/>
  <c r="H4" i="31" s="1"/>
  <c r="I4" i="31" s="1"/>
  <c r="J52" i="67" l="1"/>
  <c r="N7" i="1"/>
  <c r="Y7" i="1" s="1"/>
  <c r="F19" i="6"/>
  <c r="B25" i="31"/>
  <c r="B26" i="31"/>
  <c r="B27" i="31"/>
  <c r="B28" i="31"/>
  <c r="B29" i="31"/>
  <c r="B30" i="31"/>
  <c r="B31" i="31"/>
  <c r="B32" i="31"/>
  <c r="B33" i="31"/>
  <c r="B34" i="31"/>
  <c r="B35" i="31"/>
  <c r="B36" i="31"/>
  <c r="B24" i="31"/>
  <c r="A25" i="31"/>
  <c r="A26" i="31"/>
  <c r="A27" i="31"/>
  <c r="A28" i="31"/>
  <c r="A29" i="31"/>
  <c r="A30" i="31"/>
  <c r="A31" i="31"/>
  <c r="A32" i="31"/>
  <c r="A33" i="31"/>
  <c r="A34" i="31"/>
  <c r="A35" i="31"/>
  <c r="A36" i="31"/>
  <c r="A24" i="31"/>
  <c r="C34" i="34"/>
  <c r="N6" i="1"/>
  <c r="Y6" i="1" s="1"/>
  <c r="M24" i="1"/>
  <c r="M23" i="1" s="1"/>
  <c r="C15" i="80"/>
  <c r="I13" i="3"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F20" i="6" l="1"/>
  <c r="B21" i="80"/>
  <c r="B22" i="80" s="1"/>
  <c r="A3" i="3" s="1"/>
  <c r="M22" i="1"/>
  <c r="G14" i="73"/>
  <c r="F14" i="73"/>
  <c r="E14" i="73"/>
  <c r="G15" i="73"/>
  <c r="F15" i="73"/>
  <c r="E15" i="73"/>
  <c r="N22" i="1" l="1"/>
  <c r="AB32" i="79"/>
  <c r="AA32" i="79"/>
  <c r="Z32" i="79"/>
  <c r="N32" i="79"/>
  <c r="M32" i="79"/>
  <c r="P32" i="79" s="1"/>
  <c r="L32" i="79"/>
  <c r="I32" i="79"/>
  <c r="AD32" i="79" s="1"/>
  <c r="AC7" i="79"/>
  <c r="AB7" i="79"/>
  <c r="AA7" i="79"/>
  <c r="AD7" i="79" s="1"/>
  <c r="Z7" i="79"/>
  <c r="Y7" i="79"/>
  <c r="O7" i="79"/>
  <c r="N7" i="79"/>
  <c r="M7" i="79"/>
  <c r="P7" i="79" s="1"/>
  <c r="L7" i="79"/>
  <c r="K7" i="79"/>
  <c r="I7" i="79"/>
  <c r="N27" i="1" l="1"/>
  <c r="N28" i="1" s="1"/>
  <c r="N29" i="1" s="1"/>
  <c r="I10" i="79"/>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44" i="79" l="1"/>
  <c r="AD45" i="79"/>
  <c r="T19" i="79"/>
  <c r="W19" i="79" s="1"/>
  <c r="N28" i="79"/>
  <c r="S17" i="79"/>
  <c r="Z3" i="79"/>
  <c r="AA28" i="79"/>
  <c r="AD28" i="79" s="1"/>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V68" i="71"/>
  <c r="E68" i="71"/>
  <c r="C68" i="71"/>
  <c r="C67" i="71" s="1"/>
  <c r="B68" i="71"/>
  <c r="B67" i="71" s="1"/>
  <c r="N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s="1"/>
  <c r="O39" i="71"/>
  <c r="N39" i="71"/>
  <c r="X39" i="71" s="1"/>
  <c r="Q38" i="71"/>
  <c r="P38" i="71"/>
  <c r="AA38" i="71" s="1"/>
  <c r="O38" i="71"/>
  <c r="N38" i="71"/>
  <c r="X38" i="71" s="1"/>
  <c r="Q37" i="71"/>
  <c r="P37" i="71"/>
  <c r="AA37"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4" i="71"/>
  <c r="B35" i="71" s="1"/>
  <c r="B36" i="71" s="1"/>
  <c r="S36" i="71" s="1"/>
  <c r="N68" i="71"/>
  <c r="C30" i="71"/>
  <c r="Y29" i="71"/>
  <c r="Z29" i="71" s="1"/>
  <c r="B28" i="71"/>
  <c r="B27" i="71" s="1"/>
  <c r="B26" i="71" s="1"/>
  <c r="D30" i="71"/>
  <c r="P28" i="71"/>
  <c r="E28" i="71" s="1"/>
  <c r="E67" i="71"/>
  <c r="Q28" i="71"/>
  <c r="F28" i="71" s="1"/>
  <c r="D68" i="71"/>
  <c r="Q68" i="71"/>
  <c r="E71" i="71"/>
  <c r="E70" i="71" s="1"/>
  <c r="D72" i="71"/>
  <c r="D80" i="71"/>
  <c r="C87" i="71"/>
  <c r="C86" i="71" s="1"/>
  <c r="D8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100" i="43" s="1"/>
  <c r="C29" i="39"/>
  <c r="S25" i="40"/>
  <c r="S18" i="36"/>
  <c r="H25" i="40"/>
  <c r="AB25" i="40" s="1"/>
  <c r="J25" i="40"/>
  <c r="W25" i="40" s="1"/>
  <c r="H29" i="39"/>
  <c r="AB29" i="39" s="1"/>
  <c r="J29" i="39"/>
  <c r="J18" i="36"/>
  <c r="AC18" i="36" s="1"/>
  <c r="F68" i="35"/>
  <c r="G68" i="35" s="1"/>
  <c r="H18" i="35"/>
  <c r="AB18" i="35" s="1"/>
  <c r="J18" i="35"/>
  <c r="AC18" i="35" s="1"/>
  <c r="H21" i="37"/>
  <c r="AB21" i="37" s="1"/>
  <c r="F21" i="37"/>
  <c r="AA21" i="37" s="1"/>
  <c r="H21" i="34"/>
  <c r="AB21" i="34" s="1"/>
  <c r="H21" i="33"/>
  <c r="U21" i="33" s="1"/>
  <c r="F21" i="33"/>
  <c r="AA21" i="33" s="1"/>
  <c r="H1" i="69"/>
  <c r="AC25" i="40"/>
  <c r="U25" i="40"/>
  <c r="W18" i="36"/>
  <c r="S21" i="37"/>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R78" i="31"/>
  <c r="S78" i="31" s="1"/>
  <c r="R79" i="31"/>
  <c r="S79" i="31" s="1"/>
  <c r="R80" i="31"/>
  <c r="S80" i="31" s="1"/>
  <c r="R81" i="31"/>
  <c r="R82" i="31"/>
  <c r="R83" i="31"/>
  <c r="S83" i="31" s="1"/>
  <c r="R84" i="31"/>
  <c r="S84" i="31" s="1"/>
  <c r="R85" i="31"/>
  <c r="S85" i="31" s="1"/>
  <c r="R86" i="31"/>
  <c r="S86" i="31" s="1"/>
  <c r="R87" i="31"/>
  <c r="S87" i="31" s="1"/>
  <c r="R88" i="31"/>
  <c r="S88" i="31" s="1"/>
  <c r="R89" i="3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R146" i="31"/>
  <c r="S146" i="31" s="1"/>
  <c r="R147" i="31"/>
  <c r="S147" i="31" s="1"/>
  <c r="R148" i="31"/>
  <c r="R149" i="31"/>
  <c r="S149" i="31" s="1"/>
  <c r="R150" i="31"/>
  <c r="S150" i="31" s="1"/>
  <c r="R151" i="31"/>
  <c r="S151" i="31" s="1"/>
  <c r="R152" i="31"/>
  <c r="R153" i="31"/>
  <c r="S153" i="31" s="1"/>
  <c r="R154" i="31"/>
  <c r="R155" i="31"/>
  <c r="S155" i="31" s="1"/>
  <c r="R156" i="31"/>
  <c r="R157" i="31"/>
  <c r="S157" i="31" s="1"/>
  <c r="R158" i="31"/>
  <c r="S158" i="31" s="1"/>
  <c r="R159" i="31"/>
  <c r="S159" i="31" s="1"/>
  <c r="R160" i="31"/>
  <c r="R161" i="3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R425" i="31"/>
  <c r="S425" i="31" s="1"/>
  <c r="R426" i="3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R445" i="31"/>
  <c r="S445" i="31" s="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6" i="31"/>
  <c r="S384" i="31"/>
  <c r="S382" i="31"/>
  <c r="S424" i="31"/>
  <c r="S320" i="31"/>
  <c r="S312" i="31"/>
  <c r="S304" i="31"/>
  <c r="S296" i="31"/>
  <c r="S288" i="31"/>
  <c r="S280" i="31"/>
  <c r="S272" i="31"/>
  <c r="S266" i="31"/>
  <c r="S264" i="31"/>
  <c r="S256" i="31"/>
  <c r="S241" i="31"/>
  <c r="S234" i="31"/>
  <c r="S426" i="31"/>
  <c r="S220" i="31"/>
  <c r="S216" i="31"/>
  <c r="S212" i="31"/>
  <c r="S208" i="31"/>
  <c r="S204" i="31"/>
  <c r="S200" i="31"/>
  <c r="S196" i="31"/>
  <c r="S193" i="31"/>
  <c r="S192" i="31"/>
  <c r="S188" i="31"/>
  <c r="S184" i="31"/>
  <c r="S180" i="31"/>
  <c r="S176" i="31"/>
  <c r="S172" i="31"/>
  <c r="S168" i="31"/>
  <c r="S164" i="31"/>
  <c r="S161" i="31"/>
  <c r="S160" i="31"/>
  <c r="S156" i="31"/>
  <c r="S154" i="31"/>
  <c r="S152" i="31"/>
  <c r="S148" i="31"/>
  <c r="S145" i="31"/>
  <c r="S144" i="31"/>
  <c r="S140" i="31"/>
  <c r="S136" i="31"/>
  <c r="S132" i="31"/>
  <c r="S128" i="31"/>
  <c r="S124" i="31"/>
  <c r="S489" i="31"/>
  <c r="S477" i="31"/>
  <c r="S444" i="31"/>
  <c r="S433" i="31"/>
  <c r="S113" i="31"/>
  <c r="S461" i="31"/>
  <c r="S77" i="31"/>
  <c r="S61" i="31"/>
  <c r="S89" i="31"/>
  <c r="S82" i="31"/>
  <c r="S81" i="31"/>
  <c r="S44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c r="Q13" i="36"/>
  <c r="Z13" i="36" s="1"/>
  <c r="Q12" i="36"/>
  <c r="Z12" i="36"/>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H34" i="35" s="1"/>
  <c r="B77" i="35"/>
  <c r="B75" i="35"/>
  <c r="J24" i="35" s="1"/>
  <c r="AC24" i="35" s="1"/>
  <c r="B73" i="35"/>
  <c r="B57" i="35"/>
  <c r="B61" i="35"/>
  <c r="B59" i="35"/>
  <c r="F12" i="35" s="1"/>
  <c r="B131" i="34"/>
  <c r="B129" i="34"/>
  <c r="H46" i="34" s="1"/>
  <c r="AB46" i="34" s="1"/>
  <c r="B127" i="34"/>
  <c r="H45" i="34" s="1"/>
  <c r="B99" i="34"/>
  <c r="B97" i="34"/>
  <c r="B95" i="34"/>
  <c r="B93" i="34"/>
  <c r="F29" i="34" s="1"/>
  <c r="B75" i="34"/>
  <c r="B73" i="34"/>
  <c r="B71" i="34"/>
  <c r="H12" i="34" s="1"/>
  <c r="U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c r="Q38" i="33"/>
  <c r="Z38" i="33" s="1"/>
  <c r="J38" i="33"/>
  <c r="AC38" i="33"/>
  <c r="H38" i="33"/>
  <c r="AB38" i="33" s="1"/>
  <c r="F38" i="33"/>
  <c r="AA38" i="33" s="1"/>
  <c r="Q37" i="33"/>
  <c r="Z37" i="33" s="1"/>
  <c r="Q36" i="33"/>
  <c r="Z36" i="33" s="1"/>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H44" i="21" s="1"/>
  <c r="U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J44" i="39"/>
  <c r="AC44" i="39" s="1"/>
  <c r="H36" i="39"/>
  <c r="AB36" i="39" s="1"/>
  <c r="J35" i="39"/>
  <c r="AC35" i="39" s="1"/>
  <c r="F35" i="39"/>
  <c r="AA35" i="39" s="1"/>
  <c r="U9"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AA36" i="34" s="1"/>
  <c r="J35" i="34"/>
  <c r="H39" i="33"/>
  <c r="AB39" i="33" s="1"/>
  <c r="F26" i="33"/>
  <c r="AA26" i="33" s="1"/>
  <c r="U35" i="33"/>
  <c r="S40" i="33"/>
  <c r="W39" i="33"/>
  <c r="H39" i="37"/>
  <c r="AB39" i="37" s="1"/>
  <c r="S27" i="35"/>
  <c r="F11" i="40"/>
  <c r="AA11" i="40" s="1"/>
  <c r="H11" i="40"/>
  <c r="AB11" i="40"/>
  <c r="U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s="1"/>
  <c r="F36" i="40"/>
  <c r="AA36" i="40"/>
  <c r="H28" i="40"/>
  <c r="U28" i="40" s="1"/>
  <c r="F23" i="40"/>
  <c r="AA23" i="40" s="1"/>
  <c r="F17" i="40"/>
  <c r="AA17" i="40" s="1"/>
  <c r="J17" i="40"/>
  <c r="W17" i="40" s="1"/>
  <c r="F15" i="40"/>
  <c r="S15" i="40" s="1"/>
  <c r="H15" i="40"/>
  <c r="AB15" i="40" s="1"/>
  <c r="AB30" i="36"/>
  <c r="F29" i="35"/>
  <c r="S29" i="35" s="1"/>
  <c r="H29" i="35"/>
  <c r="AB29" i="35" s="1"/>
  <c r="H33" i="37"/>
  <c r="F33" i="37"/>
  <c r="AA33" i="37" s="1"/>
  <c r="U34" i="37"/>
  <c r="S34" i="37"/>
  <c r="AA34" i="37"/>
  <c r="J43" i="34"/>
  <c r="AC43" i="34" s="1"/>
  <c r="AB42" i="34"/>
  <c r="J40" i="34"/>
  <c r="AC40" i="34" s="1"/>
  <c r="H38" i="34"/>
  <c r="AB38" i="34" s="1"/>
  <c r="J36" i="34"/>
  <c r="AC36" i="34" s="1"/>
  <c r="H37" i="34"/>
  <c r="U37" i="34" s="1"/>
  <c r="H25" i="34"/>
  <c r="AB25" i="34" s="1"/>
  <c r="J25" i="34"/>
  <c r="AC25" i="34" s="1"/>
  <c r="F23" i="34"/>
  <c r="AA23" i="34" s="1"/>
  <c r="J19" i="34"/>
  <c r="AC19" i="34" s="1"/>
  <c r="H37" i="33"/>
  <c r="AB37" i="33"/>
  <c r="H15" i="33"/>
  <c r="AB15" i="33" s="1"/>
  <c r="H11" i="33"/>
  <c r="AB11" i="33" s="1"/>
  <c r="F28" i="40"/>
  <c r="AA28" i="40"/>
  <c r="AA42" i="34"/>
  <c r="S42" i="34"/>
  <c r="AC38" i="34"/>
  <c r="J37" i="34"/>
  <c r="AC37" i="34" s="1"/>
  <c r="J11" i="33"/>
  <c r="W11" i="33" s="1"/>
  <c r="J42" i="21"/>
  <c r="AC42" i="21" s="1"/>
  <c r="H42" i="21"/>
  <c r="U42" i="21" s="1"/>
  <c r="J44" i="34"/>
  <c r="W44" i="34" s="1"/>
  <c r="F44" i="34"/>
  <c r="S44" i="34" s="1"/>
  <c r="J10" i="35"/>
  <c r="AC10" i="35" s="1"/>
  <c r="J14" i="21"/>
  <c r="W14" i="21" s="1"/>
  <c r="F14" i="21"/>
  <c r="S14" i="21" s="1"/>
  <c r="H14" i="21"/>
  <c r="U14" i="21" s="1"/>
  <c r="H28" i="21"/>
  <c r="AB28" i="21" s="1"/>
  <c r="F28" i="21"/>
  <c r="AA28" i="21" s="1"/>
  <c r="J28" i="21"/>
  <c r="W28" i="21" s="1"/>
  <c r="H30" i="21"/>
  <c r="F30" i="21"/>
  <c r="S30" i="21" s="1"/>
  <c r="J30" i="21"/>
  <c r="AC30" i="21" s="1"/>
  <c r="J44" i="21"/>
  <c r="AC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H45" i="33"/>
  <c r="U45" i="33" s="1"/>
  <c r="J45" i="33"/>
  <c r="F45" i="33"/>
  <c r="AA45" i="33" s="1"/>
  <c r="J14" i="34"/>
  <c r="W14" i="34" s="1"/>
  <c r="F14" i="34"/>
  <c r="S14" i="34" s="1"/>
  <c r="H14" i="34"/>
  <c r="U14" i="34" s="1"/>
  <c r="H30" i="34"/>
  <c r="F30" i="34"/>
  <c r="S30" i="34" s="1"/>
  <c r="J30" i="34"/>
  <c r="H32" i="34"/>
  <c r="U32" i="34" s="1"/>
  <c r="F32" i="34"/>
  <c r="S32" i="34" s="1"/>
  <c r="J32" i="34"/>
  <c r="W32" i="34" s="1"/>
  <c r="F46" i="34"/>
  <c r="S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W29" i="34" s="1"/>
  <c r="J31" i="34"/>
  <c r="H31" i="34"/>
  <c r="F31" i="34"/>
  <c r="S31"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AA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AA44" i="33"/>
  <c r="U46" i="33"/>
  <c r="J36" i="37"/>
  <c r="AC36" i="37" s="1"/>
  <c r="J10" i="36"/>
  <c r="AC10" i="36" s="1"/>
  <c r="S11" i="36"/>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BA582" i="3"/>
  <c r="AZ582" i="3" s="1"/>
  <c r="BA580" i="3"/>
  <c r="AZ580" i="3" s="1"/>
  <c r="BA578" i="3"/>
  <c r="BA576" i="3"/>
  <c r="BA574" i="3"/>
  <c r="BA572" i="3"/>
  <c r="AZ572" i="3" s="1"/>
  <c r="BA570" i="3"/>
  <c r="AZ570" i="3" s="1"/>
  <c r="BA568" i="3"/>
  <c r="BA566" i="3"/>
  <c r="AZ566" i="3" s="1"/>
  <c r="BA564" i="3"/>
  <c r="AZ564" i="3" s="1"/>
  <c r="BA562" i="3"/>
  <c r="BA560" i="3"/>
  <c r="BA558" i="3"/>
  <c r="BA556" i="3"/>
  <c r="AZ556" i="3" s="1"/>
  <c r="BA554" i="3"/>
  <c r="BA552" i="3"/>
  <c r="BA548" i="3"/>
  <c r="BA546" i="3"/>
  <c r="AZ546" i="3" s="1"/>
  <c r="BA544" i="3"/>
  <c r="AZ544" i="3" s="1"/>
  <c r="BA542" i="3"/>
  <c r="AZ542" i="3" s="1"/>
  <c r="BA540" i="3"/>
  <c r="BA538" i="3"/>
  <c r="BA536" i="3"/>
  <c r="BA534" i="3"/>
  <c r="BA532" i="3"/>
  <c r="AZ532" i="3" s="1"/>
  <c r="BA530" i="3"/>
  <c r="BA528" i="3"/>
  <c r="BA526" i="3"/>
  <c r="AZ526" i="3" s="1"/>
  <c r="BA524" i="3"/>
  <c r="AZ524" i="3" s="1"/>
  <c r="BA522" i="3"/>
  <c r="BA520" i="3"/>
  <c r="BA518" i="3"/>
  <c r="BA516" i="3"/>
  <c r="BA514" i="3"/>
  <c r="BA512" i="3"/>
  <c r="AZ512" i="3" s="1"/>
  <c r="BA510" i="3"/>
  <c r="BA508" i="3"/>
  <c r="BA506" i="3"/>
  <c r="BA504" i="3"/>
  <c r="AZ504" i="3" s="1"/>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BQ541" i="3"/>
  <c r="BL541" i="3" s="1"/>
  <c r="AZ541" i="3" s="1"/>
  <c r="BQ539" i="3"/>
  <c r="BL539" i="3" s="1"/>
  <c r="AZ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AZ501" i="3" s="1"/>
  <c r="BQ499" i="3"/>
  <c r="BL499" i="3" s="1"/>
  <c r="BQ497" i="3"/>
  <c r="BL497" i="3" s="1"/>
  <c r="BQ495" i="3"/>
  <c r="BL495" i="3" s="1"/>
  <c r="BQ493" i="3"/>
  <c r="AZ584" i="3"/>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c r="H32" i="40"/>
  <c r="AB32" i="40" s="1"/>
  <c r="J36" i="40"/>
  <c r="W36" i="40" s="1"/>
  <c r="H19" i="37"/>
  <c r="AB19" i="37" s="1"/>
  <c r="H42" i="33"/>
  <c r="AB42" i="33" s="1"/>
  <c r="J43" i="33"/>
  <c r="AC43" i="33" s="1"/>
  <c r="U14" i="40"/>
  <c r="U39" i="37"/>
  <c r="U26" i="37"/>
  <c r="AA13" i="33"/>
  <c r="AC31" i="33"/>
  <c r="U11" i="33"/>
  <c r="U19" i="21"/>
  <c r="W44" i="21"/>
  <c r="AB38" i="21"/>
  <c r="F43" i="33"/>
  <c r="AA43" i="33" s="1"/>
  <c r="W16" i="35"/>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88" i="40"/>
  <c r="G88" i="40" s="1"/>
  <c r="F19" i="40"/>
  <c r="S19" i="40" s="1"/>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E7" i="34" s="1"/>
  <c r="C7" i="36"/>
  <c r="C46" i="36" s="1"/>
  <c r="D46" i="36" s="1"/>
  <c r="E46" i="36" s="1"/>
  <c r="F46" i="36" s="1"/>
  <c r="G46" i="36" s="1"/>
  <c r="H46" i="36" s="1"/>
  <c r="I46" i="36" s="1"/>
  <c r="W35" i="40"/>
  <c r="A118" i="9"/>
  <c r="A4" i="52"/>
  <c r="B41" i="72" s="1"/>
  <c r="J11" i="39"/>
  <c r="AC11" i="39" s="1"/>
  <c r="F11" i="39"/>
  <c r="S11" i="39" s="1"/>
  <c r="G4" i="4"/>
  <c r="I4" i="4"/>
  <c r="A2" i="9"/>
  <c r="F61" i="43"/>
  <c r="H64" i="43" s="1"/>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G363" i="3"/>
  <c r="BA365" i="3"/>
  <c r="AZ365" i="3" s="1"/>
  <c r="BL366" i="3"/>
  <c r="G367" i="3"/>
  <c r="BA369" i="3"/>
  <c r="BL370" i="3"/>
  <c r="G371" i="3"/>
  <c r="BA373" i="3"/>
  <c r="BL374" i="3"/>
  <c r="G375" i="3"/>
  <c r="BA377" i="3"/>
  <c r="AZ377" i="3" s="1"/>
  <c r="BA379" i="3"/>
  <c r="AZ379" i="3" s="1"/>
  <c r="BL380" i="3"/>
  <c r="G381" i="3"/>
  <c r="BA383" i="3"/>
  <c r="BL384" i="3"/>
  <c r="G385" i="3"/>
  <c r="BA387" i="3"/>
  <c r="BL388" i="3"/>
  <c r="G389" i="3"/>
  <c r="BA391" i="3"/>
  <c r="BL392" i="3"/>
  <c r="G393" i="3"/>
  <c r="BO5" i="3"/>
  <c r="BM5" i="3"/>
  <c r="BJ5" i="3"/>
  <c r="BH5" i="3"/>
  <c r="BF5" i="3"/>
  <c r="BD5" i="3"/>
  <c r="AZ325" i="3"/>
  <c r="AZ506" i="3"/>
  <c r="G548" i="3"/>
  <c r="G538" i="3"/>
  <c r="G520" i="3"/>
  <c r="G502" i="3"/>
  <c r="BS5" i="3"/>
  <c r="BP5" i="3"/>
  <c r="BN5" i="3"/>
  <c r="BK5" i="3"/>
  <c r="BI5" i="3"/>
  <c r="BG5" i="3"/>
  <c r="BE5" i="3"/>
  <c r="BC5" i="3"/>
  <c r="G17" i="3"/>
  <c r="BA17" i="3"/>
  <c r="BT5" i="3"/>
  <c r="BA15" i="3"/>
  <c r="BB5" i="3"/>
  <c r="BR5" i="3"/>
  <c r="AZ392" i="3"/>
  <c r="AZ499" i="3"/>
  <c r="G509" i="3"/>
  <c r="BL493" i="3"/>
  <c r="AZ493" i="3" s="1"/>
  <c r="U36" i="40"/>
  <c r="F83" i="43"/>
  <c r="H85" i="43" s="1"/>
  <c r="F50" i="43"/>
  <c r="H54" i="43" s="1"/>
  <c r="F72" i="43"/>
  <c r="H75" i="43" s="1"/>
  <c r="U17" i="39"/>
  <c r="S14" i="35"/>
  <c r="U43" i="21"/>
  <c r="U35" i="21"/>
  <c r="AC35" i="21"/>
  <c r="G8" i="1"/>
  <c r="G10" i="1"/>
  <c r="S15"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AB27" i="40" s="1"/>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A32" i="36"/>
  <c r="S32" i="36"/>
  <c r="BL14" i="3"/>
  <c r="U30" i="33"/>
  <c r="W28" i="37"/>
  <c r="S19" i="39"/>
  <c r="F12" i="33"/>
  <c r="H12" i="39"/>
  <c r="U12" i="39" s="1"/>
  <c r="F39" i="40"/>
  <c r="BA14" i="3"/>
  <c r="AZ14" i="3" s="1"/>
  <c r="B12" i="1"/>
  <c r="E12" i="1" s="1"/>
  <c r="B10" i="1"/>
  <c r="E10" i="1" s="1"/>
  <c r="K12" i="1"/>
  <c r="M12" i="1" s="1"/>
  <c r="S13" i="1"/>
  <c r="AR13" i="1" s="1"/>
  <c r="R13" i="1"/>
  <c r="C42" i="1"/>
  <c r="C24" i="12" s="1"/>
  <c r="B41" i="1"/>
  <c r="F48" i="9" s="1"/>
  <c r="O52" i="9" s="1"/>
  <c r="AB37" i="40"/>
  <c r="S35" i="40"/>
  <c r="AC36" i="40"/>
  <c r="AA32" i="40"/>
  <c r="S17" i="40"/>
  <c r="S23" i="40"/>
  <c r="AC17" i="40"/>
  <c r="AC15" i="40"/>
  <c r="AA19" i="40"/>
  <c r="S28" i="40"/>
  <c r="AB19" i="40"/>
  <c r="U37" i="39"/>
  <c r="S43" i="39"/>
  <c r="S37"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AB8" i="34"/>
  <c r="AA25" i="34"/>
  <c r="U28" i="34"/>
  <c r="H10" i="34"/>
  <c r="AB10" i="34" s="1"/>
  <c r="F11" i="34"/>
  <c r="S11" i="34" s="1"/>
  <c r="W42" i="33"/>
  <c r="AA35" i="33"/>
  <c r="S27" i="33"/>
  <c r="S32" i="33"/>
  <c r="AA29" i="33"/>
  <c r="AB29" i="33"/>
  <c r="W38" i="33"/>
  <c r="H41" i="33"/>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G13" i="3"/>
  <c r="BA13" i="3"/>
  <c r="BL17" i="3"/>
  <c r="AZ17" i="3" s="1"/>
  <c r="BL13" i="3"/>
  <c r="J56" i="9"/>
  <c r="J57" i="9" s="1"/>
  <c r="J59" i="9" s="1"/>
  <c r="J61" i="9" s="1"/>
  <c r="A24" i="51"/>
  <c r="B18" i="72" s="1"/>
  <c r="E5" i="6"/>
  <c r="E32" i="6"/>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67"/>
  <c r="W23" i="40"/>
  <c r="U32" i="40"/>
  <c r="AB31" i="40"/>
  <c r="S37" i="40"/>
  <c r="AB28" i="40"/>
  <c r="W28" i="40"/>
  <c r="W34"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22" i="36"/>
  <c r="AC25" i="35"/>
  <c r="U25" i="35"/>
  <c r="S24" i="35"/>
  <c r="U24" i="35"/>
  <c r="S35" i="35"/>
  <c r="W35" i="35"/>
  <c r="AA16" i="35"/>
  <c r="AA35" i="37"/>
  <c r="W36" i="37"/>
  <c r="S27" i="37"/>
  <c r="S28" i="37"/>
  <c r="W32" i="37"/>
  <c r="U36" i="37"/>
  <c r="S40" i="37"/>
  <c r="U38" i="37"/>
  <c r="AB37" i="37"/>
  <c r="AC34" i="37"/>
  <c r="AB35" i="37"/>
  <c r="AA31" i="37"/>
  <c r="U19" i="37"/>
  <c r="AA29" i="37"/>
  <c r="U8" i="37"/>
  <c r="W19" i="34"/>
  <c r="AA31" i="34"/>
  <c r="AB47" i="34"/>
  <c r="AA32" i="34"/>
  <c r="U30" i="34"/>
  <c r="AB30" i="34"/>
  <c r="U38" i="34"/>
  <c r="S8"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9" i="21"/>
  <c r="W39" i="21"/>
  <c r="AC14" i="21"/>
  <c r="W30" i="21"/>
  <c r="S46" i="21"/>
  <c r="H45" i="21"/>
  <c r="U45" i="21" s="1"/>
  <c r="F29" i="21"/>
  <c r="AA29" i="21" s="1"/>
  <c r="F13" i="21"/>
  <c r="AA13" i="21" s="1"/>
  <c r="AC38" i="21"/>
  <c r="H32" i="21"/>
  <c r="AB32" i="21" s="1"/>
  <c r="H9" i="21"/>
  <c r="AB9" i="21" s="1"/>
  <c r="J9" i="21"/>
  <c r="W9" i="21" s="1"/>
  <c r="J32" i="21"/>
  <c r="W32" i="21" s="1"/>
  <c r="F32" i="21"/>
  <c r="AA32" i="21" s="1"/>
  <c r="AA31" i="21"/>
  <c r="U17" i="21"/>
  <c r="W29" i="21"/>
  <c r="S19" i="21"/>
  <c r="S9" i="21"/>
  <c r="AA9" i="21"/>
  <c r="U27" i="21"/>
  <c r="AB25" i="21"/>
  <c r="AB44" i="21"/>
  <c r="AA30" i="21"/>
  <c r="W13" i="21"/>
  <c r="W42" i="21"/>
  <c r="AC45" i="21"/>
  <c r="F10" i="21"/>
  <c r="AA10" i="21" s="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F30" i="68"/>
  <c r="F48" i="68" s="1"/>
  <c r="AA39" i="40"/>
  <c r="S39" i="40"/>
  <c r="S12" i="33"/>
  <c r="AA12" i="33"/>
  <c r="J32" i="39"/>
  <c r="AC32" i="39" s="1"/>
  <c r="H32" i="39"/>
  <c r="AB32" i="39" s="1"/>
  <c r="U21" i="39"/>
  <c r="AA21" i="39"/>
  <c r="S21" i="39"/>
  <c r="AC17" i="37"/>
  <c r="J19" i="37"/>
  <c r="W19" i="37" s="1"/>
  <c r="AA23" i="37"/>
  <c r="J23" i="37"/>
  <c r="W23" i="37" s="1"/>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AA25" i="33"/>
  <c r="J25" i="33"/>
  <c r="AC25" i="33" s="1"/>
  <c r="AB23" i="33"/>
  <c r="U23" i="33"/>
  <c r="F23" i="33"/>
  <c r="AA19" i="33"/>
  <c r="H19" i="33"/>
  <c r="U19" i="33" s="1"/>
  <c r="H17" i="33"/>
  <c r="U17" i="33" s="1"/>
  <c r="F17" i="33"/>
  <c r="S17" i="33" s="1"/>
  <c r="W17" i="33"/>
  <c r="AC17" i="33"/>
  <c r="J23" i="21"/>
  <c r="W23" i="21" s="1"/>
  <c r="F85" i="21"/>
  <c r="G85" i="21" s="1"/>
  <c r="H23" i="21"/>
  <c r="AB23" i="21" s="1"/>
  <c r="AP7" i="1"/>
  <c r="S32" i="21"/>
  <c r="U32" i="21"/>
  <c r="J63" i="37"/>
  <c r="K63" i="37" s="1"/>
  <c r="L63" i="37" s="1"/>
  <c r="M63" i="37" s="1"/>
  <c r="J11" i="37"/>
  <c r="AC11" i="37" s="1"/>
  <c r="J11" i="34"/>
  <c r="W11" i="34" s="1"/>
  <c r="AB36" i="33"/>
  <c r="W25" i="33"/>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B13" i="76"/>
  <c r="F7" i="67"/>
  <c r="E12" i="76"/>
  <c r="M6" i="67"/>
  <c r="E2" i="69"/>
  <c r="M22" i="67"/>
  <c r="M29" i="67"/>
  <c r="M26" i="67"/>
  <c r="E8" i="76"/>
  <c r="B8" i="76"/>
  <c r="B12" i="76"/>
  <c r="E11" i="76"/>
  <c r="F4" i="73"/>
  <c r="L48" i="67"/>
  <c r="M8" i="67"/>
  <c r="E9" i="76"/>
  <c r="F26" i="67"/>
  <c r="F20" i="31"/>
  <c r="E7" i="76"/>
  <c r="E10" i="76"/>
  <c r="AO13" i="1"/>
  <c r="B7" i="76"/>
  <c r="F43" i="67"/>
  <c r="F8" i="67"/>
  <c r="F3" i="73"/>
  <c r="F6" i="73"/>
  <c r="F7" i="73"/>
  <c r="F6" i="67"/>
  <c r="E13" i="76"/>
  <c r="F13" i="67"/>
  <c r="B9" i="76"/>
  <c r="F5" i="73"/>
  <c r="E2" i="68"/>
  <c r="D6" i="73"/>
  <c r="B11" i="76"/>
  <c r="M28" i="67"/>
  <c r="F37" i="67"/>
  <c r="F42" i="67"/>
  <c r="L47" i="67"/>
  <c r="AC12" i="33" l="1"/>
  <c r="W12" i="33"/>
  <c r="AB34" i="35"/>
  <c r="U34" i="35"/>
  <c r="K145" i="21"/>
  <c r="K141" i="21"/>
  <c r="K144" i="21"/>
  <c r="K143" i="21"/>
  <c r="AC24" i="36"/>
  <c r="W24" i="36"/>
  <c r="AB35" i="39"/>
  <c r="U35" i="39"/>
  <c r="AA19" i="37"/>
  <c r="AB20" i="35"/>
  <c r="AZ311" i="3"/>
  <c r="AC13" i="40"/>
  <c r="AZ538" i="3"/>
  <c r="AZ514" i="3"/>
  <c r="BA402" i="3"/>
  <c r="G408" i="3"/>
  <c r="G412" i="3"/>
  <c r="BA419" i="3"/>
  <c r="BL430" i="3"/>
  <c r="BA436" i="3"/>
  <c r="BL437" i="3"/>
  <c r="G439" i="3"/>
  <c r="BA446" i="3"/>
  <c r="G552" i="3"/>
  <c r="S32" i="39"/>
  <c r="W19" i="40"/>
  <c r="AZ390" i="3"/>
  <c r="AZ373" i="3"/>
  <c r="AZ341" i="3"/>
  <c r="AZ497" i="3"/>
  <c r="AZ515" i="3"/>
  <c r="AZ520" i="3"/>
  <c r="AZ561" i="3"/>
  <c r="AZ527" i="3"/>
  <c r="AZ494" i="3"/>
  <c r="AZ510" i="3"/>
  <c r="AB45" i="33"/>
  <c r="C15" i="39"/>
  <c r="U33" i="33"/>
  <c r="G587" i="3"/>
  <c r="G14" i="3"/>
  <c r="BA420" i="3"/>
  <c r="G424" i="3"/>
  <c r="W32" i="39"/>
  <c r="AB45" i="21"/>
  <c r="AA23" i="21"/>
  <c r="AC17" i="21"/>
  <c r="U21" i="40"/>
  <c r="W37" i="37"/>
  <c r="G29" i="6"/>
  <c r="AZ387" i="3"/>
  <c r="AZ356" i="3"/>
  <c r="AB33" i="40"/>
  <c r="AZ505" i="3"/>
  <c r="AZ521" i="3"/>
  <c r="AZ569" i="3"/>
  <c r="AZ577" i="3"/>
  <c r="AZ565" i="3"/>
  <c r="S45" i="33"/>
  <c r="AA14" i="33"/>
  <c r="S41" i="33"/>
  <c r="W33" i="33"/>
  <c r="F9" i="33"/>
  <c r="AA9" i="33" s="1"/>
  <c r="H36" i="35"/>
  <c r="H24" i="36"/>
  <c r="BL398" i="3"/>
  <c r="G401" i="3"/>
  <c r="BA407" i="3"/>
  <c r="G431" i="3"/>
  <c r="G432" i="3"/>
  <c r="G445" i="3"/>
  <c r="BA451" i="3"/>
  <c r="AZ451" i="3" s="1"/>
  <c r="BL455" i="3"/>
  <c r="G456" i="3"/>
  <c r="G457" i="3"/>
  <c r="BL457" i="3"/>
  <c r="G460" i="3"/>
  <c r="BL460" i="3"/>
  <c r="BL461" i="3"/>
  <c r="G464" i="3"/>
  <c r="G472" i="3"/>
  <c r="G473" i="3"/>
  <c r="G478" i="3"/>
  <c r="G492" i="3"/>
  <c r="BA319" i="3"/>
  <c r="AZ319" i="3" s="1"/>
  <c r="BA385" i="3"/>
  <c r="G387" i="3"/>
  <c r="BA388" i="3"/>
  <c r="AZ388" i="3" s="1"/>
  <c r="G210" i="3"/>
  <c r="BL211" i="3"/>
  <c r="G226" i="3"/>
  <c r="BL230" i="3"/>
  <c r="BA231" i="3"/>
  <c r="BA233" i="3"/>
  <c r="BL233" i="3"/>
  <c r="G235" i="3"/>
  <c r="G239" i="3"/>
  <c r="G243" i="3"/>
  <c r="BL262" i="3"/>
  <c r="BL263" i="3"/>
  <c r="G264" i="3"/>
  <c r="BL272" i="3"/>
  <c r="BL280" i="3"/>
  <c r="G282" i="3"/>
  <c r="BA288" i="3"/>
  <c r="G300" i="3"/>
  <c r="G130" i="3"/>
  <c r="G150" i="3"/>
  <c r="G158" i="3"/>
  <c r="BL163" i="3"/>
  <c r="AZ163" i="3" s="1"/>
  <c r="G166" i="3"/>
  <c r="BA176" i="3"/>
  <c r="AZ176" i="3" s="1"/>
  <c r="BA184" i="3"/>
  <c r="AZ184" i="3" s="1"/>
  <c r="BL187" i="3"/>
  <c r="AZ187" i="3" s="1"/>
  <c r="G188" i="3"/>
  <c r="G204" i="3"/>
  <c r="BL23" i="3"/>
  <c r="BA33" i="3"/>
  <c r="BA38" i="3"/>
  <c r="BA62" i="3"/>
  <c r="BL62" i="3"/>
  <c r="BL63" i="3"/>
  <c r="BA67" i="3"/>
  <c r="AZ67" i="3" s="1"/>
  <c r="BL67" i="3"/>
  <c r="G69" i="3"/>
  <c r="G73" i="3"/>
  <c r="BA88" i="3"/>
  <c r="G96" i="3"/>
  <c r="BL99" i="3"/>
  <c r="G104" i="3"/>
  <c r="J51" i="67"/>
  <c r="Y25" i="71"/>
  <c r="Z25" i="71" s="1"/>
  <c r="E38" i="71"/>
  <c r="E39" i="71" s="1"/>
  <c r="E40" i="71" s="1"/>
  <c r="U40" i="71" s="1"/>
  <c r="B59" i="71"/>
  <c r="B60" i="71" s="1"/>
  <c r="S60" i="71" s="1"/>
  <c r="C63" i="71"/>
  <c r="B71" i="71"/>
  <c r="B70" i="71" s="1"/>
  <c r="S76" i="71"/>
  <c r="X26" i="71"/>
  <c r="B68" i="43"/>
  <c r="AB27" i="71"/>
  <c r="BA463" i="3"/>
  <c r="G471" i="3"/>
  <c r="G209" i="3"/>
  <c r="BA214" i="3"/>
  <c r="BL216" i="3"/>
  <c r="BL219" i="3"/>
  <c r="BA225" i="3"/>
  <c r="G238" i="3"/>
  <c r="BA255" i="3"/>
  <c r="BA301" i="3"/>
  <c r="BL115" i="3"/>
  <c r="AZ115" i="3" s="1"/>
  <c r="BA118" i="3"/>
  <c r="BL118" i="3"/>
  <c r="BA134" i="3"/>
  <c r="BA145" i="3"/>
  <c r="BA149" i="3"/>
  <c r="BA153" i="3"/>
  <c r="BA157" i="3"/>
  <c r="BL169" i="3"/>
  <c r="G195" i="3"/>
  <c r="BL195" i="3"/>
  <c r="AZ195" i="3" s="1"/>
  <c r="BL197" i="3"/>
  <c r="G203" i="3"/>
  <c r="BL205" i="3"/>
  <c r="G26" i="3"/>
  <c r="BA30" i="3"/>
  <c r="BL44" i="3"/>
  <c r="BA105" i="3"/>
  <c r="BL106" i="3"/>
  <c r="BA108" i="3"/>
  <c r="AC21" i="33"/>
  <c r="B57" i="43"/>
  <c r="P27" i="6"/>
  <c r="AA35" i="71"/>
  <c r="BL469" i="3"/>
  <c r="BA470" i="3"/>
  <c r="BA476" i="3"/>
  <c r="G323" i="3"/>
  <c r="G339" i="3"/>
  <c r="G364" i="3"/>
  <c r="G380" i="3"/>
  <c r="G384" i="3"/>
  <c r="BA212" i="3"/>
  <c r="G220" i="3"/>
  <c r="BA220" i="3"/>
  <c r="G236" i="3"/>
  <c r="BA245" i="3"/>
  <c r="BA249" i="3"/>
  <c r="BL249" i="3"/>
  <c r="BA253" i="3"/>
  <c r="BA257" i="3"/>
  <c r="G260" i="3"/>
  <c r="G271" i="3"/>
  <c r="G274" i="3"/>
  <c r="BL291" i="3"/>
  <c r="BA293" i="3"/>
  <c r="G115" i="3"/>
  <c r="G128" i="3"/>
  <c r="G135" i="3"/>
  <c r="BL166" i="3"/>
  <c r="G190" i="3"/>
  <c r="BA194" i="3"/>
  <c r="BL24" i="3"/>
  <c r="BA94" i="3"/>
  <c r="BA95" i="3"/>
  <c r="BL96" i="3"/>
  <c r="G1" i="69"/>
  <c r="G1" i="68"/>
  <c r="G1" i="15"/>
  <c r="F17" i="34"/>
  <c r="AA17" i="34" s="1"/>
  <c r="AC23" i="21"/>
  <c r="S32" i="37"/>
  <c r="U30" i="21"/>
  <c r="AB30" i="21"/>
  <c r="AC25" i="37"/>
  <c r="W25" i="37"/>
  <c r="AB19" i="33"/>
  <c r="U32" i="39"/>
  <c r="S37" i="21"/>
  <c r="S23" i="39"/>
  <c r="AZ391" i="3"/>
  <c r="AZ318" i="3"/>
  <c r="AZ372" i="3"/>
  <c r="W11" i="39"/>
  <c r="AB26" i="33"/>
  <c r="AC31" i="34"/>
  <c r="W31" i="34"/>
  <c r="W45" i="33"/>
  <c r="AC45" i="33"/>
  <c r="AA29" i="35"/>
  <c r="AB15" i="21"/>
  <c r="U32" i="37"/>
  <c r="S30" i="40"/>
  <c r="U35" i="40"/>
  <c r="AC34" i="33"/>
  <c r="AZ369" i="3"/>
  <c r="AC40" i="37"/>
  <c r="W40" i="37"/>
  <c r="AZ543" i="3"/>
  <c r="AZ528" i="3"/>
  <c r="AZ558" i="3"/>
  <c r="AZ574" i="3"/>
  <c r="AZ540" i="3"/>
  <c r="J12" i="35"/>
  <c r="H38" i="40"/>
  <c r="AB38" i="40" s="1"/>
  <c r="G582" i="3"/>
  <c r="G574" i="3"/>
  <c r="BL399" i="3"/>
  <c r="G404" i="3"/>
  <c r="BL404" i="3"/>
  <c r="BL405" i="3"/>
  <c r="BL409" i="3"/>
  <c r="BA410" i="3"/>
  <c r="G414" i="3"/>
  <c r="BL414" i="3"/>
  <c r="BL415" i="3"/>
  <c r="G418" i="3"/>
  <c r="BL419" i="3"/>
  <c r="G425" i="3"/>
  <c r="BL425" i="3"/>
  <c r="BL426" i="3"/>
  <c r="G429" i="3"/>
  <c r="BA432" i="3"/>
  <c r="G448" i="3"/>
  <c r="BA452" i="3"/>
  <c r="BA458" i="3"/>
  <c r="BA462" i="3"/>
  <c r="BL465" i="3"/>
  <c r="G468" i="3"/>
  <c r="G475" i="3"/>
  <c r="AZ337" i="3"/>
  <c r="G7" i="34"/>
  <c r="AZ509" i="3"/>
  <c r="AC5" i="3"/>
  <c r="AZ503" i="3"/>
  <c r="AZ498" i="3"/>
  <c r="AZ536" i="3"/>
  <c r="AZ552" i="3"/>
  <c r="AC28" i="21"/>
  <c r="S12" i="40"/>
  <c r="AA12" i="36"/>
  <c r="J36" i="39"/>
  <c r="AC36" i="39" s="1"/>
  <c r="J38" i="40"/>
  <c r="G570" i="3"/>
  <c r="G558" i="3"/>
  <c r="AZ557" i="3"/>
  <c r="AZ500" i="3"/>
  <c r="AZ508" i="3"/>
  <c r="AZ554" i="3"/>
  <c r="W8" i="40"/>
  <c r="G585" i="3"/>
  <c r="J27" i="34"/>
  <c r="H43" i="34"/>
  <c r="F44" i="39"/>
  <c r="G402" i="3"/>
  <c r="G407" i="3"/>
  <c r="BL412" i="3"/>
  <c r="G417" i="3"/>
  <c r="BA417" i="3"/>
  <c r="G428" i="3"/>
  <c r="BA428" i="3"/>
  <c r="BA429" i="3"/>
  <c r="BA430" i="3"/>
  <c r="AZ430" i="3" s="1"/>
  <c r="G434" i="3"/>
  <c r="BA434" i="3"/>
  <c r="BL443" i="3"/>
  <c r="BA448" i="3"/>
  <c r="BA450" i="3"/>
  <c r="BL464" i="3"/>
  <c r="BA469" i="3"/>
  <c r="AZ469" i="3" s="1"/>
  <c r="G474" i="3"/>
  <c r="A15" i="62"/>
  <c r="B61" i="72" s="1"/>
  <c r="G400" i="3"/>
  <c r="G406" i="3"/>
  <c r="BA406" i="3"/>
  <c r="G410" i="3"/>
  <c r="G411" i="3"/>
  <c r="BA411" i="3"/>
  <c r="BL416" i="3"/>
  <c r="G420" i="3"/>
  <c r="BA421" i="3"/>
  <c r="BA423" i="3"/>
  <c r="AZ423" i="3" s="1"/>
  <c r="BL427" i="3"/>
  <c r="BL433" i="3"/>
  <c r="G436" i="3"/>
  <c r="BL440" i="3"/>
  <c r="G442" i="3"/>
  <c r="G443" i="3"/>
  <c r="G450" i="3"/>
  <c r="G453" i="3"/>
  <c r="BA453" i="3"/>
  <c r="BA455" i="3"/>
  <c r="BL458" i="3"/>
  <c r="BA459" i="3"/>
  <c r="BL462" i="3"/>
  <c r="BA466" i="3"/>
  <c r="BA473" i="3"/>
  <c r="BL484" i="3"/>
  <c r="BL487" i="3"/>
  <c r="BL490" i="3"/>
  <c r="AC29" i="39"/>
  <c r="W29" i="39"/>
  <c r="S18" i="35"/>
  <c r="AA18" i="35"/>
  <c r="P67" i="71"/>
  <c r="E66" i="71"/>
  <c r="P65" i="71" s="1"/>
  <c r="P68" i="71"/>
  <c r="U68" i="71"/>
  <c r="AA3" i="71"/>
  <c r="G489" i="3"/>
  <c r="BL308" i="3"/>
  <c r="AZ308" i="3" s="1"/>
  <c r="BL317" i="3"/>
  <c r="G318" i="3"/>
  <c r="G349" i="3"/>
  <c r="G358" i="3"/>
  <c r="BA358" i="3"/>
  <c r="AZ358" i="3" s="1"/>
  <c r="BL381" i="3"/>
  <c r="AZ381" i="3" s="1"/>
  <c r="BL386" i="3"/>
  <c r="G396" i="3"/>
  <c r="BA396" i="3"/>
  <c r="G215" i="3"/>
  <c r="BA219" i="3"/>
  <c r="AZ219" i="3" s="1"/>
  <c r="G222" i="3"/>
  <c r="G223" i="3"/>
  <c r="BA223" i="3"/>
  <c r="BL227" i="3"/>
  <c r="G233" i="3"/>
  <c r="G241" i="3"/>
  <c r="BA248" i="3"/>
  <c r="G251" i="3"/>
  <c r="BL252" i="3"/>
  <c r="G255" i="3"/>
  <c r="G256" i="3"/>
  <c r="BA260" i="3"/>
  <c r="BL260" i="3"/>
  <c r="G262" i="3"/>
  <c r="BL267" i="3"/>
  <c r="G268" i="3"/>
  <c r="BA272" i="3"/>
  <c r="AZ272" i="3" s="1"/>
  <c r="BL278" i="3"/>
  <c r="G280" i="3"/>
  <c r="BL290" i="3"/>
  <c r="G292" i="3"/>
  <c r="BL298" i="3"/>
  <c r="BL299" i="3"/>
  <c r="BA144" i="3"/>
  <c r="AZ144" i="3" s="1"/>
  <c r="BA148" i="3"/>
  <c r="AZ148" i="3" s="1"/>
  <c r="BL57" i="3"/>
  <c r="G59" i="3"/>
  <c r="W18" i="35"/>
  <c r="C44" i="71"/>
  <c r="D43" i="71"/>
  <c r="BL395" i="3"/>
  <c r="BA209" i="3"/>
  <c r="BA217" i="3"/>
  <c r="BL217" i="3"/>
  <c r="BL222" i="3"/>
  <c r="BL224" i="3"/>
  <c r="BA230" i="3"/>
  <c r="AZ230" i="3" s="1"/>
  <c r="BL237" i="3"/>
  <c r="BL238" i="3"/>
  <c r="BA247" i="3"/>
  <c r="AZ247" i="3" s="1"/>
  <c r="BL247" i="3"/>
  <c r="BA251" i="3"/>
  <c r="BL251" i="3"/>
  <c r="BL259" i="3"/>
  <c r="BA270" i="3"/>
  <c r="BL270" i="3"/>
  <c r="BA286" i="3"/>
  <c r="BA291" i="3"/>
  <c r="AZ291" i="3" s="1"/>
  <c r="BL295" i="3"/>
  <c r="BA120" i="3"/>
  <c r="AZ120" i="3" s="1"/>
  <c r="BA122" i="3"/>
  <c r="AZ122" i="3" s="1"/>
  <c r="BL155" i="3"/>
  <c r="AZ155" i="3" s="1"/>
  <c r="BA169" i="3"/>
  <c r="AZ169" i="3" s="1"/>
  <c r="BL171" i="3"/>
  <c r="AZ171" i="3" s="1"/>
  <c r="BA178" i="3"/>
  <c r="BA189" i="3"/>
  <c r="AZ189" i="3" s="1"/>
  <c r="BL189" i="3"/>
  <c r="BL190" i="3"/>
  <c r="BA192" i="3"/>
  <c r="AZ192" i="3" s="1"/>
  <c r="BA201" i="3"/>
  <c r="BL25" i="3"/>
  <c r="BL27" i="3"/>
  <c r="BA28" i="3"/>
  <c r="BA50" i="3"/>
  <c r="C25" i="40"/>
  <c r="B88" i="43"/>
  <c r="B66" i="71"/>
  <c r="E34" i="71"/>
  <c r="AA28" i="71"/>
  <c r="Y37" i="71"/>
  <c r="Z37" i="71" s="1"/>
  <c r="C38" i="71"/>
  <c r="D38" i="71" s="1"/>
  <c r="BA483" i="3"/>
  <c r="BL483" i="3"/>
  <c r="BA485" i="3"/>
  <c r="G486" i="3"/>
  <c r="BA489" i="3"/>
  <c r="G307" i="3"/>
  <c r="G311" i="3"/>
  <c r="G315" i="3"/>
  <c r="G351" i="3"/>
  <c r="BL367" i="3"/>
  <c r="BA368" i="3"/>
  <c r="BL368" i="3"/>
  <c r="BA374" i="3"/>
  <c r="AZ374" i="3" s="1"/>
  <c r="BL383" i="3"/>
  <c r="AZ383" i="3" s="1"/>
  <c r="G397" i="3"/>
  <c r="BL208" i="3"/>
  <c r="G212" i="3"/>
  <c r="G217" i="3"/>
  <c r="G221" i="3"/>
  <c r="BA221" i="3"/>
  <c r="AZ221" i="3" s="1"/>
  <c r="G224" i="3"/>
  <c r="G225" i="3"/>
  <c r="BL228" i="3"/>
  <c r="G231" i="3"/>
  <c r="G232" i="3"/>
  <c r="BA235" i="3"/>
  <c r="BL235" i="3"/>
  <c r="BL236" i="3"/>
  <c r="G237" i="3"/>
  <c r="BL242" i="3"/>
  <c r="BL243" i="3"/>
  <c r="G244" i="3"/>
  <c r="G249" i="3"/>
  <c r="BA250" i="3"/>
  <c r="G253" i="3"/>
  <c r="BL254" i="3"/>
  <c r="G266" i="3"/>
  <c r="BL269" i="3"/>
  <c r="G270" i="3"/>
  <c r="G123" i="3"/>
  <c r="BA132" i="3"/>
  <c r="AZ132" i="3" s="1"/>
  <c r="BL135" i="3"/>
  <c r="AZ135" i="3" s="1"/>
  <c r="BL146" i="3"/>
  <c r="BL154" i="3"/>
  <c r="G162" i="3"/>
  <c r="BA164" i="3"/>
  <c r="AZ164" i="3" s="1"/>
  <c r="BA166" i="3"/>
  <c r="AZ166" i="3" s="1"/>
  <c r="G171" i="3"/>
  <c r="BL175" i="3"/>
  <c r="AZ175" i="3" s="1"/>
  <c r="BA177" i="3"/>
  <c r="G180" i="3"/>
  <c r="G184" i="3"/>
  <c r="BA188" i="3"/>
  <c r="AZ188" i="3" s="1"/>
  <c r="G194" i="3"/>
  <c r="BL198" i="3"/>
  <c r="BL199" i="3"/>
  <c r="AZ199" i="3" s="1"/>
  <c r="BA200" i="3"/>
  <c r="AZ200" i="3" s="1"/>
  <c r="BA207" i="3"/>
  <c r="BL207" i="3"/>
  <c r="BL18" i="3"/>
  <c r="G19" i="3"/>
  <c r="BL19" i="3"/>
  <c r="BA20" i="3"/>
  <c r="G24" i="3"/>
  <c r="G25" i="3"/>
  <c r="G30" i="3"/>
  <c r="BA40" i="3"/>
  <c r="BA41" i="3"/>
  <c r="BA42" i="3"/>
  <c r="G56" i="3"/>
  <c r="BL69" i="3"/>
  <c r="G70" i="3"/>
  <c r="BL100" i="3"/>
  <c r="U76" i="71"/>
  <c r="E75" i="71"/>
  <c r="E74" i="71" s="1"/>
  <c r="BL79" i="3"/>
  <c r="BL81" i="3"/>
  <c r="BA82" i="3"/>
  <c r="BL85" i="3"/>
  <c r="BA86" i="3"/>
  <c r="BL91" i="3"/>
  <c r="BA98" i="3"/>
  <c r="BL103" i="3"/>
  <c r="G105" i="3"/>
  <c r="F3" i="35"/>
  <c r="B77" i="43"/>
  <c r="C31" i="71"/>
  <c r="AB34" i="71"/>
  <c r="E59" i="71"/>
  <c r="E60" i="71" s="1"/>
  <c r="U60" i="71" s="1"/>
  <c r="X25" i="71"/>
  <c r="BA275" i="3"/>
  <c r="BL275" i="3"/>
  <c r="G277" i="3"/>
  <c r="G284" i="3"/>
  <c r="BL285" i="3"/>
  <c r="G294" i="3"/>
  <c r="BA294" i="3"/>
  <c r="G297" i="3"/>
  <c r="BA133" i="3"/>
  <c r="G138" i="3"/>
  <c r="G151" i="3"/>
  <c r="BA156" i="3"/>
  <c r="AZ156" i="3" s="1"/>
  <c r="BL173" i="3"/>
  <c r="G174" i="3"/>
  <c r="BL181" i="3"/>
  <c r="G182" i="3"/>
  <c r="G186" i="3"/>
  <c r="G187" i="3"/>
  <c r="BA202" i="3"/>
  <c r="BA31" i="3"/>
  <c r="BA32" i="3"/>
  <c r="G35" i="3"/>
  <c r="G36" i="3"/>
  <c r="G40" i="3"/>
  <c r="G48" i="3"/>
  <c r="BL48" i="3"/>
  <c r="G57" i="3"/>
  <c r="G61" i="3"/>
  <c r="BA65" i="3"/>
  <c r="BL65" i="3"/>
  <c r="BL66" i="3"/>
  <c r="BA72" i="3"/>
  <c r="BL72" i="3"/>
  <c r="G74" i="3"/>
  <c r="BA75" i="3"/>
  <c r="BA78" i="3"/>
  <c r="G79" i="3"/>
  <c r="G84" i="3"/>
  <c r="G89" i="3"/>
  <c r="BA90" i="3"/>
  <c r="BL93" i="3"/>
  <c r="G95" i="3"/>
  <c r="BA97" i="3"/>
  <c r="AZ97" i="3" s="1"/>
  <c r="BL101" i="3"/>
  <c r="BL102" i="3"/>
  <c r="G109" i="3"/>
  <c r="BA109" i="3"/>
  <c r="W21" i="21"/>
  <c r="AC21" i="37"/>
  <c r="S21" i="33"/>
  <c r="U29" i="39"/>
  <c r="E79" i="71"/>
  <c r="E78" i="71" s="1"/>
  <c r="X33" i="71"/>
  <c r="X36" i="71"/>
  <c r="AB37" i="71"/>
  <c r="B43" i="71"/>
  <c r="B44" i="71" s="1"/>
  <c r="S44" i="71" s="1"/>
  <c r="C59" i="71"/>
  <c r="B63" i="71"/>
  <c r="B64" i="71" s="1"/>
  <c r="S64" i="71" s="1"/>
  <c r="Y27" i="71"/>
  <c r="Z27" i="71" s="1"/>
  <c r="Y26" i="71"/>
  <c r="Z26" i="71" s="1"/>
  <c r="C23" i="71"/>
  <c r="B22" i="71"/>
  <c r="B21" i="71" s="1"/>
  <c r="B20" i="71" s="1"/>
  <c r="G39" i="3"/>
  <c r="BA43" i="3"/>
  <c r="G46" i="3"/>
  <c r="BL52" i="3"/>
  <c r="BL54" i="3"/>
  <c r="BL64" i="3"/>
  <c r="G65" i="3"/>
  <c r="BA70" i="3"/>
  <c r="BL70" i="3"/>
  <c r="BL71" i="3"/>
  <c r="BL76" i="3"/>
  <c r="G78" i="3"/>
  <c r="BL86" i="3"/>
  <c r="G87" i="3"/>
  <c r="BL97" i="3"/>
  <c r="G99" i="3"/>
  <c r="BA110" i="3"/>
  <c r="AZ110" i="3" s="1"/>
  <c r="G112" i="3"/>
  <c r="F27" i="71"/>
  <c r="F26" i="71" s="1"/>
  <c r="AB25" i="71"/>
  <c r="Y35" i="71"/>
  <c r="Z35" i="71" s="1"/>
  <c r="W43" i="34"/>
  <c r="AB12" i="34"/>
  <c r="AB40" i="34"/>
  <c r="U39" i="34"/>
  <c r="AC39" i="34"/>
  <c r="AA38" i="34"/>
  <c r="U25" i="34"/>
  <c r="S29" i="34"/>
  <c r="AA29" i="34"/>
  <c r="AC29" i="34"/>
  <c r="AC14" i="34"/>
  <c r="AA30" i="34"/>
  <c r="AB35" i="34"/>
  <c r="F45" i="34"/>
  <c r="S45" i="34" s="1"/>
  <c r="H29" i="34"/>
  <c r="F19" i="34"/>
  <c r="W40" i="34"/>
  <c r="AB36" i="34"/>
  <c r="AC42" i="34"/>
  <c r="H19" i="34"/>
  <c r="AB19" i="34" s="1"/>
  <c r="AA40" i="34"/>
  <c r="J46" i="34"/>
  <c r="AA46" i="34"/>
  <c r="J17" i="34"/>
  <c r="W17" i="34" s="1"/>
  <c r="H17" i="34"/>
  <c r="U17" i="34" s="1"/>
  <c r="F78" i="34"/>
  <c r="G78" i="34" s="1"/>
  <c r="H15" i="34"/>
  <c r="F15" i="34"/>
  <c r="AA15" i="34" s="1"/>
  <c r="J15" i="34"/>
  <c r="W15" i="34" s="1"/>
  <c r="AC44" i="34"/>
  <c r="AB33" i="34"/>
  <c r="AB32" i="34"/>
  <c r="S28" i="34"/>
  <c r="U27" i="34"/>
  <c r="AC23" i="34"/>
  <c r="AB23" i="34"/>
  <c r="S23" i="34"/>
  <c r="W8" i="34"/>
  <c r="W33" i="34"/>
  <c r="W41" i="34"/>
  <c r="W25" i="34"/>
  <c r="AC13" i="34"/>
  <c r="AC32" i="34"/>
  <c r="W36" i="34"/>
  <c r="AB41" i="34"/>
  <c r="U21" i="34"/>
  <c r="U34" i="34"/>
  <c r="S37" i="34"/>
  <c r="AA47" i="34"/>
  <c r="AA44" i="34"/>
  <c r="S36" i="34"/>
  <c r="S13" i="34"/>
  <c r="S21" i="34"/>
  <c r="S43" i="34"/>
  <c r="S35" i="34"/>
  <c r="M20" i="67"/>
  <c r="F34" i="67"/>
  <c r="F62" i="67" s="1"/>
  <c r="F34" i="15"/>
  <c r="F62" i="15" s="1"/>
  <c r="F54" i="9"/>
  <c r="F32" i="15"/>
  <c r="F60" i="15" s="1"/>
  <c r="F52" i="9"/>
  <c r="D68" i="9"/>
  <c r="F30" i="69"/>
  <c r="F48" i="69" s="1"/>
  <c r="F31" i="12"/>
  <c r="F28" i="67"/>
  <c r="F28" i="15"/>
  <c r="F32" i="67"/>
  <c r="F60" i="67" s="1"/>
  <c r="M18" i="15"/>
  <c r="M18" i="67"/>
  <c r="F30" i="11"/>
  <c r="C48" i="11" s="1"/>
  <c r="C40" i="68"/>
  <c r="C21" i="68"/>
  <c r="C5" i="68"/>
  <c r="D23" i="15"/>
  <c r="F29" i="6"/>
  <c r="AB14" i="34"/>
  <c r="U45" i="34"/>
  <c r="AB45" i="34"/>
  <c r="W47" i="34"/>
  <c r="J45" i="34"/>
  <c r="U46" i="34"/>
  <c r="U23" i="21"/>
  <c r="AZ362" i="3"/>
  <c r="AZ563" i="3"/>
  <c r="AA17" i="33"/>
  <c r="AC27" i="33"/>
  <c r="AC23" i="37"/>
  <c r="AC9" i="21"/>
  <c r="U9" i="21"/>
  <c r="D6" i="52"/>
  <c r="S17" i="37"/>
  <c r="AA33" i="34"/>
  <c r="S34" i="33"/>
  <c r="AA34" i="33"/>
  <c r="AZ334" i="3"/>
  <c r="AZ347" i="3"/>
  <c r="AZ344" i="3"/>
  <c r="AZ336" i="3"/>
  <c r="AZ305" i="3"/>
  <c r="AZ380" i="3"/>
  <c r="AZ360" i="3"/>
  <c r="S22" i="36"/>
  <c r="AA22" i="36"/>
  <c r="G521" i="3"/>
  <c r="AZ502" i="3"/>
  <c r="S13" i="21"/>
  <c r="AB12" i="39"/>
  <c r="AZ306" i="3"/>
  <c r="AA11" i="39"/>
  <c r="AZ513" i="3"/>
  <c r="AZ575" i="3"/>
  <c r="S27" i="40"/>
  <c r="U27" i="40"/>
  <c r="AZ364" i="3"/>
  <c r="AC9" i="34"/>
  <c r="W9" i="34"/>
  <c r="AC11" i="40"/>
  <c r="J45" i="39"/>
  <c r="W45" i="39" s="1"/>
  <c r="BL585" i="3"/>
  <c r="AZ585" i="3" s="1"/>
  <c r="J9" i="36"/>
  <c r="AC40" i="39"/>
  <c r="W40" i="39"/>
  <c r="AZ357" i="3"/>
  <c r="AZ322" i="3"/>
  <c r="AZ313" i="3"/>
  <c r="AZ394" i="3"/>
  <c r="S14" i="40"/>
  <c r="AA25" i="21"/>
  <c r="W44" i="33"/>
  <c r="AC28" i="34"/>
  <c r="AZ519" i="3"/>
  <c r="AZ531" i="3"/>
  <c r="AZ573" i="3"/>
  <c r="AZ583" i="3"/>
  <c r="AZ568" i="3"/>
  <c r="AZ576" i="3"/>
  <c r="AA14" i="34"/>
  <c r="AA14" i="37"/>
  <c r="U34" i="21"/>
  <c r="W31" i="40"/>
  <c r="AA9" i="40"/>
  <c r="F45" i="39"/>
  <c r="J12" i="34"/>
  <c r="F12" i="34"/>
  <c r="S12" i="34" s="1"/>
  <c r="H25" i="37"/>
  <c r="F25" i="37"/>
  <c r="AZ419" i="3"/>
  <c r="AZ523" i="3"/>
  <c r="AZ547" i="3"/>
  <c r="AZ571" i="3"/>
  <c r="AZ579" i="3"/>
  <c r="AZ516" i="3"/>
  <c r="AC11" i="35"/>
  <c r="BL587" i="3"/>
  <c r="AZ587" i="3" s="1"/>
  <c r="BL586" i="3"/>
  <c r="AZ586" i="3" s="1"/>
  <c r="F9" i="34"/>
  <c r="AA9" i="34" s="1"/>
  <c r="H9" i="34"/>
  <c r="H12" i="35"/>
  <c r="J23" i="35"/>
  <c r="H23" i="35"/>
  <c r="AZ529" i="3"/>
  <c r="AZ537" i="3"/>
  <c r="AZ518" i="3"/>
  <c r="B101" i="43"/>
  <c r="B79" i="43"/>
  <c r="AZ444" i="3"/>
  <c r="AZ483" i="3"/>
  <c r="J23" i="36"/>
  <c r="H39" i="40"/>
  <c r="G551" i="3"/>
  <c r="BL550" i="3"/>
  <c r="G542" i="3"/>
  <c r="BL401" i="3"/>
  <c r="BA403" i="3"/>
  <c r="AZ403" i="3" s="1"/>
  <c r="BA404" i="3"/>
  <c r="AZ404" i="3" s="1"/>
  <c r="BA405" i="3"/>
  <c r="AZ405" i="3" s="1"/>
  <c r="BA414" i="3"/>
  <c r="AZ414" i="3" s="1"/>
  <c r="BA415" i="3"/>
  <c r="AZ415" i="3" s="1"/>
  <c r="BA416" i="3"/>
  <c r="AZ416" i="3" s="1"/>
  <c r="BA418" i="3"/>
  <c r="BA422" i="3"/>
  <c r="BA435" i="3"/>
  <c r="BL444" i="3"/>
  <c r="G447" i="3"/>
  <c r="BA454" i="3"/>
  <c r="AZ458" i="3"/>
  <c r="AZ462" i="3"/>
  <c r="BL476" i="3"/>
  <c r="BL477" i="3"/>
  <c r="BL478" i="3"/>
  <c r="AZ478" i="3" s="1"/>
  <c r="AZ487" i="3"/>
  <c r="BA333" i="3"/>
  <c r="BL346" i="3"/>
  <c r="AZ346" i="3" s="1"/>
  <c r="BL15" i="3"/>
  <c r="AZ15" i="3" s="1"/>
  <c r="BA398" i="3"/>
  <c r="AZ398" i="3" s="1"/>
  <c r="BA399" i="3"/>
  <c r="AZ399" i="3" s="1"/>
  <c r="BA401" i="3"/>
  <c r="AZ401" i="3" s="1"/>
  <c r="BL406" i="3"/>
  <c r="AZ406" i="3" s="1"/>
  <c r="BA408" i="3"/>
  <c r="BA409" i="3"/>
  <c r="AZ409" i="3" s="1"/>
  <c r="BA412" i="3"/>
  <c r="G419" i="3"/>
  <c r="BA425" i="3"/>
  <c r="AZ425" i="3" s="1"/>
  <c r="BA426" i="3"/>
  <c r="BA427" i="3"/>
  <c r="AZ427" i="3" s="1"/>
  <c r="AZ443" i="3"/>
  <c r="BL466" i="3"/>
  <c r="AZ466" i="3" s="1"/>
  <c r="G469" i="3"/>
  <c r="BA486" i="3"/>
  <c r="BA315" i="3"/>
  <c r="AZ315" i="3" s="1"/>
  <c r="BA551" i="3"/>
  <c r="AZ551" i="3" s="1"/>
  <c r="BA550" i="3"/>
  <c r="BL548" i="3"/>
  <c r="AZ548" i="3" s="1"/>
  <c r="BL16" i="3"/>
  <c r="AZ16" i="3" s="1"/>
  <c r="BL402" i="3"/>
  <c r="AZ402" i="3" s="1"/>
  <c r="BL403" i="3"/>
  <c r="G405" i="3"/>
  <c r="BL407" i="3"/>
  <c r="AZ407" i="3" s="1"/>
  <c r="BL410" i="3"/>
  <c r="G421" i="3"/>
  <c r="BL421" i="3"/>
  <c r="BL422" i="3"/>
  <c r="BA431" i="3"/>
  <c r="BA433" i="3"/>
  <c r="AZ433" i="3" s="1"/>
  <c r="BA437" i="3"/>
  <c r="BA438" i="3"/>
  <c r="AZ438" i="3" s="1"/>
  <c r="BL441" i="3"/>
  <c r="BL442" i="3"/>
  <c r="BL447" i="3"/>
  <c r="BL448" i="3"/>
  <c r="AZ448" i="3" s="1"/>
  <c r="G451" i="3"/>
  <c r="BA456" i="3"/>
  <c r="BA457" i="3"/>
  <c r="AZ457" i="3" s="1"/>
  <c r="G459" i="3"/>
  <c r="BA460" i="3"/>
  <c r="AZ460" i="3" s="1"/>
  <c r="BA461" i="3"/>
  <c r="AZ461" i="3" s="1"/>
  <c r="G463" i="3"/>
  <c r="BL463" i="3"/>
  <c r="AZ463" i="3" s="1"/>
  <c r="G465" i="3"/>
  <c r="BA471" i="3"/>
  <c r="BA480" i="3"/>
  <c r="AZ480" i="3" s="1"/>
  <c r="BL488" i="3"/>
  <c r="BL489" i="3"/>
  <c r="BL491" i="3"/>
  <c r="BL492" i="3"/>
  <c r="BL350" i="3"/>
  <c r="BA353" i="3"/>
  <c r="BL353" i="3"/>
  <c r="BA228" i="3"/>
  <c r="AZ228" i="3" s="1"/>
  <c r="G430" i="3"/>
  <c r="BL431" i="3"/>
  <c r="BL434" i="3"/>
  <c r="G437" i="3"/>
  <c r="BL438" i="3"/>
  <c r="BL439" i="3"/>
  <c r="BA441" i="3"/>
  <c r="BL445" i="3"/>
  <c r="BL446" i="3"/>
  <c r="AZ446" i="3" s="1"/>
  <c r="BL449" i="3"/>
  <c r="BL450" i="3"/>
  <c r="BL452" i="3"/>
  <c r="G455" i="3"/>
  <c r="BL456" i="3"/>
  <c r="AZ456" i="3" s="1"/>
  <c r="BA464" i="3"/>
  <c r="BL467" i="3"/>
  <c r="BL468" i="3"/>
  <c r="AZ468" i="3" s="1"/>
  <c r="BL470" i="3"/>
  <c r="AZ470" i="3" s="1"/>
  <c r="BL473" i="3"/>
  <c r="BL474" i="3"/>
  <c r="BA482" i="3"/>
  <c r="BA484" i="3"/>
  <c r="AZ484" i="3" s="1"/>
  <c r="BA303" i="3"/>
  <c r="AZ303" i="3" s="1"/>
  <c r="BA307" i="3"/>
  <c r="AZ307" i="3" s="1"/>
  <c r="BL314" i="3"/>
  <c r="AZ314" i="3" s="1"/>
  <c r="BA332" i="3"/>
  <c r="BL332" i="3"/>
  <c r="BA367" i="3"/>
  <c r="AZ367" i="3" s="1"/>
  <c r="BA370" i="3"/>
  <c r="AZ370" i="3" s="1"/>
  <c r="BA386" i="3"/>
  <c r="AZ386" i="3" s="1"/>
  <c r="BA216" i="3"/>
  <c r="BA218" i="3"/>
  <c r="BL218" i="3"/>
  <c r="BL220" i="3"/>
  <c r="BL221" i="3"/>
  <c r="BL223" i="3"/>
  <c r="BA227" i="3"/>
  <c r="AZ227" i="3" s="1"/>
  <c r="BA229" i="3"/>
  <c r="BL229" i="3"/>
  <c r="BL231" i="3"/>
  <c r="BA302" i="3"/>
  <c r="G134" i="3"/>
  <c r="G144" i="3"/>
  <c r="G398" i="3"/>
  <c r="G399" i="3"/>
  <c r="BL400" i="3"/>
  <c r="AZ400" i="3" s="1"/>
  <c r="BL408" i="3"/>
  <c r="BL411" i="3"/>
  <c r="AZ411" i="3" s="1"/>
  <c r="BL413" i="3"/>
  <c r="AZ413" i="3" s="1"/>
  <c r="G415" i="3"/>
  <c r="G416" i="3"/>
  <c r="BL417" i="3"/>
  <c r="AZ417" i="3" s="1"/>
  <c r="BL418" i="3"/>
  <c r="BL420" i="3"/>
  <c r="AZ420" i="3" s="1"/>
  <c r="G422" i="3"/>
  <c r="G423" i="3"/>
  <c r="BL424" i="3"/>
  <c r="AZ424" i="3" s="1"/>
  <c r="G426" i="3"/>
  <c r="G427" i="3"/>
  <c r="BL428" i="3"/>
  <c r="BL429" i="3"/>
  <c r="AZ429" i="3" s="1"/>
  <c r="BL432" i="3"/>
  <c r="AZ432" i="3" s="1"/>
  <c r="BL435" i="3"/>
  <c r="BL436" i="3"/>
  <c r="BA439" i="3"/>
  <c r="AZ439" i="3" s="1"/>
  <c r="BA440" i="3"/>
  <c r="AZ440" i="3" s="1"/>
  <c r="BA442" i="3"/>
  <c r="BA445" i="3"/>
  <c r="BA447" i="3"/>
  <c r="BA449" i="3"/>
  <c r="BL453" i="3"/>
  <c r="AZ453" i="3" s="1"/>
  <c r="BL454" i="3"/>
  <c r="G458" i="3"/>
  <c r="BL459" i="3"/>
  <c r="AZ459" i="3" s="1"/>
  <c r="G461" i="3"/>
  <c r="G462" i="3"/>
  <c r="BA465" i="3"/>
  <c r="AZ465" i="3" s="1"/>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BA354" i="3"/>
  <c r="BA366" i="3"/>
  <c r="AZ366" i="3" s="1"/>
  <c r="BL375" i="3"/>
  <c r="AZ375" i="3" s="1"/>
  <c r="BL385" i="3"/>
  <c r="G392" i="3"/>
  <c r="BA397" i="3"/>
  <c r="BL397" i="3"/>
  <c r="BA210" i="3"/>
  <c r="BL210" i="3"/>
  <c r="BL212" i="3"/>
  <c r="AZ212" i="3" s="1"/>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BL292" i="3"/>
  <c r="BL300" i="3"/>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7" i="3"/>
  <c r="BL293" i="3"/>
  <c r="BL294" i="3"/>
  <c r="AZ294" i="3" s="1"/>
  <c r="BA297" i="3"/>
  <c r="BL297" i="3"/>
  <c r="G155" i="3"/>
  <c r="BL158" i="3"/>
  <c r="BA168" i="3"/>
  <c r="AZ168" i="3" s="1"/>
  <c r="G178" i="3"/>
  <c r="BA22"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G285" i="3"/>
  <c r="BL287" i="3"/>
  <c r="BA290" i="3"/>
  <c r="BL113" i="3"/>
  <c r="G164" i="3"/>
  <c r="D31" i="71"/>
  <c r="C32" i="71"/>
  <c r="D50" i="71"/>
  <c r="C51" i="71"/>
  <c r="V24" i="71"/>
  <c r="E23" i="71"/>
  <c r="E22" i="71" s="1"/>
  <c r="E21" i="71" s="1"/>
  <c r="E20" i="71" s="1"/>
  <c r="BA117" i="3"/>
  <c r="BA130" i="3"/>
  <c r="AZ130" i="3" s="1"/>
  <c r="BL130" i="3"/>
  <c r="BA137" i="3"/>
  <c r="BL138" i="3"/>
  <c r="BA140" i="3"/>
  <c r="AZ140" i="3" s="1"/>
  <c r="BA142" i="3"/>
  <c r="BL149" i="3"/>
  <c r="AZ149" i="3" s="1"/>
  <c r="BL150" i="3"/>
  <c r="BA152" i="3"/>
  <c r="AZ152" i="3" s="1"/>
  <c r="BA154" i="3"/>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BL45" i="3"/>
  <c r="BA48" i="3"/>
  <c r="BA49" i="3"/>
  <c r="BA51" i="3"/>
  <c r="G72" i="3"/>
  <c r="BL73" i="3"/>
  <c r="BA74" i="3"/>
  <c r="G81" i="3"/>
  <c r="T28" i="71"/>
  <c r="D28" i="71"/>
  <c r="U28" i="71" s="1"/>
  <c r="C27" i="71"/>
  <c r="C60" i="71"/>
  <c r="D59" i="71"/>
  <c r="F66" i="71"/>
  <c r="Q66" i="71" s="1"/>
  <c r="Q67" i="71"/>
  <c r="G286" i="3"/>
  <c r="BL286" i="3"/>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BL39" i="3"/>
  <c r="G43" i="3"/>
  <c r="G44" i="3"/>
  <c r="BA45" i="3"/>
  <c r="AZ45" i="3" s="1"/>
  <c r="BA46" i="3"/>
  <c r="AZ46" i="3" s="1"/>
  <c r="BL49" i="3"/>
  <c r="BL50" i="3"/>
  <c r="AZ50" i="3" s="1"/>
  <c r="BL51" i="3"/>
  <c r="BL53" i="3"/>
  <c r="G67" i="3"/>
  <c r="BL68" i="3"/>
  <c r="BA69" i="3"/>
  <c r="AZ69" i="3" s="1"/>
  <c r="BA91" i="3"/>
  <c r="AZ91" i="3" s="1"/>
  <c r="D44" i="71"/>
  <c r="T44" i="71"/>
  <c r="D34" i="71"/>
  <c r="C35" i="71"/>
  <c r="C55" i="71"/>
  <c r="D54" i="71"/>
  <c r="D67" i="71"/>
  <c r="C66" i="71"/>
  <c r="O67" i="71"/>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AZ185" i="3" s="1"/>
  <c r="BL191" i="3"/>
  <c r="AZ191" i="3" s="1"/>
  <c r="G192" i="3"/>
  <c r="BA193" i="3"/>
  <c r="AZ193" i="3" s="1"/>
  <c r="BA196" i="3"/>
  <c r="AZ196" i="3" s="1"/>
  <c r="BA205" i="3"/>
  <c r="AZ205" i="3" s="1"/>
  <c r="G20" i="3"/>
  <c r="BL20" i="3"/>
  <c r="AZ20" i="3" s="1"/>
  <c r="BA21" i="3"/>
  <c r="AZ21" i="3" s="1"/>
  <c r="BA25" i="3"/>
  <c r="AZ25" i="3" s="1"/>
  <c r="BA26" i="3"/>
  <c r="G28" i="3"/>
  <c r="BL28" i="3"/>
  <c r="AZ28" i="3" s="1"/>
  <c r="BA29" i="3"/>
  <c r="BA36" i="3"/>
  <c r="BL38" i="3"/>
  <c r="AZ38" i="3" s="1"/>
  <c r="BA39" i="3"/>
  <c r="BL47" i="3"/>
  <c r="AZ47" i="3" s="1"/>
  <c r="G49" i="3"/>
  <c r="G50" i="3"/>
  <c r="G52" i="3"/>
  <c r="BA52" i="3"/>
  <c r="BA53" i="3"/>
  <c r="BA54" i="3"/>
  <c r="AZ54" i="3" s="1"/>
  <c r="BL55" i="3"/>
  <c r="AZ55" i="3" s="1"/>
  <c r="G58" i="3"/>
  <c r="BA59" i="3"/>
  <c r="BL61" i="3"/>
  <c r="G64" i="3"/>
  <c r="BA64" i="3"/>
  <c r="AZ64" i="3" s="1"/>
  <c r="BL74" i="3"/>
  <c r="G75" i="3"/>
  <c r="BL75" i="3"/>
  <c r="AZ75" i="3" s="1"/>
  <c r="BL82" i="3"/>
  <c r="AZ82" i="3" s="1"/>
  <c r="BL83" i="3"/>
  <c r="G86" i="3"/>
  <c r="BA87" i="3"/>
  <c r="G93" i="3"/>
  <c r="C64" i="71"/>
  <c r="D63" i="71"/>
  <c r="G55" i="3"/>
  <c r="BL56" i="3"/>
  <c r="BA58" i="3"/>
  <c r="BL59" i="3"/>
  <c r="BL60" i="3"/>
  <c r="BA61" i="3"/>
  <c r="BA68" i="3"/>
  <c r="BA73" i="3"/>
  <c r="AZ73" i="3" s="1"/>
  <c r="BA80" i="3"/>
  <c r="BL84" i="3"/>
  <c r="BA89" i="3"/>
  <c r="G103" i="3"/>
  <c r="BA103" i="3"/>
  <c r="AZ103" i="3" s="1"/>
  <c r="BA104" i="3"/>
  <c r="BA106" i="3"/>
  <c r="BL108" i="3"/>
  <c r="AZ108" i="3" s="1"/>
  <c r="G110" i="3"/>
  <c r="BL111" i="3"/>
  <c r="U21" i="37"/>
  <c r="P66" i="71"/>
  <c r="AA27" i="71"/>
  <c r="AB26" i="71"/>
  <c r="S28" i="71"/>
  <c r="C83" i="71"/>
  <c r="C79" i="71"/>
  <c r="C75" i="71"/>
  <c r="C71" i="71"/>
  <c r="O68" i="71"/>
  <c r="D46" i="71"/>
  <c r="Y28" i="71"/>
  <c r="Z28" i="71" s="1"/>
  <c r="X35" i="71"/>
  <c r="Y30" i="71"/>
  <c r="Z30" i="71" s="1"/>
  <c r="X28" i="71"/>
  <c r="X32" i="71"/>
  <c r="F38" i="71"/>
  <c r="F39" i="71" s="1"/>
  <c r="F40" i="71" s="1"/>
  <c r="V40" i="71" s="1"/>
  <c r="AB38" i="71"/>
  <c r="F75" i="71"/>
  <c r="F74" i="71" s="1"/>
  <c r="B79" i="71"/>
  <c r="B78" i="71" s="1"/>
  <c r="BA56" i="3"/>
  <c r="BA57" i="3"/>
  <c r="AZ57" i="3" s="1"/>
  <c r="BL58" i="3"/>
  <c r="G60" i="3"/>
  <c r="BA60" i="3"/>
  <c r="AZ60" i="3" s="1"/>
  <c r="BA63" i="3"/>
  <c r="AZ63" i="3" s="1"/>
  <c r="BA66" i="3"/>
  <c r="AZ66" i="3" s="1"/>
  <c r="BA71" i="3"/>
  <c r="AZ71" i="3" s="1"/>
  <c r="G76" i="3"/>
  <c r="BL77" i="3"/>
  <c r="AZ77" i="3" s="1"/>
  <c r="BA79" i="3"/>
  <c r="G82" i="3"/>
  <c r="G83" i="3"/>
  <c r="BA84" i="3"/>
  <c r="AZ84" i="3" s="1"/>
  <c r="BL88" i="3"/>
  <c r="AZ88" i="3" s="1"/>
  <c r="G90" i="3"/>
  <c r="BL90" i="3"/>
  <c r="BL92" i="3"/>
  <c r="G101" i="3"/>
  <c r="BA101" i="3"/>
  <c r="AZ101" i="3" s="1"/>
  <c r="G108" i="3"/>
  <c r="BL112" i="3"/>
  <c r="AB21" i="33"/>
  <c r="D76" i="71"/>
  <c r="T68" i="71"/>
  <c r="X34" i="71"/>
  <c r="X31" i="71"/>
  <c r="F35" i="71"/>
  <c r="F36" i="71" s="1"/>
  <c r="V36" i="71" s="1"/>
  <c r="AA34" i="71"/>
  <c r="AB35" i="71"/>
  <c r="BL94" i="3"/>
  <c r="AZ94" i="3" s="1"/>
  <c r="BA100" i="3"/>
  <c r="AZ100" i="3" s="1"/>
  <c r="BA102" i="3"/>
  <c r="AZ102" i="3" s="1"/>
  <c r="BL105" i="3"/>
  <c r="AZ105" i="3" s="1"/>
  <c r="G107" i="3"/>
  <c r="BL107" i="3"/>
  <c r="BA111" i="3"/>
  <c r="C40" i="69"/>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67" i="3"/>
  <c r="W35" i="39"/>
  <c r="F27" i="34"/>
  <c r="C21" i="39"/>
  <c r="U9" i="36"/>
  <c r="U14" i="37"/>
  <c r="H12" i="21"/>
  <c r="G526" i="3"/>
  <c r="AZ434" i="3"/>
  <c r="AZ436" i="3"/>
  <c r="AZ450" i="3"/>
  <c r="G28" i="6"/>
  <c r="U26" i="21"/>
  <c r="W36" i="39"/>
  <c r="U23" i="40"/>
  <c r="AA39" i="37"/>
  <c r="AC16" i="36"/>
  <c r="AB12" i="33"/>
  <c r="C27" i="39"/>
  <c r="U40" i="40"/>
  <c r="AC9" i="40"/>
  <c r="W36" i="35"/>
  <c r="J12" i="21"/>
  <c r="B73" i="43"/>
  <c r="B76" i="43"/>
  <c r="F9" i="36"/>
  <c r="J40" i="40"/>
  <c r="G562" i="3"/>
  <c r="AZ426" i="3"/>
  <c r="AZ489" i="3"/>
  <c r="AZ385"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G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J53" i="67"/>
  <c r="J57" i="67"/>
  <c r="J55" i="67" s="1"/>
  <c r="J58" i="67" s="1"/>
  <c r="Q50" i="67" s="1"/>
  <c r="L56" i="67"/>
  <c r="I54" i="67"/>
  <c r="C27" i="67"/>
  <c r="F71" i="67"/>
  <c r="N59" i="67"/>
  <c r="L59" i="67"/>
  <c r="L58" i="67"/>
  <c r="M59" i="67"/>
  <c r="B13" i="70"/>
  <c r="M7" i="67"/>
  <c r="F50" i="67"/>
  <c r="C36" i="68"/>
  <c r="D9" i="69"/>
  <c r="C36" i="69"/>
  <c r="D9" i="68"/>
  <c r="M23" i="67"/>
  <c r="F13" i="15"/>
  <c r="F40" i="67"/>
  <c r="M29" i="15"/>
  <c r="D4" i="73"/>
  <c r="F38" i="67"/>
  <c r="F40" i="15"/>
  <c r="J15" i="67"/>
  <c r="M22" i="15"/>
  <c r="F9" i="15"/>
  <c r="M26" i="15"/>
  <c r="F16" i="15"/>
  <c r="D3" i="73"/>
  <c r="M24" i="15"/>
  <c r="M24" i="67"/>
  <c r="F43" i="15"/>
  <c r="F36" i="67"/>
  <c r="F8" i="15"/>
  <c r="L47" i="15"/>
  <c r="F9" i="67"/>
  <c r="F26" i="15"/>
  <c r="F42" i="15"/>
  <c r="M9" i="15"/>
  <c r="D5" i="73"/>
  <c r="M8" i="15"/>
  <c r="M28" i="15"/>
  <c r="F38" i="15"/>
  <c r="F7" i="15"/>
  <c r="C76" i="15"/>
  <c r="L48" i="15"/>
  <c r="M23" i="15"/>
  <c r="D7" i="73"/>
  <c r="F16" i="67"/>
  <c r="F36" i="15"/>
  <c r="M6" i="15"/>
  <c r="F6" i="15"/>
  <c r="J15" i="15"/>
  <c r="C76" i="67"/>
  <c r="M9" i="67"/>
  <c r="F37" i="15"/>
  <c r="AB24" i="36" l="1"/>
  <c r="U24" i="36"/>
  <c r="AZ87" i="3"/>
  <c r="AZ113" i="3"/>
  <c r="AZ286" i="3"/>
  <c r="AZ428" i="3"/>
  <c r="AZ223" i="3"/>
  <c r="AZ437" i="3"/>
  <c r="AZ421" i="3"/>
  <c r="AZ412" i="3"/>
  <c r="AZ454" i="3"/>
  <c r="U38" i="40"/>
  <c r="AZ65" i="3"/>
  <c r="AZ275" i="3"/>
  <c r="AZ368" i="3"/>
  <c r="AZ251" i="3"/>
  <c r="AZ455" i="3"/>
  <c r="AZ249" i="3"/>
  <c r="AZ118" i="3"/>
  <c r="AZ62" i="3"/>
  <c r="AB36" i="35"/>
  <c r="U36" i="35"/>
  <c r="E28" i="6"/>
  <c r="K14" i="1" s="1"/>
  <c r="Q65" i="71"/>
  <c r="AZ80" i="3"/>
  <c r="AZ129" i="3"/>
  <c r="AZ264" i="3"/>
  <c r="AZ475" i="3"/>
  <c r="AZ234" i="3"/>
  <c r="AZ354" i="3"/>
  <c r="AZ79" i="3"/>
  <c r="C39" i="71"/>
  <c r="AZ52" i="3"/>
  <c r="AZ41" i="3"/>
  <c r="AZ154" i="3"/>
  <c r="AZ238" i="3"/>
  <c r="AZ216" i="3"/>
  <c r="AZ473" i="3"/>
  <c r="AZ464" i="3"/>
  <c r="AZ476" i="3"/>
  <c r="AZ174" i="3"/>
  <c r="AZ117" i="3"/>
  <c r="AZ233" i="3"/>
  <c r="S17" i="34"/>
  <c r="Q71" i="15"/>
  <c r="F71" i="15"/>
  <c r="F66" i="67"/>
  <c r="F64" i="15"/>
  <c r="M7" i="15"/>
  <c r="J6" i="15" s="1"/>
  <c r="J18" i="15" s="1"/>
  <c r="F50" i="15"/>
  <c r="Q71" i="67"/>
  <c r="F64" i="67"/>
  <c r="C27" i="15"/>
  <c r="F68" i="67"/>
  <c r="M59" i="15"/>
  <c r="N59" i="15"/>
  <c r="L59" i="15"/>
  <c r="Q74" i="15" s="1"/>
  <c r="F51" i="15"/>
  <c r="C6" i="67"/>
  <c r="C32" i="67" s="1"/>
  <c r="J6" i="67"/>
  <c r="J18" i="67" s="1"/>
  <c r="AZ39" i="3"/>
  <c r="AZ72" i="3"/>
  <c r="AZ235" i="3"/>
  <c r="AZ270" i="3"/>
  <c r="AZ217" i="3"/>
  <c r="AC38" i="40"/>
  <c r="W38" i="40"/>
  <c r="AA44" i="39"/>
  <c r="S44" i="39"/>
  <c r="AZ59" i="3"/>
  <c r="AZ53" i="3"/>
  <c r="AZ256" i="3"/>
  <c r="AZ397" i="3"/>
  <c r="AZ488" i="3"/>
  <c r="AZ70" i="3"/>
  <c r="B19" i="71"/>
  <c r="B18" i="71" s="1"/>
  <c r="B17" i="71" s="1"/>
  <c r="B16" i="71" s="1"/>
  <c r="S20" i="71"/>
  <c r="AZ86" i="3"/>
  <c r="N65" i="71"/>
  <c r="N66" i="71"/>
  <c r="AB43" i="34"/>
  <c r="U43" i="34"/>
  <c r="W12" i="35"/>
  <c r="AC12" i="35"/>
  <c r="AZ61" i="3"/>
  <c r="AZ29" i="3"/>
  <c r="AZ297" i="3"/>
  <c r="AZ274" i="3"/>
  <c r="AZ447" i="3"/>
  <c r="AZ229" i="3"/>
  <c r="AZ332" i="3"/>
  <c r="AZ353" i="3"/>
  <c r="C22" i="71"/>
  <c r="D23" i="71"/>
  <c r="AC27" i="34"/>
  <c r="W27" i="34"/>
  <c r="AA45" i="34"/>
  <c r="AC15" i="34"/>
  <c r="U19" i="34"/>
  <c r="AB29" i="34"/>
  <c r="U29" i="34"/>
  <c r="S19" i="34"/>
  <c r="AA19" i="34"/>
  <c r="W46" i="34"/>
  <c r="AC46" i="34"/>
  <c r="AB17" i="34"/>
  <c r="AC17" i="34"/>
  <c r="AB15" i="34"/>
  <c r="U15" i="34"/>
  <c r="S15" i="34"/>
  <c r="S9" i="34"/>
  <c r="N94" i="46"/>
  <c r="P6" i="1"/>
  <c r="C13" i="12" s="1"/>
  <c r="N370" i="46"/>
  <c r="K16" i="1"/>
  <c r="J26" i="43"/>
  <c r="F26" i="43"/>
  <c r="E26" i="43"/>
  <c r="H26" i="43"/>
  <c r="AC45" i="34"/>
  <c r="W45" i="34"/>
  <c r="F65" i="15"/>
  <c r="C6" i="15"/>
  <c r="C32" i="15" s="1"/>
  <c r="I54" i="15"/>
  <c r="L58" i="15"/>
  <c r="Q60" i="15" s="1"/>
  <c r="J53" i="15"/>
  <c r="L56" i="15" s="1"/>
  <c r="J57" i="15"/>
  <c r="J55" i="15" s="1"/>
  <c r="J58" i="15" s="1"/>
  <c r="Q50" i="15" s="1"/>
  <c r="F68" i="15"/>
  <c r="F66" i="15"/>
  <c r="C70" i="71"/>
  <c r="D70" i="71" s="1"/>
  <c r="D71" i="71"/>
  <c r="AZ58" i="3"/>
  <c r="AZ182" i="3"/>
  <c r="AZ137" i="3"/>
  <c r="T32" i="71"/>
  <c r="D32" i="71"/>
  <c r="AZ435" i="3"/>
  <c r="U39" i="40"/>
  <c r="AB39" i="40"/>
  <c r="U12" i="35"/>
  <c r="AB12" i="35"/>
  <c r="W12" i="34"/>
  <c r="AC12" i="34"/>
  <c r="AC9" i="36"/>
  <c r="W9" i="36"/>
  <c r="J7" i="36"/>
  <c r="C40" i="71"/>
  <c r="D39" i="71"/>
  <c r="D75" i="71"/>
  <c r="C74" i="71"/>
  <c r="D74" i="71" s="1"/>
  <c r="D60" i="71"/>
  <c r="T60" i="71"/>
  <c r="AZ51" i="3"/>
  <c r="AZ422" i="3"/>
  <c r="AC23" i="36"/>
  <c r="W23" i="36"/>
  <c r="U9" i="34"/>
  <c r="AB9" i="34"/>
  <c r="AA25" i="37"/>
  <c r="S25" i="37"/>
  <c r="S45" i="39"/>
  <c r="AA45" i="39"/>
  <c r="J7" i="37"/>
  <c r="G5" i="3"/>
  <c r="B3" i="3" s="1"/>
  <c r="E286" i="3" s="1"/>
  <c r="D79" i="71"/>
  <c r="C78" i="71"/>
  <c r="D78" i="71" s="1"/>
  <c r="C56" i="71"/>
  <c r="D55" i="71"/>
  <c r="C26" i="71"/>
  <c r="D26" i="71" s="1"/>
  <c r="D27" i="71"/>
  <c r="AZ74" i="3"/>
  <c r="AZ49" i="3"/>
  <c r="AZ5" i="3" s="1"/>
  <c r="AY6" i="3" s="1"/>
  <c r="C52" i="71"/>
  <c r="D51" i="71"/>
  <c r="AZ284" i="3"/>
  <c r="AZ277" i="3"/>
  <c r="AZ244" i="3"/>
  <c r="AZ239" i="3"/>
  <c r="AZ218" i="3"/>
  <c r="AZ408" i="3"/>
  <c r="AZ418" i="3"/>
  <c r="U23" i="35"/>
  <c r="AB23" i="35"/>
  <c r="U25" i="37"/>
  <c r="AB25" i="37"/>
  <c r="AZ111" i="3"/>
  <c r="D83" i="71"/>
  <c r="C82" i="71"/>
  <c r="D82" i="71" s="1"/>
  <c r="O65" i="71"/>
  <c r="D66" i="71"/>
  <c r="O66" i="71"/>
  <c r="C36" i="71"/>
  <c r="D35" i="71"/>
  <c r="AZ210" i="3"/>
  <c r="AZ350" i="3"/>
  <c r="AZ302" i="3"/>
  <c r="AZ441" i="3"/>
  <c r="AZ471" i="3"/>
  <c r="AZ550" i="3"/>
  <c r="AC23" i="35"/>
  <c r="W23" i="35"/>
  <c r="K1" i="73"/>
  <c r="E96" i="3"/>
  <c r="E392" i="3"/>
  <c r="E47" i="3"/>
  <c r="E529" i="3"/>
  <c r="E317" i="3"/>
  <c r="E302" i="3"/>
  <c r="E274" i="3"/>
  <c r="E366" i="3"/>
  <c r="E229" i="3"/>
  <c r="V6" i="3"/>
  <c r="E114" i="3"/>
  <c r="E117" i="3"/>
  <c r="E578" i="3"/>
  <c r="E453" i="3"/>
  <c r="E45" i="3"/>
  <c r="E527" i="3"/>
  <c r="E72" i="3"/>
  <c r="E318" i="3"/>
  <c r="E271" i="3"/>
  <c r="E477" i="3"/>
  <c r="E27" i="3"/>
  <c r="E384" i="3"/>
  <c r="E305" i="3"/>
  <c r="E337" i="3"/>
  <c r="E561" i="3"/>
  <c r="E185" i="3"/>
  <c r="E503" i="3"/>
  <c r="E350" i="3"/>
  <c r="E77" i="3"/>
  <c r="E181" i="3"/>
  <c r="E228" i="3"/>
  <c r="K6" i="3"/>
  <c r="E472" i="3"/>
  <c r="E587" i="3"/>
  <c r="E454" i="3"/>
  <c r="E146" i="3"/>
  <c r="E315" i="3"/>
  <c r="E227" i="3"/>
  <c r="E89" i="3"/>
  <c r="Z6" i="3"/>
  <c r="E400" i="3"/>
  <c r="E557" i="3"/>
  <c r="E28" i="3"/>
  <c r="E211" i="3"/>
  <c r="E377" i="3"/>
  <c r="E217" i="3"/>
  <c r="E322" i="3"/>
  <c r="E509" i="3"/>
  <c r="E247" i="3"/>
  <c r="E514" i="3"/>
  <c r="M6" i="3"/>
  <c r="E335" i="3"/>
  <c r="E69" i="3"/>
  <c r="E563" i="3"/>
  <c r="E535" i="3"/>
  <c r="E191" i="3"/>
  <c r="E423" i="3"/>
  <c r="E246" i="3"/>
  <c r="E200" i="3"/>
  <c r="E119" i="3"/>
  <c r="E275"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AA7" i="36" s="1"/>
  <c r="R36" i="36" s="1"/>
  <c r="H7" i="36"/>
  <c r="U7" i="36" s="1"/>
  <c r="E131"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E69" i="39"/>
  <c r="F59" i="67"/>
  <c r="H7" i="37"/>
  <c r="AB7" i="37" s="1"/>
  <c r="T42" i="37" s="1"/>
  <c r="G42" i="37" s="1"/>
  <c r="S10" i="39"/>
  <c r="AA10" i="39"/>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Q60" i="67"/>
  <c r="Q73" i="67"/>
  <c r="M11" i="67"/>
  <c r="J10" i="67" s="1"/>
  <c r="F11" i="15"/>
  <c r="M11" i="15"/>
  <c r="J10" i="15" s="1"/>
  <c r="F11" i="67"/>
  <c r="F1" i="67"/>
  <c r="Q52" i="67"/>
  <c r="Q61" i="67"/>
  <c r="Q74" i="67"/>
  <c r="AE11" i="1"/>
  <c r="AE9" i="1"/>
  <c r="F27" i="68"/>
  <c r="AE8" i="1"/>
  <c r="AE12" i="1"/>
  <c r="AE10" i="1"/>
  <c r="G1" i="73"/>
  <c r="C16" i="15"/>
  <c r="C16" i="67"/>
  <c r="E378" i="3" l="1"/>
  <c r="E248" i="3"/>
  <c r="E94" i="3"/>
  <c r="E219" i="3"/>
  <c r="E296" i="3"/>
  <c r="X6" i="3"/>
  <c r="E263" i="3"/>
  <c r="E445" i="3"/>
  <c r="E215" i="3"/>
  <c r="E570" i="3"/>
  <c r="E431" i="3"/>
  <c r="E526" i="3"/>
  <c r="E273" i="3"/>
  <c r="E489" i="3"/>
  <c r="AO6" i="3"/>
  <c r="E368" i="3"/>
  <c r="E214" i="3"/>
  <c r="E577" i="3"/>
  <c r="E560" i="3"/>
  <c r="AK6" i="3"/>
  <c r="E399" i="3"/>
  <c r="E301" i="3"/>
  <c r="E361" i="3"/>
  <c r="E231" i="3"/>
  <c r="AR6" i="3"/>
  <c r="E410" i="3"/>
  <c r="E530" i="3"/>
  <c r="E331" i="3"/>
  <c r="E447" i="3"/>
  <c r="E478" i="3"/>
  <c r="E269" i="3"/>
  <c r="E351" i="3"/>
  <c r="E450" i="3"/>
  <c r="E458" i="3"/>
  <c r="E99" i="3"/>
  <c r="E583" i="3"/>
  <c r="E382" i="3"/>
  <c r="E550" i="3"/>
  <c r="E230" i="3"/>
  <c r="E551" i="3"/>
  <c r="E396" i="3"/>
  <c r="E316" i="3"/>
  <c r="E344" i="3"/>
  <c r="E169" i="3"/>
  <c r="E546" i="3"/>
  <c r="E122" i="3"/>
  <c r="E110" i="3"/>
  <c r="E43" i="3"/>
  <c r="E491" i="3"/>
  <c r="E124" i="3"/>
  <c r="E134" i="3"/>
  <c r="E528" i="3"/>
  <c r="E380" i="3"/>
  <c r="E533" i="3"/>
  <c r="E388" i="3"/>
  <c r="E175" i="3"/>
  <c r="E210" i="3"/>
  <c r="AS6" i="3"/>
  <c r="E515" i="3"/>
  <c r="E549" i="3"/>
  <c r="E150" i="3"/>
  <c r="E571" i="3"/>
  <c r="E573" i="3"/>
  <c r="E314" i="3"/>
  <c r="E336" i="3"/>
  <c r="E245" i="3"/>
  <c r="E395" i="3"/>
  <c r="E294" i="3"/>
  <c r="E559" i="3"/>
  <c r="E516" i="3"/>
  <c r="E558" i="3"/>
  <c r="E120" i="3"/>
  <c r="S6" i="3"/>
  <c r="E379" i="3"/>
  <c r="E195" i="3"/>
  <c r="E58" i="3"/>
  <c r="E422" i="3"/>
  <c r="AB7" i="36"/>
  <c r="T36" i="36" s="1"/>
  <c r="G36" i="36" s="1"/>
  <c r="E118" i="3"/>
  <c r="E242" i="3"/>
  <c r="E148" i="3"/>
  <c r="E385" i="3"/>
  <c r="E161" i="3"/>
  <c r="E278" i="3"/>
  <c r="E387" i="3"/>
  <c r="E201" i="3"/>
  <c r="AJ6" i="3"/>
  <c r="E109" i="3"/>
  <c r="E70" i="3"/>
  <c r="E345"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N6" i="3"/>
  <c r="E252" i="3"/>
  <c r="E280" i="3"/>
  <c r="E426" i="3"/>
  <c r="E54" i="3"/>
  <c r="E259" i="3"/>
  <c r="E265" i="3"/>
  <c r="E428" i="3"/>
  <c r="C49" i="15"/>
  <c r="J5" i="67"/>
  <c r="J24" i="67" s="1"/>
  <c r="Q61" i="15"/>
  <c r="E239" i="3"/>
  <c r="E125" i="3"/>
  <c r="E121" i="3"/>
  <c r="E443" i="3"/>
  <c r="E236" i="3"/>
  <c r="E73" i="3"/>
  <c r="E481" i="3"/>
  <c r="E262" i="3"/>
  <c r="AN6" i="3"/>
  <c r="E17" i="3"/>
  <c r="E321" i="3"/>
  <c r="E285" i="3"/>
  <c r="E153" i="3"/>
  <c r="E291" i="3"/>
  <c r="E367" i="3"/>
  <c r="E196" i="3"/>
  <c r="E475" i="3"/>
  <c r="E224" i="3"/>
  <c r="E98" i="3"/>
  <c r="E488" i="3"/>
  <c r="E374" i="3"/>
  <c r="E582" i="3"/>
  <c r="E416" i="3"/>
  <c r="E155" i="3"/>
  <c r="E20" i="3"/>
  <c r="E234" i="3"/>
  <c r="E372" i="3"/>
  <c r="E493" i="3"/>
  <c r="E104" i="3"/>
  <c r="E81" i="3"/>
  <c r="E499" i="3"/>
  <c r="E30" i="3"/>
  <c r="E88" i="3"/>
  <c r="E448" i="3"/>
  <c r="E580" i="3"/>
  <c r="E55" i="3"/>
  <c r="E437" i="3"/>
  <c r="E238" i="3"/>
  <c r="E303" i="3"/>
  <c r="E213" i="3"/>
  <c r="E418" i="3"/>
  <c r="E359" i="3"/>
  <c r="E319" i="3"/>
  <c r="E92" i="3"/>
  <c r="E432" i="3"/>
  <c r="E14" i="3"/>
  <c r="E537" i="3"/>
  <c r="E306" i="3"/>
  <c r="E187" i="3"/>
  <c r="E179" i="3"/>
  <c r="E584" i="3"/>
  <c r="E19" i="3"/>
  <c r="E244" i="3"/>
  <c r="E398" i="3"/>
  <c r="E289" i="3"/>
  <c r="E137" i="3"/>
  <c r="E226" i="3"/>
  <c r="E329" i="3"/>
  <c r="E512" i="3"/>
  <c r="E492" i="3"/>
  <c r="E553" i="3"/>
  <c r="E334" i="3"/>
  <c r="E404" i="3"/>
  <c r="E576" i="3"/>
  <c r="E394" i="3"/>
  <c r="E429" i="3"/>
  <c r="E177" i="3"/>
  <c r="E156" i="3"/>
  <c r="E159" i="3"/>
  <c r="E237" i="3"/>
  <c r="E523" i="3"/>
  <c r="E574" i="3"/>
  <c r="E29" i="3"/>
  <c r="E71" i="3"/>
  <c r="E411" i="3"/>
  <c r="E357" i="3"/>
  <c r="E474" i="3"/>
  <c r="E461" i="3"/>
  <c r="E413" i="3"/>
  <c r="E163" i="3"/>
  <c r="E266" i="3"/>
  <c r="E354" i="3"/>
  <c r="E24" i="3"/>
  <c r="E101" i="3"/>
  <c r="E112" i="3"/>
  <c r="E455" i="3"/>
  <c r="E401" i="3"/>
  <c r="E35" i="3"/>
  <c r="E308" i="3"/>
  <c r="E59" i="3"/>
  <c r="C21" i="71"/>
  <c r="D22" i="71"/>
  <c r="T49" i="34"/>
  <c r="G49" i="34" s="1"/>
  <c r="G53" i="34" s="1"/>
  <c r="H53" i="34" s="1"/>
  <c r="E25" i="3"/>
  <c r="AH6" i="3"/>
  <c r="E486" i="3"/>
  <c r="E223" i="3"/>
  <c r="E80" i="3"/>
  <c r="E220" i="3"/>
  <c r="E115" i="3"/>
  <c r="E13" i="3"/>
  <c r="T6" i="3"/>
  <c r="E86" i="3"/>
  <c r="E281" i="3"/>
  <c r="E355" i="3"/>
  <c r="E46" i="3"/>
  <c r="E258" i="3"/>
  <c r="E255" i="3"/>
  <c r="E149" i="3"/>
  <c r="E446" i="3"/>
  <c r="E421" i="3"/>
  <c r="E386" i="3"/>
  <c r="E566" i="3"/>
  <c r="E365" i="3"/>
  <c r="E50" i="3"/>
  <c r="E52" i="3"/>
  <c r="E194" i="3"/>
  <c r="E473" i="3"/>
  <c r="E276" i="3"/>
  <c r="E40" i="3"/>
  <c r="E376" i="3"/>
  <c r="E564" i="3"/>
  <c r="E16" i="3"/>
  <c r="E370" i="3"/>
  <c r="E78" i="3"/>
  <c r="E41" i="3"/>
  <c r="E360" i="3"/>
  <c r="E205" i="3"/>
  <c r="E383" i="3"/>
  <c r="E494" i="3"/>
  <c r="E84" i="3"/>
  <c r="E484" i="3"/>
  <c r="E152" i="3"/>
  <c r="E466" i="3"/>
  <c r="E207" i="3"/>
  <c r="E257" i="3"/>
  <c r="E288" i="3"/>
  <c r="E157" i="3"/>
  <c r="E127" i="3"/>
  <c r="E87" i="3"/>
  <c r="Y6" i="3"/>
  <c r="E542" i="3"/>
  <c r="E436" i="3"/>
  <c r="E48" i="3"/>
  <c r="E57" i="3"/>
  <c r="E51" i="3"/>
  <c r="E348" i="3"/>
  <c r="E141" i="3"/>
  <c r="E62" i="3"/>
  <c r="E147" i="3"/>
  <c r="E325" i="3"/>
  <c r="E79" i="3"/>
  <c r="L6" i="3"/>
  <c r="E202" i="3"/>
  <c r="E498" i="3"/>
  <c r="E507" i="3"/>
  <c r="E105" i="3"/>
  <c r="E158" i="3"/>
  <c r="E342" i="3"/>
  <c r="E356" i="3"/>
  <c r="E452" i="3"/>
  <c r="E456" i="3"/>
  <c r="E113" i="3"/>
  <c r="E42" i="3"/>
  <c r="E68" i="3"/>
  <c r="E249" i="3"/>
  <c r="E292" i="3"/>
  <c r="E517" i="3"/>
  <c r="E536" i="3"/>
  <c r="E539" i="3"/>
  <c r="E502" i="3"/>
  <c r="AP6" i="3"/>
  <c r="E37" i="3"/>
  <c r="E349" i="3"/>
  <c r="E467" i="3"/>
  <c r="E371" i="3"/>
  <c r="E184" i="3"/>
  <c r="E283" i="3"/>
  <c r="E391" i="3"/>
  <c r="E174" i="3"/>
  <c r="AF6" i="3"/>
  <c r="E197" i="3"/>
  <c r="E469" i="3"/>
  <c r="E556"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D26" i="43"/>
  <c r="C25" i="43"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581" i="3"/>
  <c r="AG6" i="3"/>
  <c r="I6" i="3"/>
  <c r="E203" i="3"/>
  <c r="AE6" i="3"/>
  <c r="Q6" i="3"/>
  <c r="E434" i="3"/>
  <c r="E353" i="3"/>
  <c r="E254" i="3"/>
  <c r="E304" i="3"/>
  <c r="E338" i="3"/>
  <c r="E390" i="3"/>
  <c r="E328" i="3"/>
  <c r="E53" i="3"/>
  <c r="E272" i="3"/>
  <c r="E547" i="3"/>
  <c r="U6" i="3"/>
  <c r="E397" i="3"/>
  <c r="E168" i="3"/>
  <c r="W6" i="3"/>
  <c r="E532" i="3"/>
  <c r="E136" i="3"/>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243" i="3"/>
  <c r="E470" i="3"/>
  <c r="E451" i="3"/>
  <c r="E525" i="3"/>
  <c r="E206" i="3"/>
  <c r="E482" i="3"/>
  <c r="E513" i="3"/>
  <c r="E33" i="3"/>
  <c r="E160" i="3"/>
  <c r="E544" i="3"/>
  <c r="E479" i="3"/>
  <c r="E430" i="3"/>
  <c r="E212" i="3"/>
  <c r="E3" i="6"/>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F1" i="15"/>
  <c r="Q52" i="15"/>
  <c r="Q73" i="15"/>
  <c r="J5" i="15"/>
  <c r="J24" i="15" s="1"/>
  <c r="D36" i="71"/>
  <c r="T36" i="71"/>
  <c r="D56" i="71"/>
  <c r="T56" i="71"/>
  <c r="T40" i="71"/>
  <c r="D40"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B14" i="74"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7" i="1"/>
  <c r="M27" i="15"/>
  <c r="M27" i="67"/>
  <c r="AE6" i="1"/>
  <c r="G54" i="34" l="1"/>
  <c r="H54" i="34" s="1"/>
  <c r="D21" i="71"/>
  <c r="C20" i="71"/>
  <c r="B1" i="74"/>
  <c r="R50" i="34"/>
  <c r="C49" i="34" s="1"/>
  <c r="I53" i="34"/>
  <c r="J53" i="34" s="1"/>
  <c r="F22" i="11"/>
  <c r="C24" i="11" s="1"/>
  <c r="F24" i="67"/>
  <c r="C24" i="67" s="1"/>
  <c r="AC6" i="3"/>
  <c r="H6" i="3"/>
  <c r="E6" i="3" s="1"/>
  <c r="D116" i="43"/>
  <c r="F24" i="15"/>
  <c r="C24" i="15" s="1"/>
  <c r="F22" i="69"/>
  <c r="F41" i="69" s="1"/>
  <c r="F22" i="68"/>
  <c r="F41" i="68" s="1"/>
  <c r="F25" i="12"/>
  <c r="C26" i="12" s="1"/>
  <c r="D25" i="12" s="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C14" i="74" s="1"/>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6" i="67"/>
  <c r="C60" i="67"/>
  <c r="D10" i="69"/>
  <c r="C34" i="69"/>
  <c r="D10" i="68"/>
  <c r="F41" i="15"/>
  <c r="F41" i="67"/>
  <c r="C17" i="67"/>
  <c r="C14" i="67"/>
  <c r="C17" i="15"/>
  <c r="F69" i="67" l="1"/>
  <c r="H22" i="6"/>
  <c r="H24" i="6"/>
  <c r="H25" i="6"/>
  <c r="R25" i="6" s="1"/>
  <c r="R12" i="1" s="1"/>
  <c r="B2" i="74"/>
  <c r="T20" i="71"/>
  <c r="D20" i="71"/>
  <c r="U20" i="71" s="1"/>
  <c r="C19" i="71"/>
  <c r="C50" i="34"/>
  <c r="F69" i="15"/>
  <c r="C23" i="11"/>
  <c r="C26" i="11"/>
  <c r="D22" i="11" s="1"/>
  <c r="C44" i="11"/>
  <c r="D41" i="11" s="1"/>
  <c r="C25" i="11"/>
  <c r="C26" i="69"/>
  <c r="D22" i="69" s="1"/>
  <c r="C44" i="69"/>
  <c r="D41" i="69" s="1"/>
  <c r="C26" i="68"/>
  <c r="D22" i="68" s="1"/>
  <c r="C23" i="68"/>
  <c r="C44" i="68"/>
  <c r="D41" i="68"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D2" i="34"/>
  <c r="L51" i="1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9" i="1"/>
  <c r="AO12" i="1"/>
  <c r="C19" i="9"/>
  <c r="AO11" i="1"/>
  <c r="AO10" i="1"/>
  <c r="C10" i="71" l="1"/>
  <c r="D11" i="71"/>
  <c r="C102" i="9"/>
  <c r="C21" i="9"/>
  <c r="B3" i="34"/>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7" i="1"/>
  <c r="AO6" i="1"/>
  <c r="D19" i="9"/>
  <c r="B7" i="70" l="1"/>
  <c r="D10" i="71"/>
  <c r="C9" i="71"/>
  <c r="C103" i="9"/>
  <c r="D102" i="9"/>
  <c r="D22" i="9"/>
  <c r="G19" i="9"/>
  <c r="D21" i="9"/>
  <c r="B6" i="70"/>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B2" i="70" l="1"/>
  <c r="B3" i="70" s="1"/>
  <c r="D9" i="71"/>
  <c r="C8" i="71"/>
  <c r="G21" i="9"/>
  <c r="D103" i="9"/>
  <c r="G20" i="9"/>
  <c r="C42" i="40"/>
  <c r="C43" i="40"/>
  <c r="E47" i="40"/>
  <c r="F47" i="40" s="1"/>
  <c r="E46" i="40"/>
  <c r="F46" i="40" s="1"/>
  <c r="I47" i="40"/>
  <c r="J47" i="40" s="1"/>
  <c r="C32" i="9" l="1"/>
  <c r="C35" i="9" s="1"/>
  <c r="C34" i="9" s="1"/>
  <c r="R24" i="3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35" i="31"/>
  <c r="S35" i="31" s="1"/>
  <c r="R30" i="31"/>
  <c r="S30" i="31" s="1"/>
  <c r="R25" i="31"/>
  <c r="S25" i="31" s="1"/>
  <c r="R29" i="31"/>
  <c r="S29" i="31" s="1"/>
  <c r="R31" i="31"/>
  <c r="S31" i="31" s="1"/>
  <c r="R26" i="31"/>
  <c r="S26" i="31" s="1"/>
  <c r="R36" i="31"/>
  <c r="S36" i="31" s="1"/>
  <c r="R27" i="31"/>
  <c r="S27" i="31" s="1"/>
  <c r="R33" i="31"/>
  <c r="S33" i="31" s="1"/>
  <c r="R32" i="31"/>
  <c r="S32" i="31" s="1"/>
  <c r="R34" i="31"/>
  <c r="S34" i="31" s="1"/>
  <c r="R28" i="31"/>
  <c r="S28" i="31" s="1"/>
  <c r="D7" i="71"/>
  <c r="C6" i="71"/>
  <c r="S22" i="31" l="1"/>
  <c r="D6" i="71"/>
  <c r="C5" i="71"/>
  <c r="D5" i="71" s="1"/>
  <c r="M24" i="43" s="1"/>
  <c r="B6" i="74"/>
  <c r="D6" i="74" s="1"/>
  <c r="H107" i="9"/>
  <c r="D13" i="53" s="1"/>
  <c r="D14" i="74" l="1"/>
  <c r="H14" i="74"/>
  <c r="B7" i="74" s="1"/>
  <c r="D7" i="74" s="1"/>
  <c r="R22" i="31"/>
  <c r="B20" i="31"/>
  <c r="B21" i="31" s="1"/>
  <c r="B30" i="72"/>
  <c r="D14" i="53"/>
  <c r="B32" i="72" s="1"/>
  <c r="D122" i="9"/>
  <c r="F14" i="74" l="1"/>
  <c r="B5" i="74"/>
  <c r="D5" i="74" s="1"/>
  <c r="E14" i="74"/>
  <c r="D123" i="9"/>
  <c r="D9" i="52" s="1"/>
  <c r="D8" i="52"/>
  <c r="D118" i="9"/>
  <c r="D4" i="52" s="1"/>
  <c r="B47" i="72" s="1"/>
  <c r="H118" i="9"/>
  <c r="H119" i="9" s="1"/>
  <c r="H5" i="52" s="1"/>
  <c r="F118" i="9"/>
  <c r="F4" i="52" s="1"/>
  <c r="B51" i="72" s="1"/>
  <c r="F119" i="9" l="1"/>
  <c r="F5" i="52" s="1"/>
  <c r="B53" i="72" s="1"/>
  <c r="D119" i="9"/>
  <c r="D5" i="52" s="1"/>
  <c r="B49" i="72" s="1"/>
  <c r="G118" i="9"/>
  <c r="G4" i="52" s="1"/>
  <c r="B52" i="72" s="1"/>
  <c r="H101" i="9"/>
  <c r="H4" i="52"/>
  <c r="I118" i="9"/>
  <c r="C104" i="9"/>
  <c r="I4" i="52" l="1"/>
  <c r="E118" i="9"/>
  <c r="E4" i="52" s="1"/>
  <c r="B48" i="72" s="1"/>
  <c r="C105" i="9"/>
  <c r="H102" i="9"/>
  <c r="M48" i="9"/>
  <c r="D45" i="9"/>
  <c r="H109" i="9"/>
  <c r="D5" i="53"/>
  <c r="H108" i="9"/>
  <c r="D53" i="9" l="1"/>
  <c r="C64" i="9"/>
  <c r="C63" i="9" s="1"/>
  <c r="C67" i="9" s="1"/>
  <c r="C93" i="9"/>
  <c r="C86" i="9" s="1"/>
  <c r="D52" i="9"/>
  <c r="D55" i="9"/>
  <c r="M53" i="9" s="1"/>
  <c r="C85" i="9"/>
  <c r="C78" i="9"/>
  <c r="C73" i="9" s="1"/>
  <c r="C72" i="9"/>
  <c r="B20" i="72"/>
  <c r="D6" i="53"/>
  <c r="B22" i="72" s="1"/>
  <c r="C5" i="74"/>
  <c r="D7" i="53"/>
  <c r="B21" i="72" s="1"/>
  <c r="H110" i="9"/>
  <c r="M49" i="9"/>
  <c r="D16" i="53"/>
  <c r="D124" i="9"/>
  <c r="C6" i="74"/>
  <c r="D15" i="53"/>
  <c r="B31" i="72" s="1"/>
  <c r="C95" i="9" l="1"/>
  <c r="C96" i="9" s="1"/>
  <c r="E96" i="9" s="1"/>
  <c r="E97" i="9" s="1"/>
  <c r="D18" i="53"/>
  <c r="B35" i="72" s="1"/>
  <c r="C7" i="74"/>
  <c r="D10" i="52"/>
  <c r="D125" i="9"/>
  <c r="D11" i="52" s="1"/>
  <c r="C79" i="9"/>
  <c r="L63" i="9"/>
  <c r="M63" i="9" s="1"/>
  <c r="L66" i="9"/>
  <c r="M66" i="9" s="1"/>
  <c r="L65" i="9"/>
  <c r="M65" i="9" s="1"/>
  <c r="L64" i="9"/>
  <c r="M64" i="9" s="1"/>
  <c r="L68" i="9"/>
  <c r="M68" i="9" s="1"/>
  <c r="L67" i="9"/>
  <c r="M67" i="9" s="1"/>
  <c r="B34" i="72"/>
  <c r="D17" i="53"/>
  <c r="B36" i="72" s="1"/>
  <c r="C68" i="9"/>
  <c r="D54" i="9" s="1"/>
  <c r="D59" i="9"/>
  <c r="M55" i="9" s="1"/>
  <c r="C97" i="9" l="1"/>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<sst xmlns="http://schemas.openxmlformats.org/spreadsheetml/2006/main" count="7920" uniqueCount="3467">
  <si>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</si>
  <si>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</si>
  <si>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</si>
  <si>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</si>
  <si>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</si>
  <si>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</si>
  <si>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</si>
  <si>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</si>
  <si>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</si>
  <si>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</si>
  <si>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</si>
  <si>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</si>
  <si>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</si>
  <si>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</si>
  <si>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</si>
  <si>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</si>
  <si>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</si>
  <si>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</si>
  <si>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</si>
  <si>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</si>
  <si>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</si>
  <si>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</si>
  <si>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</si>
  <si>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</si>
  <si>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</si>
  <si>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</si>
  <si>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</si>
  <si>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</si>
  <si>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</si>
  <si>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</si>
  <si>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</si>
  <si>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</si>
  <si>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</si>
  <si>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</si>
  <si>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</si>
  <si>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</si>
  <si>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</si>
  <si>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</si>
  <si>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</si>
  <si>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</si>
  <si>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</si>
  <si>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</si>
  <si>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</si>
  <si>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</si>
  <si>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</si>
  <si>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</si>
  <si>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</si>
  <si>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</si>
  <si>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</si>
  <si>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</si>
  <si>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</si>
  <si>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</si>
  <si>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</si>
  <si>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</si>
  <si>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</si>
  <si>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</si>
  <si>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</si>
  <si>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</si>
  <si>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</si>
  <si>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</si>
  <si>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</si>
  <si>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</si>
  <si>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</si>
  <si>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</si>
  <si>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</si>
  <si>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</si>
  <si>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</si>
  <si>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</si>
  <si>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</si>
  <si>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</si>
  <si>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</si>
  <si>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</si>
  <si>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</si>
  <si>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</si>
  <si>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</si>
  <si>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</si>
  <si>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</si>
  <si>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</si>
  <si>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</si>
  <si>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</si>
  <si>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</si>
  <si>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</si>
  <si>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</si>
  <si>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</si>
  <si>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</si>
  <si>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</si>
  <si>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</si>
  <si>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</si>
  <si>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</si>
  <si>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</si>
  <si>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</si>
  <si>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</si>
  <si>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</si>
  <si>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</si>
  <si>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</si>
  <si>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</si>
  <si>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</si>
  <si>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</si>
  <si>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</si>
  <si>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</si>
  <si>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</si>
  <si>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</si>
  <si>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</si>
  <si>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</si>
  <si>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</si>
  <si>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</si>
  <si>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</si>
  <si>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</si>
  <si>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</si>
  <si>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</si>
  <si>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</si>
  <si>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</si>
  <si>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</si>
  <si>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</si>
  <si>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</si>
  <si>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</si>
  <si>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</si>
  <si>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</si>
  <si>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</si>
  <si>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</si>
  <si>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</si>
  <si>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</si>
  <si>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</si>
  <si>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</si>
  <si>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</si>
  <si>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</si>
  <si>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</si>
  <si>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</si>
  <si>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</si>
  <si>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</si>
  <si>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</si>
  <si>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</si>
  <si>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</si>
  <si>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</si>
  <si>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</si>
  <si>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</si>
  <si>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</si>
  <si>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</si>
  <si>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</si>
  <si>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</si>
  <si>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</si>
  <si>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</si>
  <si>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</si>
  <si>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</si>
  <si>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</si>
  <si>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</si>
  <si>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</si>
  <si>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</si>
  <si>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</si>
  <si>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</si>
  <si>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</si>
  <si>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</si>
  <si>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</si>
  <si>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</si>
  <si>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</si>
  <si>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</si>
  <si>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</si>
  <si>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</si>
  <si>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</si>
  <si>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</si>
  <si>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</si>
  <si>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</si>
  <si>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</si>
  <si>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</si>
  <si>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</si>
  <si>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</si>
  <si>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</si>
  <si>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</si>
  <si>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</si>
  <si>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</si>
  <si>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</si>
  <si>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</si>
  <si>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</si>
  <si>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</si>
  <si>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</si>
  <si>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</si>
  <si>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</si>
  <si>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</si>
  <si>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</si>
  <si>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</si>
  <si>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</si>
  <si>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</si>
  <si>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</si>
  <si>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</si>
  <si>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</si>
  <si>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</si>
  <si>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</si>
  <si>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</si>
  <si>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</si>
  <si>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</si>
  <si>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</si>
  <si>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</si>
  <si>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</si>
  <si>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</si>
  <si>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</si>
  <si>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</si>
  <si>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</si>
  <si>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</si>
  <si>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</si>
  <si>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</si>
  <si>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</si>
  <si>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</si>
  <si>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</si>
  <si>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</si>
  <si>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</si>
  <si>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</si>
  <si>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</si>
  <si>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</si>
  <si>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</si>
  <si>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</si>
  <si>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</si>
  <si>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</si>
  <si>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</si>
  <si>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</si>
  <si>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</si>
  <si>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</si>
  <si>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</si>
  <si>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</si>
  <si>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</si>
  <si>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</si>
  <si>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</si>
  <si>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</si>
  <si>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</si>
  <si>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</si>
  <si>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</si>
  <si>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</si>
  <si>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</si>
  <si>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</si>
  <si>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</si>
  <si>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</si>
  <si>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</si>
  <si>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</si>
  <si>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</si>
  <si>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</si>
  <si>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</si>
  <si>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</si>
  <si>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</si>
  <si>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</si>
  <si>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</si>
  <si>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</si>
  <si>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</si>
  <si>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</si>
  <si>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</si>
  <si>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</si>
  <si>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</si>
  <si>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</si>
  <si>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</si>
  <si>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</si>
  <si>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</si>
  <si>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</si>
  <si>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</si>
  <si>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</si>
  <si>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</si>
  <si>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</si>
  <si>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</si>
  <si>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</si>
  <si>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</si>
  <si>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</si>
  <si>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</si>
  <si>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</si>
  <si>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</si>
  <si>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</si>
  <si>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</si>
  <si>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</si>
  <si>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</si>
  <si>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</si>
  <si>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</si>
  <si>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</si>
  <si>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</si>
  <si>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</si>
  <si>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</si>
  <si>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</si>
  <si>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</si>
  <si>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</si>
  <si>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</si>
  <si>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</si>
  <si>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</si>
  <si>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</si>
  <si>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</si>
  <si>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</si>
  <si>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</si>
  <si>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</si>
  <si>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</si>
  <si>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</si>
  <si>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</si>
  <si>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</si>
  <si>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</si>
  <si>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</si>
  <si>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</si>
  <si>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</si>
  <si>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</si>
  <si>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</si>
  <si>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</si>
  <si>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</si>
  <si>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</si>
  <si>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</si>
  <si>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</si>
  <si>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</si>
  <si>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</si>
  <si>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</si>
  <si>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</si>
  <si>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</si>
  <si>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</si>
  <si>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</si>
  <si>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</si>
  <si>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</si>
  <si>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</si>
  <si>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</si>
  <si>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</si>
  <si>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</si>
  <si>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</si>
  <si>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</si>
  <si>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</si>
  <si>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</si>
  <si>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</si>
  <si>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</si>
  <si>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</si>
  <si>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</si>
  <si>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</si>
  <si>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</si>
  <si>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</si>
  <si>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</si>
  <si>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</si>
  <si>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</si>
  <si>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</si>
  <si>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</si>
  <si>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</si>
  <si>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</si>
  <si>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</si>
  <si>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</si>
  <si>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</si>
  <si>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</si>
  <si>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</si>
  <si>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</si>
  <si>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</si>
  <si>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</si>
  <si>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</si>
  <si>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</si>
  <si>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</si>
  <si>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</si>
  <si>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</si>
  <si>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</si>
  <si>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</si>
  <si>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</si>
  <si>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</si>
  <si>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</si>
  <si>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</si>
  <si>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</si>
  <si>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</si>
  <si>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</si>
  <si>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</si>
  <si>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</si>
  <si>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</si>
  <si>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</si>
  <si>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</si>
  <si>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</si>
  <si>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</si>
  <si>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</si>
  <si>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</si>
  <si>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</si>
  <si>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</si>
  <si>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</si>
  <si>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</si>
  <si>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</si>
  <si>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</si>
  <si>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</si>
  <si>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</si>
  <si>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</si>
  <si>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</si>
  <si>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</si>
  <si>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</si>
  <si>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</si>
  <si>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</si>
  <si>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</si>
  <si>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</si>
  <si>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</si>
  <si>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</si>
  <si>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</si>
  <si>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</si>
  <si>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</si>
  <si>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</si>
  <si>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</si>
  <si>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</si>
  <si>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</si>
  <si>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</si>
  <si>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</si>
  <si>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</si>
  <si>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</si>
  <si>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</si>
  <si>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</si>
  <si>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</si>
  <si>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</si>
  <si>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</si>
  <si>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</si>
  <si>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</si>
  <si>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</si>
  <si>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</si>
  <si>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</si>
  <si>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</si>
  <si>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</si>
  <si>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</si>
  <si>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</si>
  <si>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</si>
  <si>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</si>
  <si>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</si>
  <si>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</si>
  <si>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</si>
  <si>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</si>
  <si>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</si>
  <si>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</si>
  <si>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</si>
  <si>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</si>
  <si>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</si>
  <si>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</si>
  <si>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</si>
  <si>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</si>
  <si>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</si>
  <si>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</si>
  <si>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</si>
  <si>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</si>
  <si>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</si>
  <si>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</si>
  <si>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</si>
  <si>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</si>
  <si>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</si>
  <si>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</si>
  <si>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</si>
  <si>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</si>
  <si>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</si>
  <si>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</si>
  <si>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</si>
  <si>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</si>
  <si>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</si>
  <si>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</si>
  <si>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</si>
  <si>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</si>
  <si>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</si>
  <si>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</si>
  <si>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</si>
  <si>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</si>
  <si>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</si>
  <si>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</si>
  <si>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</si>
  <si>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</si>
  <si>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</si>
  <si>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</si>
  <si>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</si>
  <si>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</si>
  <si>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</si>
  <si>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</si>
  <si>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</si>
  <si>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</si>
  <si>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</si>
  <si>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</si>
  <si>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</si>
  <si>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</si>
  <si>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</si>
  <si>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</si>
  <si>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</si>
  <si>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</si>
  <si>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</si>
  <si>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</si>
  <si>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</si>
  <si>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</si>
  <si>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</si>
  <si>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</si>
  <si>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</si>
  <si>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</si>
  <si>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</si>
  <si>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</si>
  <si>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</si>
  <si>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</si>
  <si>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</si>
  <si>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</si>
  <si>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</si>
  <si>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</si>
  <si>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</si>
  <si>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</si>
  <si>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</si>
  <si>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</si>
  <si>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</si>
  <si>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</si>
  <si>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</si>
  <si>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</si>
  <si>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</si>
  <si>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</si>
  <si>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</si>
  <si>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</si>
  <si>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</si>
  <si>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</si>
  <si>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</si>
  <si>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</si>
  <si>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</si>
  <si>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</si>
  <si>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</si>
  <si>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</si>
  <si>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</si>
  <si>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</si>
  <si>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</si>
  <si>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</si>
  <si>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</si>
  <si>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</si>
  <si>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</si>
  <si>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</si>
  <si>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</si>
  <si>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</si>
  <si>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</si>
  <si>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</si>
  <si>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</si>
  <si>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</si>
  <si>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</si>
  <si>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</si>
  <si>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</si>
  <si>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</si>
  <si>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</si>
  <si>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</si>
  <si>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</si>
  <si>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</si>
  <si>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</si>
  <si>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</si>
  <si>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</si>
  <si>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</si>
  <si>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</si>
  <si>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</si>
  <si>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</si>
  <si>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</si>
  <si>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</si>
  <si>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</si>
  <si>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</si>
  <si>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</si>
  <si>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</si>
  <si>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</si>
  <si>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</si>
  <si>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</si>
  <si>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</si>
  <si>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</si>
  <si>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</si>
  <si>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</si>
  <si>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</si>
  <si>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</si>
  <si>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</si>
  <si>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</si>
  <si>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</si>
  <si>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</si>
  <si>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</si>
  <si>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</si>
  <si>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</si>
  <si>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</si>
  <si>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</si>
  <si>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</si>
  <si>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</si>
  <si>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</si>
  <si>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</si>
  <si>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</si>
  <si>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</si>
  <si>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</si>
  <si>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</si>
  <si>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</si>
  <si>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</si>
  <si>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</si>
  <si>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</si>
  <si>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</si>
  <si>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</si>
  <si>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</si>
  <si>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</si>
  <si>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</si>
  <si>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</si>
  <si>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</si>
  <si>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</si>
  <si>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</si>
  <si>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</si>
  <si>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</si>
  <si>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</si>
  <si>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</si>
  <si>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</si>
  <si>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</si>
  <si>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</si>
  <si>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</si>
  <si>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</si>
  <si>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</si>
  <si>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</si>
  <si>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</si>
  <si>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</si>
  <si>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</si>
  <si>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</si>
  <si>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</si>
  <si>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</si>
  <si>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</si>
  <si>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</si>
  <si>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</si>
  <si>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</si>
  <si>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</si>
  <si>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</si>
  <si>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</si>
  <si>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</si>
  <si>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</si>
  <si>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</si>
  <si>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</si>
  <si>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</si>
  <si>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</si>
  <si>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</si>
  <si>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</si>
  <si>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</si>
  <si>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</si>
  <si>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</si>
  <si>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</si>
  <si>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</si>
  <si>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</si>
  <si>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</si>
  <si>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</si>
  <si>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</si>
  <si>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</si>
  <si>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</si>
  <si>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</si>
  <si>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</si>
  <si>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</si>
  <si>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</si>
  <si>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</si>
  <si>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</si>
  <si>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</si>
  <si>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</si>
  <si>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</si>
  <si>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</si>
  <si>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</si>
  <si>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</si>
  <si>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</si>
  <si>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</si>
  <si>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</si>
  <si>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</si>
  <si>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</si>
  <si>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</si>
  <si>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</si>
  <si>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</si>
  <si>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</si>
  <si>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</si>
  <si>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</si>
  <si>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</si>
  <si>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</si>
  <si>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</si>
  <si>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</si>
  <si>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</si>
  <si>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</si>
  <si>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</si>
  <si>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</si>
  <si>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</si>
  <si>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</si>
  <si>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</si>
  <si>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</si>
  <si>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</si>
  <si>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</si>
  <si>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</si>
  <si>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</si>
  <si>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</si>
  <si>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</si>
  <si>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</si>
  <si>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</si>
  <si>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</si>
  <si>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</si>
  <si>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</si>
  <si>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</si>
  <si>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</si>
  <si>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</si>
  <si>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</si>
  <si>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</si>
  <si>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</si>
  <si>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</si>
  <si>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</si>
  <si>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</si>
  <si>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</si>
  <si>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</si>
  <si>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</si>
  <si>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</si>
  <si>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</si>
  <si>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</si>
  <si>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</si>
  <si>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</si>
  <si>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</si>
  <si>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</si>
  <si>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</si>
  <si>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</si>
  <si>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</si>
  <si>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</si>
  <si>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</si>
  <si>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</si>
  <si>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</si>
  <si>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</si>
  <si>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</si>
  <si>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</si>
  <si>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</si>
  <si>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</si>
  <si>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</si>
  <si>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</si>
  <si>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</si>
  <si>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</si>
  <si>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</si>
  <si>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</si>
  <si>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</si>
  <si>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</si>
  <si>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</si>
  <si>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</si>
  <si>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</si>
  <si>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</si>
  <si>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</si>
  <si>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</si>
  <si>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</si>
  <si>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</si>
  <si>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</si>
  <si>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</si>
  <si>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</si>
  <si>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</si>
  <si>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</si>
  <si>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</si>
  <si>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</si>
  <si>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</si>
  <si>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</si>
  <si>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</si>
  <si>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</si>
  <si>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</si>
  <si>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</si>
  <si>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</si>
  <si>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</si>
  <si>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</si>
  <si>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</si>
  <si>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</si>
  <si>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</si>
  <si>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</si>
  <si>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</si>
  <si>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</si>
  <si>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</si>
  <si>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</si>
  <si>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</si>
  <si>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</si>
  <si>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</si>
  <si>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</si>
  <si>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</si>
  <si>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</si>
  <si>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</si>
  <si>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</si>
  <si>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</si>
  <si>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</si>
  <si>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</si>
  <si>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</si>
  <si>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</si>
  <si>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</si>
  <si>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</si>
  <si>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</si>
  <si>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</si>
  <si>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</si>
  <si>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</si>
  <si>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</si>
  <si>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</si>
  <si>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</si>
  <si>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</si>
  <si>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</si>
  <si>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</si>
  <si>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</si>
  <si>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</si>
  <si>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</si>
  <si>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</si>
  <si>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</si>
  <si>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</si>
  <si>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</si>
  <si>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</si>
  <si>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</si>
  <si>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</si>
  <si>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</si>
  <si>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</si>
  <si>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</si>
  <si>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</si>
  <si>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</si>
  <si>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</si>
  <si>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</si>
  <si>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</si>
  <si>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</si>
  <si>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</si>
  <si>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</si>
  <si>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</si>
  <si>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</si>
  <si>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</si>
  <si>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</si>
  <si>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</si>
  <si>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</si>
  <si>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</si>
  <si>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</si>
  <si>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</si>
  <si>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</si>
  <si>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</si>
  <si>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</si>
  <si>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</si>
  <si>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</si>
  <si>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</si>
  <si>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</si>
  <si>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</si>
  <si>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</si>
  <si>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</si>
  <si>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</si>
  <si>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</si>
  <si>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</si>
  <si>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</si>
  <si>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</si>
  <si>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</si>
  <si>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</si>
  <si>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</si>
  <si>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</si>
  <si>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</si>
  <si>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</si>
  <si>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</si>
  <si>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</si>
  <si>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</si>
  <si>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</si>
  <si>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</si>
  <si>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</si>
  <si>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</si>
  <si>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</si>
  <si>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</si>
  <si>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</si>
  <si>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</si>
  <si>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</si>
  <si>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</si>
  <si>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</si>
  <si>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</si>
  <si>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</si>
  <si>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</si>
  <si>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</si>
  <si>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</si>
  <si>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</si>
  <si>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</si>
  <si>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</si>
  <si>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</si>
  <si>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</si>
  <si>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</si>
  <si>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</si>
  <si>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</si>
  <si>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</si>
  <si>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</si>
  <si>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</si>
  <si>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</si>
  <si>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</si>
  <si>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</si>
  <si>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</si>
  <si>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</si>
  <si>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</si>
  <si>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</si>
  <si>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</si>
  <si>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</si>
  <si>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</si>
  <si>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</si>
  <si>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</si>
  <si>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</si>
  <si>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</si>
  <si>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</si>
  <si>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</si>
  <si>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</si>
  <si>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</si>
  <si>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</si>
  <si>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</si>
  <si>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</si>
  <si>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</si>
  <si>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</si>
  <si>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</si>
  <si>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</si>
  <si>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</si>
  <si>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</si>
  <si>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</si>
  <si>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</si>
  <si>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</si>
  <si>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</si>
  <si>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</si>
  <si>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</si>
  <si>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</si>
  <si>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</si>
  <si>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</si>
  <si>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</si>
  <si>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</si>
  <si>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</si>
  <si>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</si>
  <si>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</si>
  <si>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</si>
  <si>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</si>
  <si>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</si>
  <si>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</si>
  <si>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</si>
  <si>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</si>
  <si>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</si>
  <si>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</si>
  <si>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</si>
  <si>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</si>
  <si>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</si>
  <si>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</si>
  <si>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</si>
  <si>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</si>
  <si>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</si>
  <si>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</si>
  <si>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</si>
  <si>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</si>
  <si>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</si>
  <si>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</si>
  <si>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</si>
  <si>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</si>
  <si>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</si>
  <si>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</si>
  <si>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</si>
  <si>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</si>
  <si>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</si>
  <si>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</si>
  <si>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</si>
  <si>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</si>
  <si>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</si>
  <si>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</si>
  <si>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</si>
  <si>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</si>
  <si>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</si>
  <si>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</si>
  <si>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</si>
  <si>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</si>
  <si>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</si>
  <si>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</si>
  <si>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</si>
  <si>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</si>
  <si>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</si>
  <si>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</si>
  <si>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</si>
  <si>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</si>
  <si>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</si>
  <si>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</si>
  <si>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</si>
  <si>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</si>
  <si>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</si>
  <si>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</si>
  <si>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</si>
  <si>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</si>
  <si>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</si>
  <si>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</si>
  <si>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</si>
  <si>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</si>
  <si>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</si>
  <si>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</si>
  <si>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</si>
  <si>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</si>
  <si>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</si>
  <si>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</si>
  <si>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</si>
  <si>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</si>
  <si>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</si>
  <si>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</si>
  <si>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</si>
  <si>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</si>
  <si>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</si>
  <si>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</si>
  <si>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</si>
  <si>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</si>
  <si>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</si>
  <si>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</si>
  <si>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</si>
  <si>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</si>
  <si>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</si>
  <si>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</si>
  <si>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</si>
  <si>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</si>
  <si>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</si>
  <si>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</si>
  <si>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</si>
  <si>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</si>
  <si>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</si>
  <si>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</si>
  <si>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</si>
  <si>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</si>
  <si>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</si>
  <si>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</si>
  <si>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</si>
  <si>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</si>
  <si>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</si>
  <si>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</si>
  <si>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</si>
  <si>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</si>
  <si>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</si>
  <si>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</si>
  <si>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</si>
  <si>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</si>
  <si>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</si>
  <si>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</si>
  <si>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</si>
  <si>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</si>
  <si>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</si>
  <si>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</si>
  <si>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</si>
  <si>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</si>
  <si>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</si>
  <si>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</si>
  <si>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</si>
  <si>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</si>
  <si>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</si>
  <si>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</si>
  <si>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</si>
  <si>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</si>
  <si>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</si>
  <si>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</si>
  <si>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</si>
  <si>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</si>
  <si>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</si>
  <si>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</si>
  <si>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</si>
  <si>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</si>
  <si>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</si>
  <si>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</si>
  <si>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</si>
  <si>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</si>
  <si>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</si>
  <si>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</si>
  <si>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</si>
  <si>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</si>
  <si>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</si>
  <si>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</si>
  <si>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</si>
  <si>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</si>
  <si>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</si>
  <si>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</si>
  <si>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</si>
  <si>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</si>
  <si>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</si>
  <si>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</si>
  <si>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</si>
  <si>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</si>
  <si>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</si>
  <si>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</si>
  <si>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</si>
  <si>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</si>
  <si>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</si>
  <si>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</si>
  <si>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</si>
  <si>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</si>
  <si>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</si>
  <si>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</si>
  <si>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</si>
  <si>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</si>
  <si>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</si>
  <si>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</si>
  <si>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</si>
  <si>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</si>
  <si>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</si>
  <si>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</si>
  <si>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</si>
  <si>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</si>
  <si>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</si>
  <si>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</si>
  <si>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</si>
  <si>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</si>
  <si>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</si>
  <si>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</si>
  <si>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</si>
  <si>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</si>
  <si>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</si>
  <si>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</si>
  <si>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</si>
  <si>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</si>
  <si>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</si>
  <si>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</si>
  <si>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</si>
  <si>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</si>
  <si>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</si>
  <si>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</si>
  <si>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</si>
  <si>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</si>
  <si>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</si>
  <si>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</si>
  <si>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</si>
  <si>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</si>
  <si>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</si>
  <si>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</si>
  <si>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</si>
  <si>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</si>
  <si>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</si>
  <si>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</si>
  <si>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</si>
  <si>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</si>
  <si>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</si>
  <si>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</si>
  <si>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</si>
  <si>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</si>
  <si>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</si>
  <si>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</si>
  <si>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</si>
  <si>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</si>
  <si>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</si>
  <si>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</si>
  <si>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</si>
  <si>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</si>
  <si>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</si>
  <si>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</si>
  <si>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</si>
  <si>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</si>
  <si>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</si>
  <si>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</si>
  <si>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</si>
  <si>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</si>
  <si>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</si>
  <si>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</si>
  <si>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</si>
  <si>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</si>
  <si>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</si>
  <si>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</si>
  <si>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</si>
  <si>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</si>
  <si>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</si>
  <si>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</si>
  <si>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</si>
  <si>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</si>
  <si>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</si>
  <si>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</si>
  <si>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</si>
  <si>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</si>
  <si>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</si>
  <si>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</si>
  <si>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</si>
  <si>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</si>
  <si>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</si>
  <si>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</si>
  <si>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</si>
  <si>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</si>
  <si>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</si>
  <si>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</si>
  <si>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</si>
  <si>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</si>
  <si>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</si>
  <si>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</si>
  <si>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</si>
  <si>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</si>
  <si>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</si>
  <si>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</si>
  <si>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</si>
  <si>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</si>
  <si>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</si>
  <si>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</si>
  <si>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</si>
  <si>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</si>
  <si>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</si>
  <si>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</si>
  <si>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</si>
  <si>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</si>
  <si>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</si>
  <si>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</si>
  <si>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</si>
  <si>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</si>
  <si>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</si>
  <si>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</si>
  <si>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</si>
  <si>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</si>
  <si>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</si>
  <si>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</si>
  <si>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</si>
  <si>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</si>
  <si>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</si>
  <si>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</si>
  <si>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</si>
  <si>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</si>
  <si>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</si>
  <si>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</si>
  <si>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</si>
  <si>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</si>
  <si>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</si>
  <si>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</si>
  <si>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</si>
  <si>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</si>
  <si>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</si>
  <si>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</si>
  <si>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</si>
  <si>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</si>
  <si>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</si>
  <si>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</si>
  <si>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</si>
  <si>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</si>
  <si>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</si>
  <si>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</si>
  <si>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</si>
  <si>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</si>
  <si>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</si>
  <si>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</si>
  <si>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</si>
  <si>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</si>
  <si>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</si>
  <si>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</si>
  <si>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</si>
  <si>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</si>
  <si>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</si>
  <si>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</si>
  <si>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</si>
  <si>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</si>
  <si>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</si>
  <si>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</si>
  <si>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</si>
  <si>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</si>
  <si>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</si>
  <si>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</si>
  <si>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</si>
  <si>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</si>
  <si>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</si>
  <si>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</si>
  <si>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</si>
  <si>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</si>
  <si>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</si>
  <si>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</si>
  <si>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</si>
  <si>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</si>
  <si>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</si>
  <si>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</si>
  <si>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</si>
  <si>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</si>
  <si>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</si>
  <si>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</si>
  <si>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</si>
  <si>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</si>
  <si>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</si>
  <si>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</si>
  <si>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</si>
  <si>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</si>
  <si>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</si>
  <si>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</si>
  <si>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</si>
  <si>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</si>
  <si>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</si>
  <si>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</si>
  <si>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</si>
  <si>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</si>
  <si>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</si>
  <si>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</si>
  <si>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</si>
  <si>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</si>
  <si>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</si>
  <si>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</si>
  <si>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</si>
  <si>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</si>
  <si>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</si>
  <si>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</si>
  <si>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</si>
  <si>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</si>
  <si>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</si>
  <si>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</si>
  <si>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</si>
  <si>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</si>
  <si>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</si>
  <si>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</si>
  <si>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</si>
  <si>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</si>
  <si>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</si>
  <si>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</si>
  <si>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</si>
  <si>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</si>
  <si>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</si>
  <si>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</si>
  <si>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</si>
  <si>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</si>
  <si>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</si>
  <si>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</si>
  <si>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</si>
  <si>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</si>
  <si>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</si>
  <si>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</si>
  <si>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</si>
  <si>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</si>
  <si>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</si>
  <si>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</si>
  <si>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</si>
  <si>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</si>
  <si>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</si>
  <si>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</si>
  <si>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</si>
  <si>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</si>
  <si>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</si>
  <si>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</si>
  <si>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</si>
  <si>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</si>
  <si>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</si>
  <si>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</si>
  <si>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</si>
  <si>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</si>
  <si>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</si>
  <si>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</si>
  <si>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</si>
  <si>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</si>
  <si>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</si>
  <si>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</si>
  <si>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</si>
  <si>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</si>
  <si>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</si>
  <si>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</si>
  <si>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</si>
  <si>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</si>
  <si>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</si>
  <si>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</si>
  <si>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</si>
  <si>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</si>
  <si>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</si>
  <si>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</si>
  <si>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</si>
  <si>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</si>
  <si>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</si>
  <si>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</si>
  <si>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</si>
  <si>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</si>
  <si>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</si>
  <si>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</si>
  <si>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</si>
  <si>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</si>
  <si>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</si>
  <si>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</si>
  <si>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</si>
  <si>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</si>
  <si>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</si>
  <si>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</si>
  <si>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</si>
  <si>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</si>
  <si>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</si>
  <si>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</si>
  <si>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</si>
  <si>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</si>
  <si>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</si>
  <si>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</si>
  <si>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</si>
  <si>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</si>
  <si>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</si>
  <si>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</si>
  <si>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</si>
  <si>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</si>
  <si>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</si>
  <si>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</si>
  <si>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</si>
  <si>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</si>
  <si>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</si>
  <si>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</si>
  <si>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</si>
  <si>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</si>
  <si>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</si>
  <si>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</si>
  <si>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</si>
  <si>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</si>
  <si>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</si>
  <si>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</si>
  <si>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</si>
  <si>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</si>
  <si>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</si>
  <si>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</si>
  <si>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</si>
  <si>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</si>
  <si>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</si>
  <si>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</si>
  <si>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</si>
  <si>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</si>
  <si>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</si>
  <si>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</si>
  <si>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</si>
  <si>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</si>
  <si>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</si>
  <si>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</si>
  <si>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</si>
  <si>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</si>
  <si>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</si>
  <si>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</si>
  <si>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</si>
  <si>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</si>
  <si>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</si>
  <si>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</si>
  <si>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</si>
  <si>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</si>
  <si>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</si>
  <si>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</si>
  <si>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</si>
  <si>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</si>
  <si>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</si>
  <si>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</si>
  <si>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</si>
  <si>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</si>
  <si>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</si>
  <si>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</si>
  <si>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</si>
  <si>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</si>
  <si>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</si>
  <si>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</si>
  <si>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</si>
  <si>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</si>
  <si>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</si>
  <si>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</si>
  <si>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</si>
  <si>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</si>
  <si>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</si>
  <si>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</si>
  <si>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</si>
  <si>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</si>
  <si>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</si>
  <si>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</si>
  <si>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</si>
  <si>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</si>
  <si>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</si>
  <si>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</si>
  <si>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</si>
  <si>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</si>
  <si>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</si>
  <si>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</si>
  <si>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</si>
  <si>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</si>
  <si>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</si>
  <si>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</si>
  <si>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</si>
  <si>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</si>
  <si>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</si>
  <si>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</si>
  <si>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</si>
  <si>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</si>
  <si>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</si>
  <si>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</si>
  <si>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</si>
  <si>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</si>
  <si>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</si>
  <si>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</si>
  <si>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</si>
  <si>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</si>
  <si>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</si>
  <si>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</si>
  <si>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</si>
  <si>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</si>
  <si>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</si>
  <si>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</si>
  <si>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</si>
  <si>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</si>
  <si>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</si>
  <si>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</si>
  <si>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</si>
  <si>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</si>
  <si>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</si>
  <si>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</si>
  <si>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</si>
  <si>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</si>
  <si>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</si>
  <si>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</si>
  <si>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</si>
  <si>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</si>
  <si>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</si>
  <si>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</si>
  <si>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</si>
  <si>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</si>
  <si>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</si>
  <si>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</si>
  <si>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</si>
  <si>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</si>
  <si>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</si>
  <si>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</si>
  <si>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</si>
  <si>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</si>
  <si>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</si>
  <si>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</si>
  <si>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</si>
  <si>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</si>
  <si>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</si>
  <si>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</si>
  <si>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</si>
  <si>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</si>
  <si>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</si>
  <si>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</si>
  <si>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</si>
  <si>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</si>
  <si>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</si>
  <si>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</si>
  <si>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</si>
  <si>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</si>
  <si>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</si>
  <si>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</si>
  <si>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</si>
  <si>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</si>
  <si>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</si>
  <si>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</si>
  <si>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</si>
  <si>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</si>
  <si>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</si>
  <si>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</si>
  <si>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</si>
  <si>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</si>
  <si>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</si>
  <si>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</si>
  <si>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</si>
  <si>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</si>
  <si>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</si>
  <si>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</si>
  <si>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</si>
  <si>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</si>
  <si>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</si>
  <si>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</si>
  <si>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</si>
  <si>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</si>
  <si>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</si>
  <si>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</si>
  <si>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</si>
  <si>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</si>
  <si>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</si>
  <si>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</si>
  <si>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</si>
  <si>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</si>
  <si>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</si>
  <si>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</si>
  <si>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</si>
  <si>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</si>
  <si>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</si>
  <si>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</si>
  <si>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</si>
  <si>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</si>
  <si>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</si>
  <si>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</si>
  <si>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</si>
  <si>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</si>
  <si>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</si>
  <si>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</si>
  <si>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</si>
  <si>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</si>
  <si>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</si>
  <si>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</si>
  <si>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</si>
  <si>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</si>
  <si>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</si>
  <si>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</si>
  <si>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</si>
  <si>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</si>
  <si>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</si>
  <si>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</si>
  <si>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</si>
  <si>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</si>
  <si>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</si>
  <si>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</si>
  <si>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</si>
  <si>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</si>
  <si>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</si>
  <si>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</si>
  <si>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</si>
  <si>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</si>
  <si>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</si>
  <si>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</si>
  <si>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</si>
  <si>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</si>
  <si>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</si>
  <si>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</si>
  <si>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</si>
  <si>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</si>
  <si>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</si>
  <si>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</si>
  <si>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</si>
  <si>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</si>
  <si>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</si>
  <si>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</si>
  <si>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</si>
  <si>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</si>
  <si>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</si>
  <si>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</si>
  <si>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</si>
  <si>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</si>
  <si>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</si>
  <si>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</si>
  <si>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</si>
  <si>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</si>
  <si>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</si>
  <si>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</si>
  <si>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</si>
  <si>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</si>
  <si>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</si>
  <si>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</si>
  <si>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</si>
  <si>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</si>
  <si>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</si>
  <si>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</si>
  <si>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</si>
  <si>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</si>
  <si>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</si>
  <si>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</si>
  <si>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</si>
  <si>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</si>
  <si>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</si>
  <si>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</si>
  <si>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</si>
  <si>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</si>
  <si>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</si>
  <si>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</si>
  <si>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</si>
  <si>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</si>
  <si>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</si>
  <si>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</si>
  <si>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</si>
  <si>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</si>
  <si>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</si>
  <si>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</si>
  <si>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</si>
  <si>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</si>
  <si>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</si>
  <si>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</si>
  <si>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</si>
  <si>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</si>
  <si>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</si>
  <si>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</si>
  <si>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</si>
  <si>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</si>
  <si>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</si>
  <si>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</si>
  <si>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</si>
  <si>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</si>
  <si>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</si>
  <si>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</si>
  <si>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</si>
  <si>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</si>
  <si>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</si>
  <si>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</si>
  <si>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</si>
  <si>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</si>
  <si>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</si>
  <si>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</si>
  <si>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</si>
  <si>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</si>
  <si>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</si>
  <si>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</si>
  <si>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</si>
  <si>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</si>
  <si>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</si>
  <si>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</si>
  <si>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</si>
  <si>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</si>
  <si>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</si>
  <si>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</si>
  <si>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</si>
  <si>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</si>
  <si>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</si>
  <si>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</si>
  <si>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</si>
  <si>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</si>
  <si>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</si>
  <si>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</si>
  <si>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</si>
  <si>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</si>
  <si>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</si>
  <si>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</si>
  <si>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</si>
  <si>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</si>
  <si>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</si>
  <si>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</si>
  <si>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</si>
  <si>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</si>
  <si>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</si>
  <si>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</si>
  <si>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</si>
  <si>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</si>
  <si>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</si>
  <si>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</si>
  <si>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</si>
  <si>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</si>
  <si>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</si>
  <si>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</si>
  <si>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</si>
  <si>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</si>
  <si>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</si>
  <si>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</si>
  <si>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</si>
  <si>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</si>
  <si>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</si>
  <si>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</si>
  <si>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</si>
  <si>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</si>
  <si>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</si>
  <si>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</si>
  <si>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</si>
  <si>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</si>
  <si>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</si>
  <si>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</si>
  <si>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</si>
  <si>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</si>
  <si>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</si>
  <si>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</si>
  <si>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</si>
  <si>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</si>
  <si>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</si>
  <si>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</si>
  <si>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</si>
  <si>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</si>
  <si>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</si>
  <si>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</si>
  <si>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</si>
  <si>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</si>
  <si>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</si>
  <si>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</si>
  <si>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</si>
  <si>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</si>
  <si>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</si>
  <si>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</si>
  <si>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</si>
  <si>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</si>
  <si>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</si>
  <si>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</si>
  <si>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</si>
  <si>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</si>
  <si>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</si>
  <si>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</si>
  <si>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</si>
  <si>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</si>
  <si>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</si>
  <si>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</si>
  <si>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</si>
  <si>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</si>
  <si>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</si>
  <si>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</si>
  <si>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</si>
  <si>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</si>
  <si>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</si>
  <si>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</si>
  <si>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</si>
  <si>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</si>
  <si>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</si>
  <si>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</si>
  <si>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</si>
  <si>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</si>
  <si>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</si>
  <si>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</si>
  <si>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</si>
  <si>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</si>
  <si>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</si>
  <si>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</si>
  <si>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</si>
  <si>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</si>
  <si>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</si>
  <si>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</si>
  <si>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</si>
  <si>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</si>
  <si>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</si>
  <si>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</si>
  <si>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</si>
  <si>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</si>
  <si>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</si>
  <si>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</si>
  <si>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</si>
  <si>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</si>
  <si>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</si>
  <si>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</si>
  <si>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</si>
  <si>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</si>
  <si>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</si>
  <si>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</si>
  <si>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</si>
  <si>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</si>
  <si>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</si>
  <si>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</si>
  <si>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</si>
  <si>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</si>
  <si>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</si>
  <si>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</si>
  <si>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</si>
  <si>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</si>
  <si>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</si>
  <si>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</si>
  <si>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</si>
  <si>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</si>
  <si>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</si>
  <si>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</si>
  <si>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</si>
  <si>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</si>
  <si>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</si>
  <si>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</si>
  <si>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</si>
  <si>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</si>
  <si>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</si>
  <si>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</si>
  <si>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</si>
  <si>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</si>
  <si>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</si>
  <si>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</si>
  <si>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</si>
  <si>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</si>
  <si>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</si>
  <si>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</si>
  <si>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</si>
  <si>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</si>
  <si>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</si>
  <si>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</si>
  <si>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</si>
  <si>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</si>
  <si>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</si>
  <si>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</si>
  <si>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</si>
  <si>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</si>
  <si>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</si>
  <si>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</si>
  <si>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</si>
  <si>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</si>
  <si>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</si>
  <si>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</si>
  <si>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</si>
  <si>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</si>
  <si>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</si>
  <si>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</si>
  <si>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</si>
  <si>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</si>
  <si>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</si>
  <si>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</si>
  <si>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</si>
  <si>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</si>
  <si>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</si>
  <si>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</si>
  <si>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</si>
  <si>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</si>
  <si>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</si>
  <si>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</si>
  <si>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</si>
  <si>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</si>
  <si>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</si>
  <si>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</si>
  <si>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</si>
  <si>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</si>
  <si>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</si>
  <si>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</si>
  <si>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</si>
  <si>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</si>
  <si>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</si>
  <si>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</si>
  <si>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</si>
  <si>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</si>
  <si>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</si>
  <si>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</si>
  <si>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</si>
  <si>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</si>
  <si>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</si>
  <si>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</si>
  <si>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</si>
  <si>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</si>
  <si>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</si>
  <si>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</si>
  <si>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</si>
  <si>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</si>
  <si>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</si>
  <si>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</si>
  <si>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</si>
  <si>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</si>
  <si>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</si>
  <si>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</si>
  <si>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</si>
  <si>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</si>
  <si>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</si>
  <si>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</si>
  <si>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</si>
  <si>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</si>
  <si>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</si>
  <si>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</si>
  <si>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</si>
  <si>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</si>
  <si>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</si>
  <si>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</si>
  <si>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</si>
  <si>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</si>
  <si>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</si>
  <si>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</si>
  <si>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</si>
  <si>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</si>
  <si>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</si>
  <si>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</si>
  <si>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</si>
  <si>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</si>
  <si>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</si>
  <si>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</si>
  <si>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</si>
  <si>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</si>
  <si>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</si>
  <si>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</si>
  <si>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</si>
  <si>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</si>
  <si>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</si>
  <si>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</si>
  <si>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</si>
  <si>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</si>
  <si>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</si>
  <si>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</si>
  <si>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</si>
  <si>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</si>
  <si>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</si>
  <si>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</si>
  <si>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</si>
  <si>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</si>
  <si>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</si>
  <si>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</si>
  <si>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</si>
  <si>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</si>
  <si>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</si>
  <si>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</si>
  <si>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</si>
  <si>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</si>
  <si>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</si>
  <si>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</si>
  <si>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</si>
  <si>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</si>
  <si>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</si>
  <si>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</si>
  <si>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</si>
  <si>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</si>
  <si>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</si>
  <si>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</si>
  <si>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</si>
  <si>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</si>
  <si>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</si>
  <si>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</si>
  <si>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</si>
  <si>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</si>
  <si>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</si>
  <si>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</si>
  <si>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</si>
  <si>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</si>
  <si>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</si>
  <si>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</si>
  <si>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</si>
  <si>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</si>
  <si>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</si>
  <si>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</si>
  <si>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</si>
  <si>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</si>
  <si>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</si>
  <si>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</si>
  <si>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</si>
  <si>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</si>
  <si>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</si>
  <si>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</si>
  <si>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</si>
  <si>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</si>
  <si>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</si>
  <si>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</si>
  <si>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</si>
  <si>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</si>
  <si>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</si>
  <si>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</si>
  <si>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</si>
  <si>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</si>
  <si>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</si>
  <si>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</si>
  <si>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</si>
  <si>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</si>
  <si>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</si>
  <si>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</si>
  <si>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</si>
  <si>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</si>
  <si>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</si>
  <si>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</si>
  <si>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</si>
  <si>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</si>
  <si>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</si>
  <si>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</si>
  <si>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</si>
  <si>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</si>
  <si>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</si>
  <si>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</si>
  <si>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</si>
  <si>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</si>
  <si>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</si>
  <si>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</si>
  <si>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</si>
  <si>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</si>
  <si>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</si>
  <si>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</si>
  <si>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</si>
  <si>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</si>
  <si>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</si>
  <si>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</si>
  <si>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</si>
  <si>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</si>
  <si>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</si>
  <si>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</si>
  <si>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</si>
  <si>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</si>
  <si>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</si>
  <si>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</si>
  <si>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</si>
  <si>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</si>
  <si>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</si>
  <si>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</si>
  <si>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</si>
  <si>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</si>
  <si>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</si>
  <si>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</si>
  <si>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</si>
  <si>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</si>
  <si>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</si>
  <si>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</si>
  <si>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</si>
  <si>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</si>
  <si>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</si>
  <si>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</si>
  <si>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</si>
  <si>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</si>
  <si>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</si>
  <si>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</si>
  <si>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</si>
  <si>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</si>
  <si>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</si>
  <si>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</si>
  <si>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</si>
  <si>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</si>
  <si>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</si>
  <si>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</si>
  <si>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</si>
  <si>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</si>
  <si>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</si>
  <si>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</si>
  <si>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</si>
  <si>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</si>
  <si>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</si>
  <si>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</si>
  <si>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</si>
  <si>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</si>
  <si>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</si>
  <si>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</si>
  <si>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</si>
  <si>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</si>
  <si>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</si>
  <si>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</si>
  <si>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</si>
  <si>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</si>
  <si>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</si>
  <si>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</si>
  <si>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</si>
  <si>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</si>
  <si>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</si>
  <si>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</si>
  <si>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</si>
  <si>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</si>
  <si>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</si>
  <si>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</si>
  <si>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</si>
  <si>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</si>
  <si>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</si>
  <si>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</si>
  <si>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</si>
  <si>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</si>
  <si>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</si>
  <si>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</si>
  <si>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</si>
  <si>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</si>
  <si>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</si>
  <si>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</si>
  <si>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</si>
  <si>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</si>
  <si>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</si>
  <si>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</si>
  <si>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</si>
  <si>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</si>
  <si>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</si>
  <si>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</si>
  <si>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</si>
  <si>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</si>
  <si>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</si>
  <si>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</si>
  <si>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</si>
  <si>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</si>
  <si>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</si>
  <si>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</si>
  <si>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</si>
  <si>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</si>
  <si>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</si>
  <si>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</si>
  <si>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</si>
  <si>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</si>
  <si>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</si>
  <si>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</si>
  <si>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</si>
  <si>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</si>
  <si>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</si>
  <si>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</si>
  <si>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</si>
  <si>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</si>
  <si>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</si>
  <si>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</si>
  <si>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</si>
  <si>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</si>
  <si>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</si>
  <si>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</si>
  <si>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</si>
  <si>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</si>
  <si>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</si>
  <si>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</si>
  <si>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</si>
  <si>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</si>
  <si>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</si>
  <si>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</si>
  <si>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</si>
  <si>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</si>
  <si>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</si>
  <si>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</si>
  <si>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</si>
  <si>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</si>
  <si>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</si>
  <si>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</si>
  <si>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</si>
  <si>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</si>
  <si>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</si>
  <si>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</si>
  <si>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</si>
  <si>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</si>
  <si>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</si>
  <si>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</si>
  <si>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</si>
  <si>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</si>
  <si>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</si>
  <si>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</si>
  <si>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</si>
  <si>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</si>
  <si>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</si>
  <si>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</si>
  <si>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</si>
  <si>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</si>
  <si>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</si>
  <si>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</si>
  <si>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</si>
  <si>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</si>
  <si>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</si>
  <si>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</si>
  <si>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</si>
  <si>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</si>
  <si>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</si>
  <si>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</si>
  <si>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</si>
  <si>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</si>
  <si>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</si>
  <si>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</si>
  <si>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</si>
  <si>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</si>
  <si>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</si>
  <si>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</si>
  <si>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</si>
  <si>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</si>
  <si>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</si>
  <si>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</si>
  <si>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</si>
  <si>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</si>
  <si>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</si>
  <si>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</si>
  <si>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</si>
  <si>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</si>
  <si>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</si>
  <si>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</si>
  <si>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</si>
  <si>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</si>
  <si>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</si>
  <si>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</si>
  <si>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</si>
  <si>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</si>
  <si>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</si>
  <si>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</si>
  <si>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</si>
  <si>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</si>
  <si>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</si>
  <si>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</si>
  <si>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</si>
  <si>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</si>
  <si>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</si>
  <si>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</si>
  <si>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</si>
  <si>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</si>
  <si>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</si>
  <si>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</si>
  <si>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</si>
  <si>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</si>
  <si>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</si>
  <si>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</si>
  <si>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</si>
  <si>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</si>
  <si>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</si>
  <si>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</si>
  <si>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</si>
  <si>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</si>
  <si>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</si>
  <si>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</si>
  <si>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</si>
  <si>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</si>
  <si>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</si>
  <si>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</si>
  <si>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</si>
  <si>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</si>
  <si>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</si>
  <si>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</si>
  <si>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</si>
  <si>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</si>
  <si>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</si>
  <si>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</si>
  <si>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</si>
  <si>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</si>
  <si>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</si>
  <si>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</si>
  <si>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</si>
  <si>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</si>
  <si>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</si>
  <si>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</si>
  <si>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</si>
  <si>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</si>
  <si>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</si>
  <si>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</si>
  <si>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</si>
  <si>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</si>
  <si>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</si>
  <si>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</si>
  <si>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</si>
  <si>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</si>
  <si>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</si>
  <si>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</si>
  <si>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</si>
  <si>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</si>
  <si>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</si>
  <si>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</si>
  <si>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</si>
  <si>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</si>
  <si>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</si>
  <si>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</si>
  <si>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</si>
  <si>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</si>
  <si>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</si>
  <si>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</si>
  <si>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</si>
  <si>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</si>
  <si>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</si>
  <si>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</si>
  <si>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</si>
  <si>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</si>
  <si>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</si>
  <si>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</si>
  <si>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</si>
  <si>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</si>
  <si>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</si>
  <si>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</si>
  <si>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</si>
  <si>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</si>
  <si>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</si>
  <si>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</si>
  <si>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</si>
  <si>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</si>
  <si>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</si>
  <si>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</si>
  <si>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</si>
  <si>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</si>
  <si>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</si>
  <si>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</si>
  <si>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</si>
  <si>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</si>
  <si>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</si>
  <si>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</si>
  <si>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</si>
  <si>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</si>
  <si>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</si>
  <si>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</si>
  <si>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</si>
  <si>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</si>
  <si>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</si>
  <si>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</si>
  <si>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</si>
  <si>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</si>
  <si>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</si>
  <si>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</si>
  <si>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</si>
  <si>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</si>
  <si>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</si>
  <si>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</si>
  <si>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</si>
  <si>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</si>
  <si>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</si>
  <si>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</si>
  <si>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</si>
  <si>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</si>
  <si>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</si>
  <si>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</si>
  <si>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</si>
  <si>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</si>
  <si>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</si>
  <si>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</si>
  <si>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</si>
  <si>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</si>
  <si>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</si>
  <si>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</si>
  <si>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</si>
  <si>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</si>
  <si>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</si>
  <si>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</si>
  <si>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</si>
  <si>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</si>
  <si>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</si>
  <si>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</si>
  <si>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</si>
  <si>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</si>
  <si>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</si>
  <si>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</si>
  <si>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</si>
  <si>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</si>
  <si>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</si>
  <si>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</si>
  <si>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</si>
  <si>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</si>
  <si>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</si>
  <si>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</si>
  <si>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</si>
  <si>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</si>
  <si>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</si>
  <si>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</si>
  <si>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</si>
  <si>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</si>
  <si>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</si>
  <si>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</si>
  <si>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</si>
  <si>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</si>
  <si>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</si>
  <si>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</si>
  <si>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</si>
  <si>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</si>
  <si>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</si>
  <si>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</si>
  <si>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</si>
  <si>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</si>
  <si>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</si>
  <si>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</si>
  <si>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</si>
  <si>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</si>
  <si>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</si>
  <si>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</si>
  <si>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</si>
  <si>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</si>
  <si>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</si>
  <si>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</si>
  <si>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</si>
  <si>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</si>
  <si>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</si>
  <si>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</si>
  <si>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</si>
  <si>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</si>
  <si>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</si>
  <si>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</si>
  <si>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</si>
  <si>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</si>
  <si>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</si>
  <si>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</si>
  <si>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</si>
  <si>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</si>
  <si>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</si>
  <si>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</si>
  <si>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</si>
  <si>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</si>
  <si>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</si>
  <si>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</si>
  <si>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</si>
  <si>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</si>
  <si>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</si>
  <si>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</si>
  <si>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</si>
  <si>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</si>
  <si>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</si>
  <si>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</si>
  <si>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</si>
  <si>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</si>
  <si>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</si>
  <si>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</si>
  <si>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</si>
  <si>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</si>
  <si>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</si>
  <si>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</si>
  <si>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</si>
  <si>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</si>
  <si>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</si>
  <si>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</si>
  <si>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</si>
  <si>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</si>
  <si>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</si>
  <si>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</si>
  <si>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</si>
  <si>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</si>
  <si>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</si>
  <si>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</si>
  <si>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</si>
  <si>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</si>
  <si>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</si>
  <si>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</si>
  <si>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</si>
  <si>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</si>
  <si>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</si>
  <si>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</si>
  <si>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</si>
  <si>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</si>
  <si>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</si>
  <si>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</si>
  <si>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</si>
  <si>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</si>
  <si>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</si>
  <si>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</si>
  <si>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</si>
  <si>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</si>
  <si>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</si>
  <si>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</si>
  <si>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</si>
  <si>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</si>
  <si>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</si>
  <si>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</si>
  <si>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</si>
  <si>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</si>
  <si>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</si>
  <si>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</si>
  <si>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</si>
  <si>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</si>
  <si>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</si>
  <si>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</si>
  <si>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</si>
  <si>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</si>
  <si>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</si>
  <si>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</si>
  <si>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</si>
  <si>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</si>
  <si>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</si>
  <si>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</si>
  <si>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</si>
  <si>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</si>
  <si>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</si>
  <si>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</si>
  <si>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</si>
  <si>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</si>
  <si>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</si>
  <si>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</si>
  <si>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</si>
  <si>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</si>
  <si>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</si>
  <si>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</si>
  <si>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</si>
  <si>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</si>
  <si>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</si>
  <si>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</si>
  <si>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</si>
  <si>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</si>
  <si>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</si>
  <si>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</si>
  <si>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</si>
  <si>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</si>
  <si>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</si>
  <si>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</si>
  <si>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</si>
  <si>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</si>
  <si>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</si>
  <si>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</si>
  <si>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</si>
  <si>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</si>
  <si>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</si>
  <si>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</si>
  <si>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</si>
  <si>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</si>
  <si>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</si>
  <si>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</si>
  <si>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</si>
  <si>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</si>
  <si>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</si>
  <si>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</si>
  <si>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</si>
  <si>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</si>
  <si>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</si>
  <si>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</si>
  <si>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</si>
  <si>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</si>
  <si>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</si>
  <si>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</si>
  <si>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</si>
  <si>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</si>
  <si>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</si>
  <si>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</si>
  <si>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</si>
  <si>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</si>
  <si>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</si>
  <si>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</si>
  <si>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</si>
  <si>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</si>
  <si>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</si>
  <si>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</si>
  <si>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</si>
  <si>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</si>
  <si>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</si>
  <si>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</si>
  <si>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</si>
  <si>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</si>
  <si>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</si>
  <si>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</si>
  <si>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</si>
  <si>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</si>
  <si>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</si>
  <si>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</si>
  <si>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</si>
  <si>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</si>
  <si>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</si>
  <si>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</si>
  <si>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</si>
  <si>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</si>
  <si>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</si>
  <si>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</si>
  <si>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</si>
  <si>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</si>
  <si>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</si>
  <si>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</si>
  <si>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</si>
  <si>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</si>
  <si>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</si>
  <si>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</si>
  <si>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</si>
  <si>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</si>
  <si>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</si>
  <si>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</si>
  <si>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</si>
  <si>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</si>
  <si>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</si>
  <si>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</si>
  <si>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</si>
  <si>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</si>
  <si>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</si>
  <si>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</si>
  <si>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</si>
  <si>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</si>
  <si>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</si>
  <si>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</si>
  <si>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</si>
  <si>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</si>
  <si>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</si>
  <si>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</si>
  <si>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</si>
  <si>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</si>
  <si>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</si>
  <si>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</si>
  <si>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</si>
  <si>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</si>
  <si>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</si>
  <si>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</si>
  <si>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</si>
  <si>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</si>
  <si>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</si>
  <si>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</si>
  <si>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</si>
  <si>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</si>
  <si>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</si>
  <si>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</si>
  <si>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</si>
  <si>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</si>
  <si>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</si>
  <si>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</si>
  <si>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</si>
  <si>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</si>
  <si>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</si>
  <si>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</si>
  <si>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</si>
  <si>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</si>
  <si>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</si>
  <si>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</si>
  <si>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</si>
  <si>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</si>
  <si>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</si>
  <si>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</si>
  <si>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</si>
  <si>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</si>
  <si>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</si>
  <si>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</si>
  <si>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</si>
  <si>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</si>
  <si>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</si>
  <si>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</si>
  <si>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</si>
  <si>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</si>
  <si>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</si>
  <si>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</si>
  <si>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</si>
  <si>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</si>
  <si>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</si>
  <si>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</si>
  <si>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</si>
  <si>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</si>
  <si>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</si>
  <si>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</si>
  <si>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</si>
  <si>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</si>
  <si>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</si>
  <si>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</si>
  <si>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</si>
  <si>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</si>
  <si>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</si>
  <si>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</si>
  <si>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</si>
  <si>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</si>
  <si>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</si>
  <si>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</si>
  <si>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</si>
  <si>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</si>
  <si>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</si>
  <si>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</si>
  <si>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</si>
  <si>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</si>
  <si>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</si>
  <si>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</si>
  <si>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</si>
  <si>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</si>
  <si>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</si>
  <si>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</si>
  <si>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</si>
  <si>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</si>
  <si>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</si>
  <si>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</si>
  <si>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</si>
  <si>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</si>
  <si>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</si>
  <si>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</si>
  <si>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</si>
  <si>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</si>
  <si>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</si>
  <si>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</si>
  <si>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</si>
  <si>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</si>
  <si>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</si>
  <si>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</si>
  <si>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</si>
  <si>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</si>
  <si>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</si>
  <si>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</si>
  <si>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</si>
  <si>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</si>
  <si>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</si>
  <si>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</si>
  <si>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</si>
  <si>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</si>
  <si>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</si>
  <si>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</si>
  <si>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</si>
  <si>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</si>
  <si>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</si>
  <si>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</si>
  <si>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</si>
  <si>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</si>
  <si>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</si>
  <si>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</si>
  <si>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</si>
  <si>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</si>
  <si>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</si>
  <si>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</si>
  <si>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</si>
  <si>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</si>
  <si>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</si>
  <si>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</si>
  <si>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</si>
  <si>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</si>
  <si>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</si>
  <si>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</si>
  <si>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</si>
  <si>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</si>
  <si>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</si>
  <si>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</si>
  <si>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</si>
  <si>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</si>
  <si>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</si>
  <si>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</si>
  <si>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</si>
  <si>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</si>
  <si>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</si>
  <si>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</si>
  <si>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</si>
  <si>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</si>
  <si>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</si>
  <si>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</si>
  <si>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</si>
  <si>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</si>
  <si>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</si>
  <si>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</si>
  <si>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</si>
  <si>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</si>
  <si>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</si>
  <si>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</si>
  <si>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</si>
  <si>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</si>
  <si>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</si>
  <si>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</si>
  <si>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</si>
  <si>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</si>
  <si>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</si>
  <si>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</si>
  <si>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</si>
  <si>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</si>
  <si>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</si>
  <si>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</si>
  <si>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</si>
  <si>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</si>
  <si>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</si>
  <si>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</si>
  <si>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</si>
  <si>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</si>
  <si>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</si>
  <si>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</si>
  <si>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</si>
  <si>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</si>
  <si>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</si>
  <si>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</si>
  <si>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</si>
  <si>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</si>
  <si>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</si>
  <si>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</si>
  <si>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</si>
  <si>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</si>
  <si>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</si>
  <si>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</si>
  <si>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</si>
  <si>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</si>
  <si>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</si>
  <si>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</si>
  <si>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</si>
  <si>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</si>
  <si>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</si>
  <si>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</si>
  <si>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</si>
  <si>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</si>
  <si>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</si>
  <si>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</si>
  <si>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</si>
  <si>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</si>
  <si>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</si>
  <si>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</si>
  <si>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</si>
  <si>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</si>
  <si>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</si>
  <si>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</si>
  <si>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</si>
  <si>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</si>
  <si>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</si>
  <si>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</si>
  <si>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</si>
  <si>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</si>
  <si>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</si>
  <si>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</si>
  <si>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</si>
  <si>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</si>
  <si>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</si>
  <si>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</si>
  <si>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</si>
  <si>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</si>
  <si>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</si>
  <si>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</si>
  <si>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</si>
  <si>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</si>
  <si>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</si>
  <si>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</si>
  <si>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</si>
  <si>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</si>
  <si>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</si>
  <si>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</si>
  <si>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</si>
  <si>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</si>
  <si>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</si>
  <si>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</si>
  <si>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</si>
  <si>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</si>
  <si>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</si>
  <si>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</si>
  <si>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</si>
  <si>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</si>
  <si>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</si>
  <si>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</si>
  <si>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</si>
  <si>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</si>
  <si>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</si>
  <si>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</si>
  <si>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</si>
  <si>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</si>
  <si>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</si>
  <si>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</si>
  <si>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</si>
  <si>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</si>
  <si>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</si>
  <si>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</si>
  <si>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</si>
  <si>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</si>
  <si>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</si>
  <si>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</si>
  <si>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</si>
  <si>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</si>
  <si>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</si>
  <si>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</si>
  <si>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</si>
  <si>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</si>
  <si>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</si>
  <si>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</si>
  <si>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</si>
  <si>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</si>
  <si>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</si>
  <si>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</si>
  <si>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</si>
  <si>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</si>
  <si>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</si>
  <si>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</si>
  <si>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</si>
  <si>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</si>
  <si>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</si>
  <si>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</si>
  <si>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</si>
  <si>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</si>
  <si>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</si>
  <si>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</si>
  <si>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</si>
  <si>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</si>
  <si>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</si>
  <si>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</si>
  <si>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</si>
  <si>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</si>
  <si>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</si>
  <si>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</si>
  <si>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</si>
  <si>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</si>
  <si>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</si>
  <si>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</si>
  <si>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</si>
  <si>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</si>
  <si>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</si>
  <si>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</si>
  <si>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</si>
  <si>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</si>
  <si>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</si>
  <si>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</si>
  <si>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</si>
  <si>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</si>
  <si>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</si>
  <si>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</si>
  <si>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</si>
  <si>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</si>
  <si>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</si>
  <si>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</si>
  <si>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</si>
  <si>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</si>
  <si>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</si>
  <si>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</si>
  <si>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</si>
  <si>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</si>
  <si>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</si>
  <si>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</si>
  <si>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</si>
  <si>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</si>
  <si>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</si>
  <si>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</si>
  <si>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</si>
  <si>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</si>
  <si>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</si>
  <si>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</si>
  <si>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</si>
  <si>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</si>
  <si>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</si>
  <si>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</si>
  <si>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</si>
  <si>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</si>
  <si>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</si>
  <si>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</si>
  <si>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</si>
  <si>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</si>
  <si>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</si>
  <si>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</si>
  <si>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</si>
  <si>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</si>
  <si>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</si>
  <si>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</si>
  <si>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</si>
  <si>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</si>
  <si>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</si>
  <si>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</si>
  <si>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</si>
  <si>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</si>
  <si>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</si>
  <si>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</si>
  <si>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</si>
  <si>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</si>
  <si>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</si>
  <si>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</si>
  <si>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</si>
  <si>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</si>
  <si>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</si>
  <si>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</si>
  <si>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</si>
  <si>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</si>
  <si>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</si>
  <si>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</si>
  <si>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</si>
  <si>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</si>
  <si>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</si>
  <si>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</si>
  <si>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</si>
  <si>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</si>
  <si>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</si>
  <si>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</si>
  <si>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</si>
  <si>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</si>
  <si>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</si>
  <si>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</si>
  <si>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</si>
  <si>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</si>
  <si>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</si>
  <si>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</si>
  <si>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</si>
  <si>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</si>
  <si>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</si>
  <si>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</si>
  <si>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</si>
  <si>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</si>
  <si>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</si>
  <si>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</si>
  <si>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</si>
  <si>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</si>
  <si>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</si>
  <si>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</si>
  <si>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</si>
  <si>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</si>
  <si>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</si>
  <si>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</si>
  <si>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</si>
  <si>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</si>
  <si>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</si>
  <si>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</si>
  <si>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</si>
  <si>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</si>
  <si>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</si>
  <si>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</si>
  <si>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</si>
  <si>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</si>
  <si>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</si>
  <si>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</si>
  <si>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</si>
  <si>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</si>
  <si>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</si>
  <si>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</si>
  <si>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</si>
  <si>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</si>
  <si>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</si>
  <si>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</si>
  <si>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</si>
  <si>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</si>
  <si>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</si>
  <si>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</si>
  <si>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</si>
  <si>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</si>
  <si>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</si>
  <si>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</si>
  <si>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</si>
  <si>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</si>
  <si>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</si>
  <si>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</si>
  <si>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</si>
  <si>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</si>
  <si>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</si>
  <si>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</si>
  <si>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</si>
  <si>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</si>
  <si>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</si>
  <si>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</si>
  <si>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</si>
  <si>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</si>
  <si>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</si>
  <si>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</si>
  <si>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</si>
  <si>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</si>
  <si>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</si>
  <si>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</si>
  <si>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</si>
  <si>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</si>
  <si>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</si>
  <si>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</si>
  <si>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</si>
  <si>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</si>
  <si>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</si>
  <si>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</si>
  <si>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</si>
  <si>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</si>
  <si>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</si>
  <si>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</si>
  <si>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</si>
  <si>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</si>
  <si>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</si>
  <si>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</si>
  <si>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</si>
  <si>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</si>
  <si>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</si>
  <si>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</si>
  <si>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</si>
  <si>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</si>
  <si>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</si>
  <si>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</si>
  <si>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</si>
  <si>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</si>
  <si>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</si>
  <si>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</si>
  <si>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</si>
  <si>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</si>
  <si>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</si>
  <si>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</si>
  <si>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</si>
  <si>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</si>
  <si>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</si>
  <si>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</si>
  <si>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</si>
  <si>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</si>
  <si>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</si>
  <si>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</si>
  <si>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</si>
  <si>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</si>
  <si>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</si>
  <si>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</si>
  <si>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</si>
  <si>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</si>
  <si>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</si>
  <si>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</si>
  <si>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</si>
  <si>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</si>
  <si>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</si>
  <si>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</si>
  <si>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</si>
  <si>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</si>
  <si>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</si>
  <si>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</si>
  <si>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</si>
  <si>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</si>
  <si>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</si>
  <si>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</si>
  <si>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</si>
  <si>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</si>
  <si>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</si>
  <si>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</si>
  <si>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</si>
  <si>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</si>
  <si>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</si>
  <si>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</si>
  <si>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</si>
  <si>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</si>
  <si>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</si>
  <si>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</si>
  <si>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</si>
  <si>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</si>
  <si>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</si>
  <si>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</si>
  <si>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</si>
  <si>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</si>
  <si>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</si>
  <si>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</si>
  <si>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</si>
  <si>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</si>
  <si>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</si>
  <si>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</si>
  <si>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</si>
  <si>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</si>
  <si>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</si>
  <si>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</si>
  <si>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</si>
  <si>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</si>
  <si>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</si>
  <si>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</si>
  <si>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</si>
  <si>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</si>
  <si>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</si>
  <si>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</si>
  <si>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</si>
  <si>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</si>
  <si>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</si>
  <si>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</si>
  <si>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</si>
  <si>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</si>
  <si>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</si>
  <si>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</si>
  <si>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</si>
  <si>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</si>
  <si>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</si>
  <si>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</si>
  <si>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</si>
  <si>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</si>
  <si>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</si>
  <si>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</si>
  <si>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</si>
  <si>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</si>
  <si>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</si>
  <si>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</si>
  <si>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</si>
  <si>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</si>
  <si>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</si>
  <si>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</si>
  <si>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</si>
  <si>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</si>
  <si>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</si>
  <si>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</si>
  <si>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</si>
  <si>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</si>
  <si>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</si>
  <si>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</si>
  <si>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</si>
  <si>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</si>
  <si>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</si>
  <si>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</si>
  <si>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</si>
  <si>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</si>
  <si>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</si>
  <si>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</si>
  <si>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</si>
  <si>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</si>
  <si>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</si>
  <si>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</si>
  <si>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</si>
  <si>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</si>
  <si>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</si>
  <si>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</si>
  <si>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</si>
  <si>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</si>
  <si>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</si>
  <si>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</si>
  <si>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</si>
  <si>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</si>
  <si>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</si>
  <si>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</si>
  <si>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</si>
  <si>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</si>
  <si>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</si>
  <si>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</si>
  <si>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</si>
  <si>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</si>
  <si>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</si>
  <si>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</si>
  <si>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</si>
  <si>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</si>
  <si>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</si>
  <si>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</si>
  <si>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</si>
  <si>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</si>
  <si>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</si>
  <si>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</si>
  <si>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</si>
  <si>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</si>
  <si>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</si>
  <si>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</si>
  <si>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</si>
  <si>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</si>
  <si>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</si>
  <si>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</si>
  <si>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</si>
  <si>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</si>
  <si>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</si>
  <si>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</si>
  <si>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</si>
  <si>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</si>
  <si>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</si>
  <si>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</si>
  <si>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</si>
  <si>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</si>
  <si>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</si>
  <si>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</si>
  <si>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</si>
  <si>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</si>
  <si>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</si>
  <si>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</si>
  <si>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</si>
  <si>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</si>
  <si>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</si>
  <si>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</si>
  <si>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</si>
  <si>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</si>
  <si>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</si>
  <si>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</si>
  <si>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</si>
  <si>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</si>
  <si>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</si>
  <si>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</si>
  <si>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</si>
  <si>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</si>
  <si>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</si>
  <si>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</si>
  <si>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</si>
  <si>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</si>
  <si>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</si>
  <si>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</si>
  <si>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</si>
  <si>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</si>
  <si>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</si>
  <si>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</si>
  <si>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</si>
  <si>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</si>
  <si>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</si>
  <si>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</si>
  <si>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</si>
  <si>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</si>
  <si>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</si>
  <si>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</si>
  <si>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</si>
  <si>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</si>
  <si>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</si>
  <si>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</si>
  <si>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</si>
  <si>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</si>
  <si>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</si>
  <si>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</si>
  <si>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</si>
  <si>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</si>
  <si>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</si>
  <si>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</si>
  <si>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</si>
  <si>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</si>
  <si>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</si>
  <si>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</si>
  <si>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</si>
  <si>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</si>
  <si>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</si>
  <si>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</si>
  <si>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</si>
  <si>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</si>
  <si>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</si>
  <si>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</si>
  <si>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</si>
  <si>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</si>
  <si>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</si>
  <si>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</si>
  <si>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</si>
  <si>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</si>
  <si>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</si>
  <si>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</si>
  <si>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</si>
  <si>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</si>
  <si>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</si>
  <si>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</si>
  <si>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</si>
  <si>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</si>
  <si>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</si>
  <si>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</si>
  <si>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</si>
  <si>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</si>
  <si>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</si>
  <si>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</si>
  <si>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</si>
  <si>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</si>
  <si>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</si>
  <si>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</si>
  <si>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</si>
  <si>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</si>
  <si>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</si>
  <si>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</si>
  <si>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</si>
  <si>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</si>
  <si>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</si>
  <si>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</si>
  <si>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</si>
  <si>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</si>
  <si>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</si>
  <si>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</si>
  <si>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</si>
  <si>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</si>
  <si>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</si>
  <si>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</si>
  <si>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</si>
  <si>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</si>
  <si>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</si>
  <si>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</si>
  <si>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</si>
  <si>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</si>
  <si>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</si>
  <si>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</si>
  <si>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</si>
  <si>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</si>
  <si>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</si>
  <si>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</si>
  <si>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</si>
  <si>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</si>
  <si>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</si>
  <si>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</si>
  <si>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</si>
  <si>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</si>
  <si>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</si>
  <si>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</si>
  <si>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</si>
  <si>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</si>
  <si>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</si>
  <si>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</si>
  <si>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</si>
  <si>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</si>
  <si>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</si>
  <si>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</si>
  <si>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</si>
  <si>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</si>
  <si>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</si>
  <si>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</si>
  <si>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</si>
  <si>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</si>
  <si>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</si>
  <si>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</si>
  <si>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</si>
  <si>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</si>
  <si>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</si>
  <si>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</si>
  <si>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</si>
  <si>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</si>
  <si>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</si>
  <si>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</si>
  <si>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</si>
  <si>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</si>
  <si>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</si>
  <si>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</si>
  <si>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</si>
  <si>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</si>
  <si>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</si>
  <si>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</si>
  <si>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</si>
  <si>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</si>
  <si>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</si>
  <si>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</si>
  <si>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</si>
  <si>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</si>
  <si>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</si>
  <si>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</si>
  <si>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</si>
  <si>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</si>
  <si>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</si>
  <si>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</si>
  <si>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</si>
  <si>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</si>
  <si>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</si>
  <si>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</si>
  <si>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</si>
  <si>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</si>
  <si>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</si>
  <si>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</si>
  <si>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</si>
  <si>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</si>
  <si>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</si>
  <si>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</si>
  <si>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</si>
  <si>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</si>
  <si>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</si>
  <si>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</si>
  <si>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</si>
  <si>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</si>
  <si>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</si>
  <si>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</si>
  <si>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</si>
  <si>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</si>
  <si>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</si>
  <si>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</si>
  <si>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</si>
  <si>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</si>
  <si>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</si>
  <si>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</si>
  <si>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</si>
  <si>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</si>
  <si>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</si>
  <si>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</si>
  <si>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</si>
  <si>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</si>
  <si>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</si>
  <si>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</si>
  <si>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</si>
  <si>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</si>
  <si>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</si>
  <si>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</si>
  <si>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</si>
  <si>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</si>
  <si>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</si>
  <si>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</si>
  <si>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</si>
  <si>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</si>
  <si>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</si>
  <si>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</si>
  <si>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</si>
  <si>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</si>
  <si>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</si>
  <si>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</si>
  <si>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</si>
  <si>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</si>
  <si>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</si>
  <si>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</si>
  <si>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</si>
  <si>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</si>
  <si>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</si>
  <si>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</si>
  <si>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</si>
  <si>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</si>
  <si>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</si>
  <si>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</si>
  <si>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</si>
  <si>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</si>
  <si>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</si>
  <si>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</si>
  <si>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</si>
  <si>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</si>
  <si>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</si>
  <si>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</si>
  <si>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</si>
  <si>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</si>
  <si>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</si>
  <si>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</si>
  <si>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</si>
  <si>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</si>
  <si>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</si>
  <si>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</si>
  <si>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</si>
  <si>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</si>
  <si>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</si>
  <si>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</si>
  <si>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</si>
  <si>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</si>
  <si>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</si>
  <si>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已注销</t>
  </si>
  <si>
    <t>房地产抵押价值</t>
  </si>
  <si>
    <t>北京市</t>
  </si>
  <si>
    <t>企业</t>
  </si>
  <si>
    <t>序号</t>
    <phoneticPr fontId="134" type="noConversion"/>
  </si>
  <si>
    <t>房号</t>
    <phoneticPr fontId="134" type="noConversion"/>
  </si>
  <si>
    <t>建筑面积</t>
    <phoneticPr fontId="134" type="noConversion"/>
  </si>
  <si>
    <t>办公</t>
    <phoneticPr fontId="3" type="noConversion"/>
  </si>
  <si>
    <t>是</t>
  </si>
  <si>
    <t>地上</t>
  </si>
  <si>
    <t>办公楼</t>
  </si>
  <si>
    <t>土地面积</t>
  </si>
  <si>
    <t>总建筑面积</t>
  </si>
  <si>
    <t>抵押物合计</t>
  </si>
  <si>
    <t>分摊土地面积</t>
  </si>
  <si>
    <t>主体</t>
  </si>
  <si>
    <t>地下（含人防）</t>
  </si>
  <si>
    <t>装修</t>
  </si>
  <si>
    <t>设备</t>
  </si>
  <si>
    <t>外部</t>
  </si>
  <si>
    <t>反算经营性面积建安</t>
  </si>
  <si>
    <t>成新度</t>
  </si>
  <si>
    <t>收益法</t>
  </si>
  <si>
    <r>
      <t>7</t>
    </r>
    <r>
      <rPr>
        <sz val="10"/>
        <color indexed="8"/>
        <rFont val="宋体"/>
        <family val="3"/>
        <charset val="134"/>
      </rPr>
      <t>月份报告数据</t>
    </r>
    <phoneticPr fontId="3" type="noConversion"/>
  </si>
  <si>
    <t>押一</t>
  </si>
  <si>
    <t>钢混</t>
  </si>
  <si>
    <t>非生产用房</t>
  </si>
  <si>
    <t>比较法-办公</t>
  </si>
  <si>
    <t>现房</t>
  </si>
  <si>
    <t>项目局部</t>
  </si>
  <si>
    <t>售价</t>
  </si>
  <si>
    <t>挂牌</t>
  </si>
  <si>
    <t>30-40（含）</t>
  </si>
  <si>
    <t>一般</t>
  </si>
  <si>
    <t>较好</t>
  </si>
  <si>
    <t>七通</t>
  </si>
  <si>
    <t>中区</t>
  </si>
  <si>
    <t>精装</t>
  </si>
  <si>
    <t>标准层高</t>
  </si>
  <si>
    <t>普装</t>
  </si>
  <si>
    <t>40-50（含）</t>
  </si>
  <si>
    <t>毛坯</t>
  </si>
  <si>
    <t>首科大厦</t>
  </si>
  <si>
    <t>国投财富广场</t>
  </si>
  <si>
    <r>
      <t>20-30</t>
    </r>
    <r>
      <rPr>
        <sz val="11"/>
        <color indexed="8"/>
        <rFont val="宋体"/>
        <family val="3"/>
        <charset val="134"/>
      </rPr>
      <t>（含）</t>
    </r>
    <phoneticPr fontId="31" type="noConversion"/>
  </si>
  <si>
    <t>办公</t>
    <phoneticPr fontId="31" type="noConversion"/>
  </si>
  <si>
    <t>正常</t>
  </si>
  <si>
    <t>20-30（含）</t>
  </si>
  <si>
    <t>10-20（含）</t>
  </si>
  <si>
    <t>0-10（含）</t>
  </si>
  <si>
    <t>高区</t>
  </si>
  <si>
    <t>低区</t>
  </si>
  <si>
    <t>写字楼</t>
  </si>
  <si>
    <t>写字楼</t>
    <phoneticPr fontId="31" type="noConversion"/>
  </si>
  <si>
    <t>六通</t>
  </si>
  <si>
    <t>五通</t>
  </si>
  <si>
    <t>四通</t>
  </si>
  <si>
    <t>三通</t>
  </si>
  <si>
    <t>简装</t>
  </si>
  <si>
    <t>总价</t>
  </si>
  <si>
    <t>收益比率</t>
  </si>
  <si>
    <t>项目情况</t>
    <phoneticPr fontId="31" type="noConversion"/>
  </si>
  <si>
    <t>较好</t>
    <phoneticPr fontId="31" type="noConversion"/>
  </si>
  <si>
    <t>建筑物价值</t>
  </si>
  <si>
    <t>单一产权</t>
    <phoneticPr fontId="31" type="noConversion"/>
  </si>
  <si>
    <t>散售</t>
    <phoneticPr fontId="31" type="noConversion"/>
  </si>
  <si>
    <t>交易类型</t>
    <phoneticPr fontId="31" type="noConversion"/>
  </si>
  <si>
    <t>二手</t>
    <phoneticPr fontId="31" type="noConversion"/>
  </si>
  <si>
    <t>一手</t>
    <phoneticPr fontId="31" type="noConversion"/>
  </si>
  <si>
    <t>单套模式</t>
  </si>
  <si>
    <t>典型办公</t>
  </si>
  <si>
    <t>典型办公</t>
    <phoneticPr fontId="7" type="noConversion"/>
  </si>
  <si>
    <t>其他办公</t>
    <phoneticPr fontId="7" type="noConversion"/>
  </si>
  <si>
    <t>收益法 (元)</t>
  </si>
  <si>
    <t>否</t>
  </si>
  <si>
    <t>加权平均</t>
  </si>
  <si>
    <r>
      <rPr>
        <sz val="11"/>
        <color theme="9" tint="-0.249977111117893"/>
        <rFont val="宋体"/>
        <family val="3"/>
        <charset val="134"/>
      </rPr>
      <t>首创中心</t>
    </r>
    <r>
      <rPr>
        <sz val="11"/>
        <color theme="9" tint="-0.249977111117893"/>
        <rFont val="Arial"/>
        <family val="2"/>
      </rPr>
      <t>·</t>
    </r>
    <r>
      <rPr>
        <sz val="11"/>
        <color theme="9" tint="-0.249977111117893"/>
        <rFont val="宋体"/>
        <family val="3"/>
        <charset val="134"/>
      </rPr>
      <t>天阅公馆</t>
    </r>
    <phoneticPr fontId="31" type="noConversion"/>
  </si>
  <si>
    <t>熙罗More</t>
    <phoneticPr fontId="31"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</si>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</sst>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269" fillId="0" borderId="0" xfId="10" applyFont="1" applyAlignment="1">
      <alignment horizontal="left" vertical="center"/>
    </xf>
    <xf numFmtId="0" fontId="270" fillId="12" borderId="0" xfId="0" applyFont="1" applyFill="1" applyProtection="1">
      <alignment vertical="center"/>
      <protection locked="0"/>
    </xf>
    <xf numFmtId="0" fontId="270"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0" fontId="270"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51" fillId="18" borderId="35" xfId="0" applyFont="1" applyFill="1" applyBorder="1" applyAlignment="1" applyProtection="1">
      <alignment horizontal="center" vertical="center" wrapText="1"/>
      <protection locked="0"/>
    </xf>
    <xf numFmtId="49" fontId="51" fillId="18" borderId="14" xfId="0" applyNumberFormat="1" applyFont="1" applyFill="1" applyBorder="1" applyAlignment="1" applyProtection="1">
      <alignment horizontal="center" vertical="center" wrapText="1"/>
      <protection locked="0"/>
    </xf>
    <xf numFmtId="49" fontId="51" fillId="18" borderId="35"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161925</xdr:colOff>
      <xdr:row>0</xdr:row>
      <xdr:rowOff>0</xdr:rowOff>
    </xdr:from>
    <xdr:to>
      <xdr:col>8</xdr:col>
      <xdr:colOff>618811</xdr:colOff>
      <xdr:row>11</xdr:row>
      <xdr:rowOff>9288</xdr:rowOff>
    </xdr:to>
    <xdr:pic>
      <xdr:nvPicPr>
        <xdr:cNvPr id="3" name="图片 2">
          <a:extLst>
            <a:ext uri="{FF2B5EF4-FFF2-40B4-BE49-F238E27FC236}">
              <a16:creationId xmlns:a16="http://schemas.microsoft.com/office/drawing/2014/main" xmlns="" id="{B308959B-0A9A-C237-86D1-7AB11B27E23A}"/>
            </a:ext>
          </a:extLst>
        </xdr:cNvPr>
        <xdr:cNvPicPr>
          <a:picLocks noChangeAspect="1"/>
        </xdr:cNvPicPr>
      </xdr:nvPicPr>
      <xdr:blipFill>
        <a:blip xmlns:r="http://schemas.openxmlformats.org/officeDocument/2006/relationships" r:embed="rId1"/>
        <a:stretch>
          <a:fillRect/>
        </a:stretch>
      </xdr:blipFill>
      <xdr:spPr>
        <a:xfrm>
          <a:off x="3590925" y="0"/>
          <a:ext cx="2514286" cy="1895238"/>
        </a:xfrm>
        <a:prstGeom prst="rect">
          <a:avLst/>
        </a:prstGeom>
      </xdr:spPr>
    </xdr:pic>
    <xdr:clientData/>
  </xdr:twoCellAnchor>
  <xdr:twoCellAnchor editAs="oneCell">
    <xdr:from>
      <xdr:col>5</xdr:col>
      <xdr:colOff>200025</xdr:colOff>
      <xdr:row>11</xdr:row>
      <xdr:rowOff>28575</xdr:rowOff>
    </xdr:from>
    <xdr:to>
      <xdr:col>7</xdr:col>
      <xdr:colOff>456996</xdr:colOff>
      <xdr:row>35</xdr:row>
      <xdr:rowOff>151865</xdr:rowOff>
    </xdr:to>
    <xdr:pic>
      <xdr:nvPicPr>
        <xdr:cNvPr id="4" name="图片 3">
          <a:extLst>
            <a:ext uri="{FF2B5EF4-FFF2-40B4-BE49-F238E27FC236}">
              <a16:creationId xmlns:a16="http://schemas.microsoft.com/office/drawing/2014/main" xmlns="" id="{03EAD510-3B74-FC8E-6C89-A5308E52376D}"/>
            </a:ext>
          </a:extLst>
        </xdr:cNvPr>
        <xdr:cNvPicPr>
          <a:picLocks noChangeAspect="1"/>
        </xdr:cNvPicPr>
      </xdr:nvPicPr>
      <xdr:blipFill>
        <a:blip xmlns:r="http://schemas.openxmlformats.org/officeDocument/2006/relationships" r:embed="rId2"/>
        <a:stretch>
          <a:fillRect/>
        </a:stretch>
      </xdr:blipFill>
      <xdr:spPr>
        <a:xfrm>
          <a:off x="3629025" y="1914525"/>
          <a:ext cx="1628571" cy="42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200025</xdr:colOff>
      <xdr:row>20</xdr:row>
      <xdr:rowOff>61493</xdr:rowOff>
    </xdr:to>
    <xdr:pic>
      <xdr:nvPicPr>
        <xdr:cNvPr id="2" name="图片 1">
          <a:extLst>
            <a:ext uri="{FF2B5EF4-FFF2-40B4-BE49-F238E27FC236}">
              <a16:creationId xmlns:a16="http://schemas.microsoft.com/office/drawing/2014/main" xmlns="" id="{64961007-8879-21D5-FB4B-4859CC715186}"/>
            </a:ext>
          </a:extLst>
        </xdr:cNvPr>
        <xdr:cNvPicPr>
          <a:picLocks noChangeAspect="1"/>
        </xdr:cNvPicPr>
      </xdr:nvPicPr>
      <xdr:blipFill>
        <a:blip xmlns:r="http://schemas.openxmlformats.org/officeDocument/2006/relationships" r:embed="rId1"/>
        <a:stretch>
          <a:fillRect/>
        </a:stretch>
      </xdr:blipFill>
      <xdr:spPr>
        <a:xfrm>
          <a:off x="0" y="0"/>
          <a:ext cx="7058025" cy="3490493"/>
        </a:xfrm>
        <a:prstGeom prst="rect">
          <a:avLst/>
        </a:prstGeom>
      </xdr:spPr>
    </xdr:pic>
    <xdr:clientData/>
  </xdr:twoCellAnchor>
  <xdr:twoCellAnchor editAs="oneCell">
    <xdr:from>
      <xdr:col>10</xdr:col>
      <xdr:colOff>238125</xdr:colOff>
      <xdr:row>0</xdr:row>
      <xdr:rowOff>104775</xdr:rowOff>
    </xdr:from>
    <xdr:to>
      <xdr:col>17</xdr:col>
      <xdr:colOff>456573</xdr:colOff>
      <xdr:row>18</xdr:row>
      <xdr:rowOff>132961</xdr:rowOff>
    </xdr:to>
    <xdr:pic>
      <xdr:nvPicPr>
        <xdr:cNvPr id="3" name="图片 2">
          <a:extLst>
            <a:ext uri="{FF2B5EF4-FFF2-40B4-BE49-F238E27FC236}">
              <a16:creationId xmlns:a16="http://schemas.microsoft.com/office/drawing/2014/main" xmlns="" id="{FC7B308B-F1E8-FF3A-7AFF-E56B58B92510}"/>
            </a:ext>
          </a:extLst>
        </xdr:cNvPr>
        <xdr:cNvPicPr>
          <a:picLocks noChangeAspect="1"/>
        </xdr:cNvPicPr>
      </xdr:nvPicPr>
      <xdr:blipFill>
        <a:blip xmlns:r="http://schemas.openxmlformats.org/officeDocument/2006/relationships" r:embed="rId2"/>
        <a:stretch>
          <a:fillRect/>
        </a:stretch>
      </xdr:blipFill>
      <xdr:spPr>
        <a:xfrm>
          <a:off x="7096125" y="104775"/>
          <a:ext cx="5019048" cy="3114286"/>
        </a:xfrm>
        <a:prstGeom prst="rect">
          <a:avLst/>
        </a:prstGeom>
      </xdr:spPr>
    </xdr:pic>
    <xdr:clientData/>
  </xdr:twoCellAnchor>
  <xdr:twoCellAnchor editAs="oneCell">
    <xdr:from>
      <xdr:col>0</xdr:col>
      <xdr:colOff>1</xdr:colOff>
      <xdr:row>21</xdr:row>
      <xdr:rowOff>0</xdr:rowOff>
    </xdr:from>
    <xdr:to>
      <xdr:col>10</xdr:col>
      <xdr:colOff>208151</xdr:colOff>
      <xdr:row>41</xdr:row>
      <xdr:rowOff>95250</xdr:rowOff>
    </xdr:to>
    <xdr:pic>
      <xdr:nvPicPr>
        <xdr:cNvPr id="4" name="图片 3">
          <a:extLst>
            <a:ext uri="{FF2B5EF4-FFF2-40B4-BE49-F238E27FC236}">
              <a16:creationId xmlns:a16="http://schemas.microsoft.com/office/drawing/2014/main" xmlns="" id="{F59BBED0-DDA1-BB6D-A387-5A0A7E466873}"/>
            </a:ext>
          </a:extLst>
        </xdr:cNvPr>
        <xdr:cNvPicPr>
          <a:picLocks noChangeAspect="1"/>
        </xdr:cNvPicPr>
      </xdr:nvPicPr>
      <xdr:blipFill>
        <a:blip xmlns:r="http://schemas.openxmlformats.org/officeDocument/2006/relationships" r:embed="rId3"/>
        <a:stretch>
          <a:fillRect/>
        </a:stretch>
      </xdr:blipFill>
      <xdr:spPr>
        <a:xfrm>
          <a:off x="1" y="3600450"/>
          <a:ext cx="7066150" cy="3524250"/>
        </a:xfrm>
        <a:prstGeom prst="rect">
          <a:avLst/>
        </a:prstGeom>
      </xdr:spPr>
    </xdr:pic>
    <xdr:clientData/>
  </xdr:twoCellAnchor>
  <xdr:twoCellAnchor editAs="oneCell">
    <xdr:from>
      <xdr:col>10</xdr:col>
      <xdr:colOff>342900</xdr:colOff>
      <xdr:row>21</xdr:row>
      <xdr:rowOff>57150</xdr:rowOff>
    </xdr:from>
    <xdr:to>
      <xdr:col>18</xdr:col>
      <xdr:colOff>561262</xdr:colOff>
      <xdr:row>40</xdr:row>
      <xdr:rowOff>75790</xdr:rowOff>
    </xdr:to>
    <xdr:pic>
      <xdr:nvPicPr>
        <xdr:cNvPr id="5" name="图片 4">
          <a:extLst>
            <a:ext uri="{FF2B5EF4-FFF2-40B4-BE49-F238E27FC236}">
              <a16:creationId xmlns:a16="http://schemas.microsoft.com/office/drawing/2014/main" xmlns="" id="{0947A57E-7639-59F7-1751-1E7E2C5B88CD}"/>
            </a:ext>
          </a:extLst>
        </xdr:cNvPr>
        <xdr:cNvPicPr>
          <a:picLocks noChangeAspect="1"/>
        </xdr:cNvPicPr>
      </xdr:nvPicPr>
      <xdr:blipFill>
        <a:blip xmlns:r="http://schemas.openxmlformats.org/officeDocument/2006/relationships" r:embed="rId4"/>
        <a:stretch>
          <a:fillRect/>
        </a:stretch>
      </xdr:blipFill>
      <xdr:spPr>
        <a:xfrm>
          <a:off x="7200900" y="3657600"/>
          <a:ext cx="5704762" cy="3276190"/>
        </a:xfrm>
        <a:prstGeom prst="rect">
          <a:avLst/>
        </a:prstGeom>
      </xdr:spPr>
    </xdr:pic>
    <xdr:clientData/>
  </xdr:twoCellAnchor>
  <xdr:twoCellAnchor editAs="oneCell">
    <xdr:from>
      <xdr:col>0</xdr:col>
      <xdr:colOff>666751</xdr:colOff>
      <xdr:row>85</xdr:row>
      <xdr:rowOff>89064</xdr:rowOff>
    </xdr:from>
    <xdr:to>
      <xdr:col>11</xdr:col>
      <xdr:colOff>90302</xdr:colOff>
      <xdr:row>114</xdr:row>
      <xdr:rowOff>150406</xdr:rowOff>
    </xdr:to>
    <xdr:pic>
      <xdr:nvPicPr>
        <xdr:cNvPr id="8" name="图片 7">
          <a:extLst>
            <a:ext uri="{FF2B5EF4-FFF2-40B4-BE49-F238E27FC236}">
              <a16:creationId xmlns:a16="http://schemas.microsoft.com/office/drawing/2014/main" xmlns="" id="{82F1E7C9-FAC9-7377-DC72-E7EC968ED86F}"/>
            </a:ext>
          </a:extLst>
        </xdr:cNvPr>
        <xdr:cNvPicPr>
          <a:picLocks noChangeAspect="1"/>
        </xdr:cNvPicPr>
      </xdr:nvPicPr>
      <xdr:blipFill>
        <a:blip xmlns:r="http://schemas.openxmlformats.org/officeDocument/2006/relationships" r:embed="rId5"/>
        <a:stretch>
          <a:fillRect/>
        </a:stretch>
      </xdr:blipFill>
      <xdr:spPr>
        <a:xfrm>
          <a:off x="666751" y="15124957"/>
          <a:ext cx="6907480" cy="5191235"/>
        </a:xfrm>
        <a:prstGeom prst="rect">
          <a:avLst/>
        </a:prstGeom>
      </xdr:spPr>
    </xdr:pic>
    <xdr:clientData/>
  </xdr:twoCellAnchor>
  <xdr:twoCellAnchor editAs="oneCell">
    <xdr:from>
      <xdr:col>0</xdr:col>
      <xdr:colOff>0</xdr:colOff>
      <xdr:row>72</xdr:row>
      <xdr:rowOff>163287</xdr:rowOff>
    </xdr:from>
    <xdr:to>
      <xdr:col>15</xdr:col>
      <xdr:colOff>470833</xdr:colOff>
      <xdr:row>78</xdr:row>
      <xdr:rowOff>168597</xdr:rowOff>
    </xdr:to>
    <xdr:pic>
      <xdr:nvPicPr>
        <xdr:cNvPr id="11" name="图片 10">
          <a:extLst>
            <a:ext uri="{FF2B5EF4-FFF2-40B4-BE49-F238E27FC236}">
              <a16:creationId xmlns:a16="http://schemas.microsoft.com/office/drawing/2014/main" xmlns="" id="{ABD70F66-63FD-31B0-CD11-D25BA6CAF98C}"/>
            </a:ext>
          </a:extLst>
        </xdr:cNvPr>
        <xdr:cNvPicPr>
          <a:picLocks noChangeAspect="1"/>
        </xdr:cNvPicPr>
      </xdr:nvPicPr>
      <xdr:blipFill>
        <a:blip xmlns:r="http://schemas.openxmlformats.org/officeDocument/2006/relationships" r:embed="rId6"/>
        <a:stretch>
          <a:fillRect/>
        </a:stretch>
      </xdr:blipFill>
      <xdr:spPr>
        <a:xfrm>
          <a:off x="0" y="12899573"/>
          <a:ext cx="10676190" cy="1066667"/>
        </a:xfrm>
        <a:prstGeom prst="rect">
          <a:avLst/>
        </a:prstGeom>
      </xdr:spPr>
    </xdr:pic>
    <xdr:clientData/>
  </xdr:twoCellAnchor>
  <xdr:twoCellAnchor editAs="oneCell">
    <xdr:from>
      <xdr:col>0</xdr:col>
      <xdr:colOff>0</xdr:colOff>
      <xdr:row>42</xdr:row>
      <xdr:rowOff>0</xdr:rowOff>
    </xdr:from>
    <xdr:to>
      <xdr:col>15</xdr:col>
      <xdr:colOff>432738</xdr:colOff>
      <xdr:row>73</xdr:row>
      <xdr:rowOff>30607</xdr:rowOff>
    </xdr:to>
    <xdr:pic>
      <xdr:nvPicPr>
        <xdr:cNvPr id="12" name="图片 11">
          <a:extLst>
            <a:ext uri="{FF2B5EF4-FFF2-40B4-BE49-F238E27FC236}">
              <a16:creationId xmlns:a16="http://schemas.microsoft.com/office/drawing/2014/main" xmlns="" id="{713890DF-5C86-2E10-B924-26DE266EEDFB}"/>
            </a:ext>
          </a:extLst>
        </xdr:cNvPr>
        <xdr:cNvPicPr>
          <a:picLocks noChangeAspect="1"/>
        </xdr:cNvPicPr>
      </xdr:nvPicPr>
      <xdr:blipFill>
        <a:blip xmlns:r="http://schemas.openxmlformats.org/officeDocument/2006/relationships" r:embed="rId7"/>
        <a:stretch>
          <a:fillRect/>
        </a:stretch>
      </xdr:blipFill>
      <xdr:spPr>
        <a:xfrm>
          <a:off x="0" y="7429500"/>
          <a:ext cx="10638095" cy="5514286"/>
        </a:xfrm>
        <a:prstGeom prst="rect">
          <a:avLst/>
        </a:prstGeom>
      </xdr:spPr>
    </xdr:pic>
    <xdr:clientData/>
  </xdr:twoCellAnchor>
  <xdr:twoCellAnchor editAs="oneCell">
    <xdr:from>
      <xdr:col>15</xdr:col>
      <xdr:colOff>666751</xdr:colOff>
      <xdr:row>42</xdr:row>
      <xdr:rowOff>54428</xdr:rowOff>
    </xdr:from>
    <xdr:to>
      <xdr:col>29</xdr:col>
      <xdr:colOff>275084</xdr:colOff>
      <xdr:row>75</xdr:row>
      <xdr:rowOff>140773</xdr:rowOff>
    </xdr:to>
    <xdr:pic>
      <xdr:nvPicPr>
        <xdr:cNvPr id="6" name="图片 5">
          <a:extLst>
            <a:ext uri="{FF2B5EF4-FFF2-40B4-BE49-F238E27FC236}">
              <a16:creationId xmlns:a16="http://schemas.microsoft.com/office/drawing/2014/main" xmlns="" id="{67AFE614-E8DD-D1B2-DF6A-2BA5B739BACC}"/>
            </a:ext>
          </a:extLst>
        </xdr:cNvPr>
        <xdr:cNvPicPr>
          <a:picLocks noChangeAspect="1"/>
        </xdr:cNvPicPr>
      </xdr:nvPicPr>
      <xdr:blipFill>
        <a:blip xmlns:r="http://schemas.openxmlformats.org/officeDocument/2006/relationships" r:embed="rId8"/>
        <a:stretch>
          <a:fillRect/>
        </a:stretch>
      </xdr:blipFill>
      <xdr:spPr>
        <a:xfrm>
          <a:off x="10872108" y="7483928"/>
          <a:ext cx="9133333" cy="59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估价对象为北京市房地产，为所有。根据《国有土地使用证》[]，估价对象（分摊）出让国有建设用地使用权面积为166.46平方米，建筑面积为1320.67平方米。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估价对象为北京市房地产,属开发建设的，该项目尚在开发建设中。根据《国有土地使用证》[]，估价对象（分摊）出让国有建设用地使用权面积为166.46平方米，规划建筑面积为1320.67平方米。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2024年10月12日（评估专业人员实地查勘之日）</v>
      </c>
    </row>
    <row r="13" spans="1:2">
      <c r="A13" s="1119" t="s">
        <v>529</v>
      </c>
      <c r="B13" s="1120" t="str">
        <f>'预评函-1'!A18</f>
        <v>本次估价的“房地产价值”是指在正常市场情况下，在价值时点2024年10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9" t="s">
        <v>531</v>
      </c>
      <c r="B15" s="1120"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426</v>
      </c>
    </row>
    <row r="21" spans="1:2">
      <c r="A21" s="1119" t="s">
        <v>537</v>
      </c>
      <c r="B21" s="1120">
        <f ca="1">'预评函-2'!D7</f>
        <v>3226</v>
      </c>
    </row>
    <row r="22" spans="1:2">
      <c r="A22" s="1119" t="s">
        <v>538</v>
      </c>
      <c r="B22" s="1120" t="str">
        <f ca="1">'预评函-2'!D6</f>
        <v>肆佰贰拾陆万元整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v>
      </c>
    </row>
    <row r="30" spans="1:2">
      <c r="A30" s="1119" t="s">
        <v>594</v>
      </c>
      <c r="B30" s="1120" t="str">
        <f>'预评函-2'!D13</f>
        <v>——</v>
      </c>
    </row>
    <row r="31" spans="1:2">
      <c r="A31" s="1119" t="s">
        <v>576</v>
      </c>
      <c r="B31" s="1120" t="e">
        <f ca="1">'预评函-2'!D15</f>
        <v>#VALUE!</v>
      </c>
    </row>
    <row r="32" spans="1:2">
      <c r="A32" s="1119" t="s">
        <v>543</v>
      </c>
      <c r="B32" s="1120" t="e">
        <f>'预评函-2'!D14</f>
        <v>#VALUE!</v>
      </c>
    </row>
    <row r="33" spans="1:2">
      <c r="A33" s="1119" t="s">
        <v>578</v>
      </c>
      <c r="B33" s="1120" t="str">
        <f>'预评函-2'!B16</f>
        <v>3.抵押担保权已注销时的房地产抵押价值</v>
      </c>
    </row>
    <row r="34" spans="1:2">
      <c r="A34" s="1119" t="s">
        <v>596</v>
      </c>
      <c r="B34" s="1120">
        <f ca="1">'预评函-2'!D16</f>
        <v>426</v>
      </c>
    </row>
    <row r="35" spans="1:2">
      <c r="A35" s="1119" t="s">
        <v>577</v>
      </c>
      <c r="B35" s="1120">
        <f ca="1">'预评函-2'!D18</f>
        <v>3226</v>
      </c>
    </row>
    <row r="36" spans="1:2">
      <c r="A36" s="1119" t="s">
        <v>544</v>
      </c>
      <c r="B36" s="1120" t="str">
        <f ca="1">'预评函-2'!D17</f>
        <v>肆佰贰拾陆万元整</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1320.6699999999998</v>
      </c>
    </row>
    <row r="44" spans="1:2">
      <c r="A44" s="1119" t="s">
        <v>575</v>
      </c>
      <c r="B44" s="1120" t="str">
        <f>'预评函-3'!C2</f>
        <v>(分摊)土地面积</v>
      </c>
    </row>
    <row r="45" spans="1:2">
      <c r="A45" s="1119" t="s">
        <v>547</v>
      </c>
      <c r="B45" s="1120">
        <f>'预评函-3'!C4</f>
        <v>166.46</v>
      </c>
    </row>
    <row r="46" spans="1:2">
      <c r="A46" s="1119" t="s">
        <v>573</v>
      </c>
      <c r="B46" s="1120" t="str">
        <f>'预评函-3'!D2</f>
        <v>出让国有建设用地使用权价值</v>
      </c>
    </row>
    <row r="47" spans="1:2">
      <c r="A47" s="1119" t="s">
        <v>548</v>
      </c>
      <c r="B47" s="1120">
        <f ca="1">'预评函-3'!D4</f>
        <v>326</v>
      </c>
    </row>
    <row r="48" spans="1:2">
      <c r="A48" s="1119" t="s">
        <v>549</v>
      </c>
      <c r="B48" s="1120">
        <f ca="1">'预评函-3'!E4</f>
        <v>2469</v>
      </c>
    </row>
    <row r="49" spans="1:2">
      <c r="A49" s="1119" t="s">
        <v>550</v>
      </c>
      <c r="B49" s="1120" t="str">
        <f ca="1">'预评函-3'!D5</f>
        <v>叁佰贰拾陆万元整</v>
      </c>
    </row>
    <row r="50" spans="1:2">
      <c r="A50" s="1119" t="s">
        <v>574</v>
      </c>
      <c r="B50" s="1120" t="str">
        <f>'预评函-3'!F2</f>
        <v>建筑物价值</v>
      </c>
    </row>
    <row r="51" spans="1:2">
      <c r="A51" s="1119" t="s">
        <v>551</v>
      </c>
      <c r="B51" s="1120">
        <f ca="1">'预评函-3'!F4</f>
        <v>100</v>
      </c>
    </row>
    <row r="52" spans="1:2">
      <c r="A52" s="1119" t="s">
        <v>552</v>
      </c>
      <c r="B52" s="1120">
        <f ca="1">'预评函-3'!G4</f>
        <v>757</v>
      </c>
    </row>
    <row r="53" spans="1:2">
      <c r="A53" s="1119" t="s">
        <v>580</v>
      </c>
      <c r="B53" s="1120" t="str">
        <f ca="1">'预评函-3'!F5</f>
        <v>壹佰万元整</v>
      </c>
    </row>
    <row r="54" spans="1:2">
      <c r="A54" s="1119" t="s">
        <v>598</v>
      </c>
      <c r="B54" s="1120" t="str">
        <f>'预评函-3'!A8</f>
        <v/>
      </c>
    </row>
    <row r="55" spans="1:2">
      <c r="A55" s="1119" t="s">
        <v>581</v>
      </c>
      <c r="B55" s="1120" t="str">
        <f>'预评函-3'!A10</f>
        <v>抵押担保权已注销时的房地产抵押价值</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8" sqref="F18"/>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4" t="s">
        <v>2580</v>
      </c>
      <c r="J2" s="3204"/>
      <c r="K2" s="3204"/>
      <c r="L2" s="3204"/>
      <c r="M2" s="3204"/>
      <c r="N2" s="3204"/>
      <c r="O2" s="3204"/>
      <c r="P2" s="3204"/>
      <c r="Q2" s="3204"/>
      <c r="R2" s="3204"/>
    </row>
    <row r="3" spans="1:18">
      <c r="A3" s="2763" t="s">
        <v>2501</v>
      </c>
      <c r="B3" s="2764">
        <f>项目基本情况!D3</f>
        <v>45577</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2.1800000000000002</v>
      </c>
      <c r="D5" s="2768">
        <f>IF(ISERROR(ROUND(POWER(1+E5,A5-C5)*(POWER(1+E5,C5)-1)/(POWER(1+E5,A5)-1),3)),0,ROUND(POWER(1+E5,A5-C5)*(POWER(1+E5,C5)-1)/(POWER(1+E5,A5)-1),4))</f>
        <v>0.10349999999999999</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12.19</v>
      </c>
      <c r="D6" s="2768">
        <f>IF(ISERROR(ROUND(POWER(1+E6,A6-C6)*(POWER(1+E6,C6)-1)/(POWER(1+E6,A6)-1),3)),0,ROUND(POWER(1+E6,A6-C6)*(POWER(1+E6,C6)-1)/(POWER(1+E6,A6)-1),4))</f>
        <v>0.44230000000000003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32.200000000000003</v>
      </c>
      <c r="D7" s="2768">
        <f>IF(ISERROR(ROUND(POWER(1+E7,A7-C7)*(POWER(1+E7,C7)-1)/(POWER(1+E7,A7)-1),3)),0,ROUND(POWER(1+E7,A7-C7)*(POWER(1+E7,C7)-1)/(POWER(1+E7,A7)-1),4))</f>
        <v>0.76639999999999997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3">
      <c r="A17" s="2763" t="s">
        <v>2517</v>
      </c>
      <c r="B17" s="2771">
        <v>4810</v>
      </c>
      <c r="C17" s="2765"/>
      <c r="D17" s="2761"/>
      <c r="E17" s="2761"/>
      <c r="F17" s="2762"/>
    </row>
    <row r="18" spans="1:13" ht="14.25" thickBot="1">
      <c r="A18" s="2773" t="s">
        <v>2516</v>
      </c>
      <c r="B18" s="2774">
        <f>ROUND(B17*F11/F12,2)</f>
        <v>5541.87</v>
      </c>
      <c r="C18" s="2774">
        <f>ROUND(F11/F12,4)</f>
        <v>1.1521999999999999</v>
      </c>
      <c r="D18" s="2775"/>
      <c r="E18" s="2775"/>
      <c r="F18" s="2776"/>
    </row>
    <row r="19" spans="1:13" ht="14.25" thickBot="1"/>
    <row r="20" spans="1:13" s="2809" customFormat="1" ht="14.25" thickTop="1">
      <c r="A20" s="2806" t="s">
        <v>2519</v>
      </c>
      <c r="B20" s="2807"/>
      <c r="C20" s="2807"/>
      <c r="D20" s="2807"/>
      <c r="E20" s="2807"/>
      <c r="F20" s="2807"/>
      <c r="G20" s="2808"/>
      <c r="I20" s="2810" t="s">
        <v>2564</v>
      </c>
      <c r="J20" s="2810" t="s">
        <v>2569</v>
      </c>
      <c r="K20" s="2810"/>
      <c r="L20" s="2810"/>
      <c r="M20" s="2810"/>
    </row>
    <row r="21" spans="1:13">
      <c r="A21" s="2777"/>
      <c r="B21" s="2778" t="s">
        <v>2520</v>
      </c>
      <c r="C21" s="2778" t="s">
        <v>2521</v>
      </c>
      <c r="D21" s="2778" t="s">
        <v>2522</v>
      </c>
      <c r="E21" s="2778" t="s">
        <v>2523</v>
      </c>
      <c r="F21" s="2778" t="s">
        <v>2524</v>
      </c>
      <c r="G21" s="2779" t="s">
        <v>2525</v>
      </c>
      <c r="I21" s="2800">
        <v>5</v>
      </c>
      <c r="J21" s="2800">
        <v>54.2</v>
      </c>
    </row>
    <row r="22" spans="1:13">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M23" s="2800" t="s">
        <v>2568</v>
      </c>
    </row>
    <row r="24" spans="1:13">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M24" s="2800">
        <v>10</v>
      </c>
    </row>
    <row r="25" spans="1:13">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M25" s="2800">
        <v>8</v>
      </c>
    </row>
    <row r="26" spans="1:13">
      <c r="A26" s="2782"/>
      <c r="B26" s="2783"/>
      <c r="C26" s="2783"/>
      <c r="D26" s="2783"/>
      <c r="E26" s="2783"/>
      <c r="F26" s="2783"/>
      <c r="G26" s="2784"/>
      <c r="I26" s="2800">
        <v>30</v>
      </c>
      <c r="J26" s="2800">
        <v>90.5</v>
      </c>
      <c r="K26" s="2800">
        <f t="shared" si="2"/>
        <v>4.2000000000000028</v>
      </c>
      <c r="L26" s="2800" t="s">
        <v>2571</v>
      </c>
      <c r="M26" s="2800">
        <v>5</v>
      </c>
    </row>
    <row r="27" spans="1:13">
      <c r="A27" s="2782" t="s">
        <v>2530</v>
      </c>
      <c r="B27" s="2783"/>
      <c r="C27" s="2783"/>
      <c r="D27" s="2783"/>
      <c r="E27" s="2783"/>
      <c r="F27" s="2783"/>
      <c r="G27" s="2784"/>
      <c r="I27" s="2800">
        <v>35</v>
      </c>
      <c r="J27" s="2800">
        <v>93.8</v>
      </c>
      <c r="K27" s="2800">
        <f t="shared" si="2"/>
        <v>3.2999999999999972</v>
      </c>
      <c r="L27" s="2800" t="s">
        <v>2572</v>
      </c>
      <c r="M27" s="2800">
        <v>3</v>
      </c>
    </row>
    <row r="28" spans="1:13">
      <c r="A28" s="2782" t="s">
        <v>2531</v>
      </c>
      <c r="B28" s="2783"/>
      <c r="C28" s="2783"/>
      <c r="D28" s="2783"/>
      <c r="E28" s="2783"/>
      <c r="F28" s="2783"/>
      <c r="G28" s="2784"/>
      <c r="I28" s="2800">
        <v>40</v>
      </c>
      <c r="J28" s="2800">
        <v>96.4</v>
      </c>
      <c r="K28" s="2800">
        <f t="shared" si="2"/>
        <v>2.6000000000000085</v>
      </c>
      <c r="L28" s="2800" t="s">
        <v>2573</v>
      </c>
      <c r="M28" s="2800">
        <v>2</v>
      </c>
    </row>
    <row r="29" spans="1:13">
      <c r="A29" s="2782" t="s">
        <v>2532</v>
      </c>
      <c r="B29" s="2783"/>
      <c r="C29" s="2783"/>
      <c r="D29" s="2783"/>
      <c r="E29" s="2783"/>
      <c r="F29" s="2783"/>
      <c r="G29" s="2784"/>
      <c r="I29" s="2800">
        <v>45</v>
      </c>
      <c r="J29" s="2800">
        <v>98.4</v>
      </c>
      <c r="K29" s="2800">
        <f t="shared" si="2"/>
        <v>2</v>
      </c>
    </row>
    <row r="30" spans="1:13">
      <c r="A30" s="2782" t="s">
        <v>2533</v>
      </c>
      <c r="B30" s="2783"/>
      <c r="C30" s="2783"/>
      <c r="D30" s="2783"/>
      <c r="E30" s="2783"/>
      <c r="F30" s="2783"/>
      <c r="G30" s="2784"/>
      <c r="I30" s="2800">
        <v>50</v>
      </c>
      <c r="J30" s="2800">
        <v>100</v>
      </c>
      <c r="K30" s="2800">
        <f t="shared" si="2"/>
        <v>1.5999999999999943</v>
      </c>
    </row>
    <row r="31" spans="1:13">
      <c r="A31" s="2782" t="s">
        <v>2534</v>
      </c>
      <c r="B31" s="2783"/>
      <c r="C31" s="2783"/>
      <c r="D31" s="2783"/>
      <c r="E31" s="2783"/>
      <c r="F31" s="2783"/>
      <c r="G31" s="2784"/>
      <c r="I31" s="2800" t="s">
        <v>2565</v>
      </c>
    </row>
    <row r="32" spans="1:13">
      <c r="A32" s="2782" t="s">
        <v>2535</v>
      </c>
      <c r="B32" s="2783"/>
      <c r="C32" s="2783"/>
      <c r="D32" s="2783"/>
      <c r="E32" s="2783"/>
      <c r="F32" s="2783"/>
      <c r="G32" s="2784"/>
    </row>
    <row r="33" spans="1:13">
      <c r="A33" s="2782" t="s">
        <v>2536</v>
      </c>
      <c r="B33" s="2783"/>
      <c r="C33" s="2783"/>
      <c r="D33" s="2783"/>
      <c r="E33" s="2783"/>
      <c r="F33" s="2783"/>
      <c r="G33" s="2784"/>
      <c r="I33" s="2800" t="s">
        <v>2564</v>
      </c>
      <c r="J33" s="2800" t="s">
        <v>2574</v>
      </c>
    </row>
    <row r="34" spans="1:13">
      <c r="A34" s="2782" t="s">
        <v>2537</v>
      </c>
      <c r="B34" s="2783"/>
      <c r="C34" s="2783"/>
      <c r="D34" s="2783"/>
      <c r="E34" s="2783"/>
      <c r="F34" s="2783"/>
      <c r="G34" s="2784"/>
      <c r="I34" s="2800">
        <v>5</v>
      </c>
      <c r="J34" s="2800">
        <v>55.1</v>
      </c>
    </row>
    <row r="35" spans="1:13">
      <c r="A35" s="2782" t="s">
        <v>2538</v>
      </c>
      <c r="B35" s="2783"/>
      <c r="C35" s="2783"/>
      <c r="D35" s="2783"/>
      <c r="E35" s="2783"/>
      <c r="F35" s="2783"/>
      <c r="G35" s="2784"/>
      <c r="I35" s="2800">
        <v>10</v>
      </c>
      <c r="J35" s="2800">
        <v>67</v>
      </c>
      <c r="K35" s="2800">
        <f>J35-J34</f>
        <v>11.899999999999999</v>
      </c>
    </row>
    <row r="36" spans="1:13">
      <c r="A36" s="2782" t="s">
        <v>2539</v>
      </c>
      <c r="B36" s="2783"/>
      <c r="C36" s="2783"/>
      <c r="D36" s="2783"/>
      <c r="E36" s="2783"/>
      <c r="F36" s="2783"/>
      <c r="G36" s="2784"/>
      <c r="I36" s="2800">
        <v>15</v>
      </c>
      <c r="J36" s="2800">
        <v>76.3</v>
      </c>
      <c r="K36" s="2800">
        <f t="shared" ref="K36:K41" si="3">J36-J35</f>
        <v>9.2999999999999972</v>
      </c>
      <c r="L36" s="2800" t="s">
        <v>2567</v>
      </c>
      <c r="M36" s="2800" t="s">
        <v>2568</v>
      </c>
    </row>
    <row r="37" spans="1:13">
      <c r="A37" s="2782" t="s">
        <v>2540</v>
      </c>
      <c r="B37" s="2783"/>
      <c r="C37" s="2783"/>
      <c r="D37" s="2783"/>
      <c r="E37" s="2783"/>
      <c r="F37" s="2783"/>
      <c r="G37" s="2784"/>
      <c r="I37" s="2800">
        <v>20</v>
      </c>
      <c r="J37" s="2800">
        <v>83.6</v>
      </c>
      <c r="K37" s="2800">
        <f t="shared" si="3"/>
        <v>7.2999999999999972</v>
      </c>
      <c r="L37" s="2800" t="s">
        <v>2566</v>
      </c>
      <c r="M37" s="2800">
        <v>10</v>
      </c>
    </row>
    <row r="38" spans="1:13">
      <c r="A38" s="2782" t="s">
        <v>2541</v>
      </c>
      <c r="B38" s="2783"/>
      <c r="C38" s="2783"/>
      <c r="D38" s="2783"/>
      <c r="E38" s="2783"/>
      <c r="F38" s="2783"/>
      <c r="G38" s="2784"/>
      <c r="I38" s="2800">
        <v>25</v>
      </c>
      <c r="J38" s="2800">
        <v>89.3</v>
      </c>
      <c r="K38" s="2800">
        <f t="shared" si="3"/>
        <v>5.7000000000000028</v>
      </c>
      <c r="L38" s="2800" t="s">
        <v>2570</v>
      </c>
      <c r="M38" s="2800">
        <v>8</v>
      </c>
    </row>
    <row r="39" spans="1:13">
      <c r="A39" s="2782"/>
      <c r="B39" s="2783"/>
      <c r="C39" s="2783"/>
      <c r="D39" s="2783"/>
      <c r="E39" s="2783"/>
      <c r="F39" s="2783"/>
      <c r="G39" s="2784"/>
      <c r="I39" s="2800">
        <v>30</v>
      </c>
      <c r="J39" s="2800">
        <v>93.8</v>
      </c>
      <c r="K39" s="2800">
        <f t="shared" si="3"/>
        <v>4.5</v>
      </c>
      <c r="L39" s="2800" t="s">
        <v>2571</v>
      </c>
      <c r="M39" s="2800">
        <v>6</v>
      </c>
    </row>
    <row r="40" spans="1:13">
      <c r="A40" s="2785" t="s">
        <v>2542</v>
      </c>
      <c r="B40" s="2786"/>
      <c r="C40" s="2786"/>
      <c r="D40" s="2786"/>
      <c r="E40" s="2786"/>
      <c r="F40" s="2786"/>
      <c r="G40" s="2787"/>
      <c r="I40" s="2800">
        <v>35</v>
      </c>
      <c r="J40" s="2800">
        <v>97.2</v>
      </c>
      <c r="K40" s="2800">
        <f t="shared" si="3"/>
        <v>3.4000000000000057</v>
      </c>
      <c r="L40" s="2800" t="s">
        <v>2572</v>
      </c>
      <c r="M40" s="2800">
        <v>3</v>
      </c>
    </row>
    <row r="41" spans="1:13">
      <c r="A41" s="2788" t="s">
        <v>2543</v>
      </c>
      <c r="B41" s="2789" t="s">
        <v>2544</v>
      </c>
      <c r="C41" s="2790" t="s">
        <v>2545</v>
      </c>
      <c r="D41" s="2790" t="s">
        <v>2546</v>
      </c>
      <c r="E41" s="2791"/>
      <c r="F41" s="2792"/>
      <c r="G41" s="2793"/>
      <c r="I41" s="2800">
        <v>40</v>
      </c>
      <c r="J41" s="2800">
        <v>100</v>
      </c>
      <c r="K41" s="2800">
        <f t="shared" si="3"/>
        <v>2.7999999999999972</v>
      </c>
    </row>
    <row r="42" spans="1:13">
      <c r="A42" s="2788" t="s">
        <v>2547</v>
      </c>
      <c r="B42" s="2789" t="s">
        <v>2548</v>
      </c>
      <c r="C42" s="2790" t="s">
        <v>2549</v>
      </c>
      <c r="D42" s="2794" t="s">
        <v>2550</v>
      </c>
      <c r="E42" s="2786" t="s">
        <v>2551</v>
      </c>
      <c r="F42" s="2786"/>
      <c r="G42" s="2787"/>
    </row>
    <row r="43" spans="1:13">
      <c r="A43" s="2788" t="s">
        <v>2552</v>
      </c>
      <c r="B43" s="2789" t="s">
        <v>2553</v>
      </c>
      <c r="C43" s="2790" t="s">
        <v>2554</v>
      </c>
      <c r="D43" s="2790" t="s">
        <v>2555</v>
      </c>
      <c r="E43" s="2791" t="s">
        <v>2556</v>
      </c>
      <c r="F43" s="2792"/>
      <c r="G43" s="2793"/>
      <c r="I43" s="2800" t="s">
        <v>2564</v>
      </c>
      <c r="J43" s="2800" t="s">
        <v>2575</v>
      </c>
    </row>
    <row r="44" spans="1:13">
      <c r="A44" s="2788" t="s">
        <v>2557</v>
      </c>
      <c r="B44" s="2789" t="s">
        <v>2558</v>
      </c>
      <c r="C44" s="2790" t="s">
        <v>2559</v>
      </c>
      <c r="D44" s="2794">
        <v>0.5</v>
      </c>
      <c r="E44" s="2791" t="s">
        <v>2560</v>
      </c>
      <c r="F44" s="2792"/>
      <c r="G44" s="2793"/>
      <c r="I44" s="2800">
        <v>30</v>
      </c>
      <c r="J44" s="2800">
        <v>81.7</v>
      </c>
    </row>
    <row r="45" spans="1:13" ht="14.25" thickBot="1">
      <c r="A45" s="2795" t="s">
        <v>2561</v>
      </c>
      <c r="B45" s="2796" t="s">
        <v>2548</v>
      </c>
      <c r="C45" s="2797" t="s">
        <v>2548</v>
      </c>
      <c r="D45" s="2797" t="s">
        <v>2562</v>
      </c>
      <c r="E45" s="2798" t="s">
        <v>2563</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8" sqref="L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45577</v>
      </c>
      <c r="C3" s="2186" t="s">
        <v>2169</v>
      </c>
      <c r="D3" s="2185">
        <v>45577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3387</v>
      </c>
      <c r="C8" s="2201"/>
      <c r="D8" s="3208" t="s">
        <v>2175</v>
      </c>
      <c r="E8" s="2202" t="s">
        <v>3388</v>
      </c>
      <c r="F8" s="2203"/>
      <c r="G8" s="2442"/>
      <c r="H8" s="2442"/>
      <c r="I8" s="2442"/>
      <c r="J8" s="2245"/>
      <c r="K8" s="2400"/>
      <c r="L8" s="2399"/>
      <c r="M8" s="2399"/>
      <c r="N8" s="2245"/>
      <c r="O8" s="1670"/>
      <c r="P8" s="2245"/>
      <c r="Q8" s="2245"/>
      <c r="R8" s="2245"/>
    </row>
    <row r="9" spans="1:30" ht="13.5" thickBot="1">
      <c r="A9" s="2204" t="s">
        <v>2176</v>
      </c>
      <c r="B9" s="2205" t="s">
        <v>3389</v>
      </c>
      <c r="C9" s="2206"/>
      <c r="D9" s="3209"/>
      <c r="E9" s="2205" t="s">
        <v>43</v>
      </c>
      <c r="F9" s="2207"/>
      <c r="G9" s="2443"/>
      <c r="H9" s="2443"/>
      <c r="I9" s="2443"/>
      <c r="J9" s="2245"/>
      <c r="K9" s="2402"/>
      <c r="L9" s="2399"/>
      <c r="M9" s="2399"/>
      <c r="N9" s="2245"/>
      <c r="O9" s="1670"/>
      <c r="P9" s="2245"/>
      <c r="Q9" s="2245"/>
      <c r="R9" s="2245"/>
    </row>
    <row r="10" spans="1:30" ht="13.5" thickTop="1">
      <c r="A10" s="2208" t="s">
        <v>2177</v>
      </c>
      <c r="B10" s="2209" t="s">
        <v>3390</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3391</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2576</v>
      </c>
      <c r="J12" s="2803"/>
      <c r="K12" s="2399"/>
      <c r="L12" s="2399"/>
      <c r="M12" s="2245"/>
      <c r="N12" s="1670"/>
      <c r="O12" s="2245"/>
      <c r="P12" s="2245"/>
      <c r="Q12" s="2245"/>
      <c r="AD12" s="1618"/>
    </row>
    <row r="13" spans="1:30">
      <c r="A13" s="3122" t="s">
        <v>3332</v>
      </c>
      <c r="B13" s="2218" t="s">
        <v>2188</v>
      </c>
      <c r="C13" s="803"/>
      <c r="D13" s="803"/>
      <c r="E13" s="803">
        <v>56491</v>
      </c>
      <c r="F13" s="803"/>
      <c r="G13" s="803"/>
      <c r="H13" s="803"/>
      <c r="I13" s="803"/>
      <c r="J13" s="2803"/>
      <c r="K13" s="2399"/>
      <c r="L13" s="2399"/>
      <c r="M13" s="2245"/>
      <c r="N13" s="1670"/>
      <c r="O13" s="2245"/>
      <c r="P13" s="2245"/>
      <c r="Q13" s="2245"/>
      <c r="AD13" s="1618"/>
    </row>
    <row r="14" spans="1:30">
      <c r="A14" s="1018"/>
      <c r="B14" s="2218" t="s">
        <v>2189</v>
      </c>
      <c r="C14" s="2219"/>
      <c r="D14" s="2219"/>
      <c r="E14" s="2219">
        <v>50</v>
      </c>
      <c r="F14" s="2219"/>
      <c r="G14" s="2219"/>
      <c r="H14" s="2219"/>
      <c r="I14" s="2219"/>
      <c r="J14" s="2804"/>
      <c r="K14" s="2399"/>
      <c r="L14" s="2399"/>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f>IF(A13="出让",IF(E13="","",ROUNDDOWN(MIN((E13-$D$3)/365,E14),2)),E14)</f>
        <v>29.9</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215"/>
      <c r="C16" s="3216"/>
      <c r="D16" s="3217"/>
      <c r="E16" s="2222" t="s">
        <v>2192</v>
      </c>
      <c r="F16" s="3218"/>
      <c r="G16" s="3219"/>
      <c r="H16" s="3219"/>
      <c r="I16" s="3220"/>
      <c r="J16" s="2245"/>
      <c r="K16" s="2403"/>
      <c r="L16" s="1670"/>
      <c r="M16" s="1670"/>
      <c r="N16" s="2245"/>
      <c r="O16" s="1670"/>
      <c r="P16" s="2245"/>
      <c r="Q16" s="2245"/>
      <c r="R16" s="2245"/>
    </row>
    <row r="17" spans="1:28">
      <c r="A17" s="305" t="s">
        <v>2193</v>
      </c>
      <c r="B17" s="294" t="s">
        <v>2194</v>
      </c>
      <c r="C17" s="8">
        <f>'数据-汇总表'!E3</f>
        <v>1320.6699999999998</v>
      </c>
      <c r="D17" s="1256" t="s">
        <v>2195</v>
      </c>
      <c r="E17" s="3221" t="s">
        <v>2196</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166.46</v>
      </c>
      <c r="D18" s="1029" t="s">
        <v>2199</v>
      </c>
      <c r="E18" s="3224" t="s">
        <v>2200</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11" t="s">
        <v>2204</v>
      </c>
      <c r="C20" s="3212"/>
      <c r="D20" s="3213" t="s">
        <v>2205</v>
      </c>
      <c r="E20" s="3214"/>
      <c r="F20" s="2430" t="s">
        <v>1056</v>
      </c>
      <c r="G20" s="2442"/>
      <c r="H20" s="2442"/>
      <c r="I20" s="2442"/>
      <c r="J20" s="2245"/>
      <c r="K20" s="3210"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2216</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27" t="s">
        <v>2226</v>
      </c>
      <c r="T34" s="315" t="str">
        <f>NUMBERSTRING(7-K34,1)&amp;"通"</f>
        <v>七通</v>
      </c>
      <c r="U34" s="2245"/>
      <c r="V34" s="2245"/>
    </row>
    <row r="35" spans="1:30">
      <c r="A35" s="2236"/>
      <c r="B35" s="3227" t="s">
        <v>2227</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2579</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面积!B22</f>
        <v>166.46</v>
      </c>
      <c r="B3" s="11">
        <f>IF(C3="否",G5-AT5,G5)</f>
        <v>1320.6699999999998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1320.6699999999998</v>
      </c>
      <c r="H5" s="13">
        <f t="shared" ref="H5:AT5" si="0">SUM(H13:H656)</f>
        <v>1320.6699999999998</v>
      </c>
      <c r="I5" s="13">
        <f t="shared" si="0"/>
        <v>1320.6699999999998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1320.6699999999998</v>
      </c>
      <c r="BA5" s="15">
        <f t="shared" si="1"/>
        <v>1320.6699999999998</v>
      </c>
      <c r="BB5" s="15">
        <f t="shared" si="1"/>
        <v>1320.6699999999998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166.46</v>
      </c>
      <c r="F6" s="13" t="s">
        <v>0</v>
      </c>
      <c r="G6" s="13" t="s">
        <v>1</v>
      </c>
      <c r="H6" s="17">
        <f>SUMIF(I$12:AB$12,"总值",I6:AB6)</f>
        <v>166.46</v>
      </c>
      <c r="I6" s="13">
        <f t="shared" ref="I6:AB6" si="2">ROUND($A$3*I5/$B$3,2)</f>
        <v>166.46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166.46</v>
      </c>
      <c r="AZ6" s="13" t="s">
        <v>2</v>
      </c>
      <c r="BA6" s="13">
        <f>ROUND($AY$6*BA5/$AZ$5,2)</f>
        <v>166.46</v>
      </c>
      <c r="BB6" s="13">
        <f>ROUND($AY$6*BB5/$AZ$5,2)</f>
        <v>166.46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3398</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5" t="s">
        <v>3395</v>
      </c>
      <c r="D13" s="1513" t="s">
        <v>3396</v>
      </c>
      <c r="E13" s="13">
        <f>IF($C$3="是",ROUND($A$3*G13/$B$3,2),ROUND($A$3*(G13-AT13)/$B$3,2))</f>
        <v>166.46</v>
      </c>
      <c r="F13" s="29"/>
      <c r="G13" s="30">
        <f>H13+AC13+AT13</f>
        <v>1320.6699999999998</v>
      </c>
      <c r="H13" s="17">
        <f>SUMIF(I$12:AB$12,"总值",I13:AB13)</f>
        <v>1320.6699999999998</v>
      </c>
      <c r="I13" s="1514">
        <f>面积!C15</f>
        <v>1320.6699999999998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v>
      </c>
      <c r="AY13" s="1260">
        <f>ROUND($AY$6*AZ13/$AZ$5,2)</f>
        <v>166.46</v>
      </c>
      <c r="AZ13" s="13">
        <f>BA13+BL13</f>
        <v>1320.6699999999998</v>
      </c>
      <c r="BA13" s="13">
        <f>SUM(BB13:BK13)</f>
        <v>1320.6699999999998</v>
      </c>
      <c r="BB13" s="13">
        <f>IF($D13="是",I13-J13,0)</f>
        <v>1320.6699999999998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45"/>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election activeCell="C2" sqref="C2"/>
    </sheetView>
  </sheetViews>
  <sheetFormatPr defaultRowHeight="13.5"/>
  <sheetData>
    <row r="1" spans="1:3">
      <c r="A1" s="1421" t="s">
        <v>3392</v>
      </c>
      <c r="B1" s="1421" t="s">
        <v>3393</v>
      </c>
      <c r="C1" s="1421" t="s">
        <v>3394</v>
      </c>
    </row>
    <row r="2" spans="1:3">
      <c r="A2" s="2814">
        <v>1</v>
      </c>
      <c r="B2" s="2814">
        <v>1205</v>
      </c>
      <c r="C2" s="2814">
        <v>98.79</v>
      </c>
    </row>
    <row r="3" spans="1:3">
      <c r="A3" s="2814">
        <v>2</v>
      </c>
      <c r="B3" s="2814">
        <v>1206</v>
      </c>
      <c r="C3" s="2814">
        <v>55.12</v>
      </c>
    </row>
    <row r="4" spans="1:3">
      <c r="A4" s="2814">
        <v>3</v>
      </c>
      <c r="B4" s="2814">
        <v>1212</v>
      </c>
      <c r="C4" s="2814">
        <v>116.79</v>
      </c>
    </row>
    <row r="5" spans="1:3">
      <c r="A5" s="2814">
        <v>4</v>
      </c>
      <c r="B5" s="2814">
        <v>1213</v>
      </c>
      <c r="C5" s="2814">
        <v>118.7</v>
      </c>
    </row>
    <row r="6" spans="1:3">
      <c r="A6" s="2814">
        <v>5</v>
      </c>
      <c r="B6" s="2814">
        <v>1214</v>
      </c>
      <c r="C6" s="2814">
        <v>116.7</v>
      </c>
    </row>
    <row r="7" spans="1:3">
      <c r="A7" s="2814">
        <v>6</v>
      </c>
      <c r="B7" s="2814">
        <v>1215</v>
      </c>
      <c r="C7" s="2814">
        <v>117.38</v>
      </c>
    </row>
    <row r="8" spans="1:3">
      <c r="A8" s="2814">
        <v>7</v>
      </c>
      <c r="B8" s="2814">
        <v>1216</v>
      </c>
      <c r="C8" s="2814">
        <v>102.25</v>
      </c>
    </row>
    <row r="9" spans="1:3">
      <c r="A9" s="2814">
        <v>8</v>
      </c>
      <c r="B9" s="2814">
        <v>1219</v>
      </c>
      <c r="C9" s="2814">
        <v>95.42</v>
      </c>
    </row>
    <row r="10" spans="1:3">
      <c r="A10" s="2814">
        <v>9</v>
      </c>
      <c r="B10" s="2814">
        <v>1221</v>
      </c>
      <c r="C10" s="2814">
        <v>98.79</v>
      </c>
    </row>
    <row r="11" spans="1:3">
      <c r="A11" s="2814">
        <v>10</v>
      </c>
      <c r="B11" s="2814">
        <v>1222</v>
      </c>
      <c r="C11" s="2814">
        <v>107.47</v>
      </c>
    </row>
    <row r="12" spans="1:3">
      <c r="A12" s="2814">
        <v>11</v>
      </c>
      <c r="B12" s="2814">
        <v>1223</v>
      </c>
      <c r="C12" s="2814">
        <v>98.3</v>
      </c>
    </row>
    <row r="13" spans="1:3">
      <c r="A13" s="2814">
        <v>12</v>
      </c>
      <c r="B13" s="2814">
        <v>1224</v>
      </c>
      <c r="C13" s="2814">
        <v>96.66</v>
      </c>
    </row>
    <row r="14" spans="1:3">
      <c r="A14" s="2814">
        <v>13</v>
      </c>
      <c r="B14" s="2814">
        <v>1225</v>
      </c>
      <c r="C14" s="2814">
        <v>98.3</v>
      </c>
    </row>
    <row r="15" spans="1:3">
      <c r="A15" s="2814"/>
      <c r="B15" s="2814"/>
      <c r="C15" s="2814">
        <f>SUM(C2:C14)</f>
        <v>1320.6699999999998</v>
      </c>
    </row>
    <row r="19" spans="1:2" ht="14.25">
      <c r="A19" s="3146" t="s">
        <v>3399</v>
      </c>
      <c r="B19" s="3146">
        <v>9061.11</v>
      </c>
    </row>
    <row r="20" spans="1:2" ht="14.25">
      <c r="A20" s="3146" t="s">
        <v>3400</v>
      </c>
      <c r="B20" s="3146">
        <v>71889.009999999995</v>
      </c>
    </row>
    <row r="21" spans="1:2" ht="14.25">
      <c r="A21" s="3146" t="s">
        <v>3401</v>
      </c>
      <c r="B21" s="3146">
        <f>C15</f>
        <v>1320.6699999999998</v>
      </c>
    </row>
    <row r="22" spans="1:2" ht="14.25">
      <c r="A22" s="3146" t="s">
        <v>3402</v>
      </c>
      <c r="B22" s="3146">
        <f>ROUND(B21/B20*B19,2)</f>
        <v>166.46</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166.46</v>
      </c>
      <c r="E3" s="41">
        <f>'数据-基础表'!AZ5</f>
        <v>1320.6699999999998</v>
      </c>
      <c r="F3" s="2439"/>
      <c r="G3" s="42"/>
      <c r="H3" s="43" t="s">
        <v>1106</v>
      </c>
      <c r="I3" s="802">
        <f>ROUND('数据-基础表'!B3/'数据-基础表'!A3,2)</f>
        <v>7.93</v>
      </c>
      <c r="J3" s="2439"/>
      <c r="K3" s="2439"/>
      <c r="L3" s="2439"/>
      <c r="M3" s="2439"/>
      <c r="N3" s="2440"/>
      <c r="O3" s="2439"/>
      <c r="P3" s="2439"/>
    </row>
    <row r="4" spans="1:16" ht="15">
      <c r="A4" s="3245"/>
      <c r="B4" s="3246"/>
      <c r="C4" s="3247"/>
      <c r="D4" s="1524" t="s">
        <v>1107</v>
      </c>
      <c r="E4" s="1525" t="s">
        <v>1108</v>
      </c>
      <c r="F4" s="2439"/>
      <c r="G4" s="2434" t="s">
        <v>1133</v>
      </c>
      <c r="H4" s="43" t="s">
        <v>1113</v>
      </c>
      <c r="I4" s="802">
        <f>ROUND(SUMIF('数据-基础表'!I9:AS9,"地上",'数据-基础表'!I5:AS5)/'数据-基础表'!A3,2)</f>
        <v>7.93</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f>ROUND(E31/D31,2)</f>
        <v>7.93</v>
      </c>
      <c r="J5" s="2439"/>
      <c r="K5" s="2439"/>
      <c r="L5" s="2439"/>
      <c r="M5" s="2439"/>
      <c r="N5" s="2439"/>
      <c r="O5" s="2439"/>
      <c r="P5" s="2439"/>
    </row>
    <row r="6" spans="1:16" ht="15" thickBot="1">
      <c r="A6" s="1527"/>
      <c r="B6" s="3248" t="s">
        <v>1111</v>
      </c>
      <c r="C6" s="3248"/>
      <c r="D6" s="43">
        <f>ROUND($D$3*E6/$E$3,2)</f>
        <v>166.46</v>
      </c>
      <c r="E6" s="44">
        <f>E3-E5</f>
        <v>1320.6699999999998</v>
      </c>
      <c r="F6" s="2439"/>
      <c r="G6" s="1529" t="s">
        <v>1112</v>
      </c>
      <c r="H6" s="45" t="s">
        <v>1113</v>
      </c>
      <c r="I6" s="2435">
        <f>ROUND(F31/D31,2)</f>
        <v>7.93</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166.46</v>
      </c>
      <c r="E8" s="46">
        <f>SUMIF('数据-基础表'!BB10:BK10,"地上",'数据-基础表'!BB5:BK5)</f>
        <v>1320.6699999999998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166.46</v>
      </c>
      <c r="E16" s="48">
        <f>SUM(E8:E15)</f>
        <v>1320.6699999999998</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3459</v>
      </c>
      <c r="D19" s="43">
        <f>ROUND($D$3*E19/$E$3,2)</f>
        <v>12.45</v>
      </c>
      <c r="E19" s="51">
        <f t="shared" ref="E19:E26" si="1">SUM(F19:G19)</f>
        <v>98.79</v>
      </c>
      <c r="F19" s="2558">
        <f>面积!C2</f>
        <v>98.79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12.45</v>
      </c>
      <c r="S19" s="51">
        <f t="shared" si="5"/>
        <v>98.79</v>
      </c>
    </row>
    <row r="20" spans="1:19">
      <c r="A20" s="1549"/>
      <c r="B20" s="45" t="s">
        <v>1153</v>
      </c>
      <c r="C20" s="3116" t="s">
        <v>3460</v>
      </c>
      <c r="D20" s="43">
        <f t="shared" ref="D20:D26" si="6">ROUND($D$3*E20/$E$3,2)</f>
        <v>154.01</v>
      </c>
      <c r="E20" s="51">
        <f t="shared" si="1"/>
        <v>1221.8799999999999</v>
      </c>
      <c r="F20" s="2558">
        <f>面积!C15-面积!C2</f>
        <v>1221.8799999999999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154.01</v>
      </c>
      <c r="S20" s="51">
        <f t="shared" si="5"/>
        <v>1221.8799999999999</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166.45999999999998</v>
      </c>
      <c r="E27" s="1073">
        <f>IF(SUM(E19:E26)='数据-基础表'!BA5,SUM(E19:E26),IF(F27="地上面积有误","面积有误","地下面积有误"))</f>
        <v>1320.6699999999998</v>
      </c>
      <c r="F27" s="1072">
        <f>IF(SUM(F19:F26)=E8,SUM(F19:F26),"地上面积有误")</f>
        <v>1320.6699999999998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166.45999999999998</v>
      </c>
      <c r="S27" s="43">
        <f>IF(SUM(S19:S26)=$E$3,SUM(S19:S26),SUM(S19:S26)&amp;"误差"&amp;ROUND(SUM(S19:S26)-E3,2))</f>
        <v>1320.6699999999998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166.45999999999998</v>
      </c>
      <c r="E31" s="643">
        <f>E27+E30</f>
        <v>1320.6699999999998</v>
      </c>
      <c r="F31" s="644">
        <f>F27+F30</f>
        <v>1320.6699999999998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47"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45577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典型办公</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29.9</v>
      </c>
      <c r="G6" s="62">
        <f>IF(ISERROR(ROUND(POWER(1+H6,D6-F6)*(POWER(1+H6,F6)-1)/(POWER(1+H6,D6)-1),3)),0,ROUND(POWER(1+H6,D6-F6)*(POWER(1+H6,F6)-1)/(POWER(1+H6,D6)-1),3))</f>
        <v>0.84099999999999997</v>
      </c>
      <c r="H6" s="691">
        <v>0.05</v>
      </c>
      <c r="I6" s="691">
        <v>5.5E-2</v>
      </c>
      <c r="J6" s="63">
        <v>7.0000000000000007E-2</v>
      </c>
      <c r="K6" s="970">
        <f>SUMIF('数据-汇总表'!C$19:C$33,A6,'数据-汇总表'!E$19:E$33)</f>
        <v>98.79</v>
      </c>
      <c r="L6" s="692">
        <v>5400</v>
      </c>
      <c r="M6" s="64">
        <f t="shared" ref="M6:M14" si="0">ROUND(K6*L6/10000,0)</f>
        <v>53</v>
      </c>
      <c r="N6" s="690">
        <f>ROUND(1-(2024-2012)/60,2)</f>
        <v>0.8</v>
      </c>
      <c r="O6" s="64" t="str">
        <f>IF($N$5="成新度","——",ROUND(M6*N6,0))</f>
        <v>——</v>
      </c>
      <c r="P6" s="65" t="str">
        <f>IF($N$5="成新度","——",M6-O6)</f>
        <v>——</v>
      </c>
      <c r="Q6" s="693">
        <v>0.15</v>
      </c>
      <c r="R6" s="66">
        <f ca="1">SUMIF('数据-汇总表'!C$19:C$33,A6,'数据-汇总表'!R$19:R$27)</f>
        <v>12.45</v>
      </c>
      <c r="S6" s="49">
        <f>IF('数据-汇总表'!$I$17="按面积比例",SUMIF('数据-汇总表'!C$19:C$33,A6,'数据-汇总表'!K$19:K$33),SUMIF('数据-汇总表'!C$19:C$33,A6,'数据-汇总表'!N$19:N$33))</f>
        <v>0</v>
      </c>
      <c r="T6" s="1092">
        <f>ROUND($L$14*S6/10000,0)</f>
        <v>0</v>
      </c>
      <c r="U6" s="3127">
        <v>6.4</v>
      </c>
      <c r="V6" s="67">
        <v>0.02</v>
      </c>
      <c r="W6" s="67">
        <v>0.1</v>
      </c>
      <c r="X6" s="979"/>
      <c r="Y6" s="68">
        <f>N6</f>
        <v>0.8</v>
      </c>
      <c r="Z6" s="69"/>
      <c r="AA6" s="63"/>
      <c r="AB6" s="63"/>
      <c r="AC6" s="979"/>
      <c r="AD6" s="70"/>
      <c r="AE6" s="980">
        <f ca="1">IF(AN6="",0,SUMIF(INDIRECT("'"&amp;AN6&amp;"'"&amp;"!E:E"),$AE$5,INDIRECT("'"&amp;AN6&amp;"'"&amp;"!F:F")))</f>
        <v>29.9</v>
      </c>
      <c r="AF6" s="74"/>
      <c r="AG6" s="130">
        <f>IF(AF6="",0,AE6-AF6)</f>
        <v>0</v>
      </c>
      <c r="AH6" s="71"/>
      <c r="AI6" s="73">
        <v>365</v>
      </c>
      <c r="AJ6" s="74"/>
      <c r="AK6" s="75">
        <v>3.0000000000000001E-3</v>
      </c>
      <c r="AL6" s="76">
        <v>1E-3</v>
      </c>
      <c r="AM6" s="77">
        <v>5.0000000000000001E-3</v>
      </c>
      <c r="AN6" s="1589" t="s">
        <v>3461</v>
      </c>
      <c r="AO6" s="50">
        <f ca="1">SUMIF(INDIRECT("'"&amp;AN6&amp;"'"&amp;"!A:A"),"总价",INDIRECT("'"&amp;AN6&amp;"'"&amp;"!B:B"))</f>
        <v>310.25810000000001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其他办公</v>
      </c>
      <c r="B7" s="1587" t="str">
        <f t="shared" ref="B7:B13" si="1">IF(A7=0,"","经营性")</f>
        <v>经营性</v>
      </c>
      <c r="C7" s="1588" t="s">
        <v>21</v>
      </c>
      <c r="D7" s="805">
        <f>SUMIF(项目基本情况!C$12:I$12,C7,项目基本情况!C$14:I$14)</f>
        <v>50</v>
      </c>
      <c r="E7" s="804">
        <f>IF(B7="","",SUMIF(项目基本情况!C$12:I$12,C7,项目基本情况!C$13:I$13))</f>
        <v>56491</v>
      </c>
      <c r="F7" s="61">
        <f>SUMIF(项目基本情况!C$12:I$12,C7,项目基本情况!C$15:I$15)</f>
        <v>29.9</v>
      </c>
      <c r="G7" s="62">
        <f t="shared" ref="G7:G11" si="2">IF(ISERROR(ROUND(POWER(1+H7,D7-F7)*(POWER(1+H7,F7)-1)/(POWER(1+H7,D7)-1),3)),0,ROUND(POWER(1+H7,D7-F7)*(POWER(1+H7,F7)-1)/(POWER(1+H7,D7)-1),3))</f>
        <v>0.84099999999999997</v>
      </c>
      <c r="H7" s="691">
        <v>0.05</v>
      </c>
      <c r="I7" s="691">
        <v>5.5E-2</v>
      </c>
      <c r="J7" s="63">
        <v>7.0000000000000007E-2</v>
      </c>
      <c r="K7" s="970">
        <f>SUMIF('数据-汇总表'!C$19:C$33,A7,'数据-汇总表'!E$19:E$33)</f>
        <v>1221.8799999999999</v>
      </c>
      <c r="L7" s="692">
        <v>5400</v>
      </c>
      <c r="M7" s="64">
        <f t="shared" si="0"/>
        <v>660</v>
      </c>
      <c r="N7" s="690">
        <f>ROUND(1-(2024-2012)/60,2)</f>
        <v>0.8</v>
      </c>
      <c r="O7" s="64" t="str">
        <f t="shared" ref="O7:O14" si="3">IF($N$5="成新度","——",ROUND(M7*N7,0))</f>
        <v>——</v>
      </c>
      <c r="P7" s="65" t="str">
        <f t="shared" ref="P7:P14" si="4">IF($N$5="成新度","——",M7-O7)</f>
        <v>——</v>
      </c>
      <c r="Q7" s="693">
        <v>0.15</v>
      </c>
      <c r="R7" s="66">
        <f ca="1">SUMIF('数据-汇总表'!C$19:C$33,A7,'数据-汇总表'!R$19:R$27)</f>
        <v>154.01</v>
      </c>
      <c r="S7" s="49">
        <f>IF('数据-汇总表'!$I$17="按面积比例",SUMIF('数据-汇总表'!C$19:C$33,A7,'数据-汇总表'!K$19:K$33),SUMIF('数据-汇总表'!C$19:C$33,A7,'数据-汇总表'!N$19:N$33))</f>
        <v>0</v>
      </c>
      <c r="T7" s="1092">
        <f t="shared" ref="T7:T13" si="5">ROUND($L$14*S7/10000,0)</f>
        <v>0</v>
      </c>
      <c r="U7" s="3127">
        <v>6.4</v>
      </c>
      <c r="V7" s="67">
        <v>0.02</v>
      </c>
      <c r="W7" s="67">
        <v>0.1</v>
      </c>
      <c r="X7" s="979"/>
      <c r="Y7" s="68">
        <f>N7</f>
        <v>0.8</v>
      </c>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0.84099999999999997</v>
      </c>
      <c r="H16" s="84">
        <f>ROUND(SUMPRODUCT(H6:H13,K6:K13)/SUMPRODUCT((H6:H13&gt;0)*(K6:K13)),3)</f>
        <v>0.05</v>
      </c>
      <c r="I16" s="85"/>
      <c r="J16" s="85"/>
      <c r="K16" s="86">
        <f>SUM(K6:K15)</f>
        <v>1320.6699999999998</v>
      </c>
      <c r="L16" s="87">
        <f>ROUND(M16*10000/SUM(K6:K14),0)</f>
        <v>5399</v>
      </c>
      <c r="M16" s="87">
        <f>SUM(M6:M14)</f>
        <v>713</v>
      </c>
      <c r="N16" s="88">
        <f>ROUND(SUMPRODUCT(M6:M14,N6:N14)/M16,3)</f>
        <v>0.8</v>
      </c>
      <c r="O16" s="87">
        <f>SUM(O6:O14)</f>
        <v>0</v>
      </c>
      <c r="P16" s="87">
        <f>SUM(P6:P14)</f>
        <v>0</v>
      </c>
      <c r="Q16" s="89">
        <f>ROUND(SUMPRODUCT(Q6:Q13,K6:K13)/SUMPRODUCT((Q6:Q13&gt;0)*(K6:K13)),2)</f>
        <v>0.15</v>
      </c>
      <c r="R16" s="974">
        <f ca="1">SUM(R6:R13)</f>
        <v>166.45999999999998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t="s">
        <v>3411</v>
      </c>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3147" t="s">
        <v>3403</v>
      </c>
      <c r="M22" s="2450">
        <f>M23+M24</f>
        <v>77626.94</v>
      </c>
      <c r="N22" s="2450">
        <f>ROUND((M23*N23+M24*N24)/M22,0)</f>
        <v>2423</v>
      </c>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3148" t="s">
        <v>3397</v>
      </c>
      <c r="M23" s="2450">
        <f>77626.94-M24</f>
        <v>66693.760000000009</v>
      </c>
      <c r="N23" s="2450">
        <v>2000</v>
      </c>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3148" t="s">
        <v>3404</v>
      </c>
      <c r="M24" s="2450">
        <f>1477.68+670.95+260.43+53.93+735.87+598.65+416.83+162.14+96.92+35.57+400.7+613.44+145.08+5264.99</f>
        <v>10933.18</v>
      </c>
      <c r="N24" s="2450">
        <v>5000</v>
      </c>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3147" t="s">
        <v>3405</v>
      </c>
      <c r="M25" s="2450"/>
      <c r="N25" s="2450">
        <v>600</v>
      </c>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3147" t="s">
        <v>3406</v>
      </c>
      <c r="M26" s="2450"/>
      <c r="N26" s="2450">
        <v>1800</v>
      </c>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2303</v>
      </c>
      <c r="D27" s="2455"/>
      <c r="E27" s="2440"/>
      <c r="F27" s="2440"/>
      <c r="G27" s="2439"/>
      <c r="H27" s="2439"/>
      <c r="I27" s="2439"/>
      <c r="J27" s="2439"/>
      <c r="K27" s="2450"/>
      <c r="L27" s="3147" t="s">
        <v>3407</v>
      </c>
      <c r="M27" s="3149">
        <v>0.05</v>
      </c>
      <c r="N27" s="2450">
        <f>ROUND((N22+N25+N26)*M27,0)</f>
        <v>241</v>
      </c>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39"/>
      <c r="M28" s="2450"/>
      <c r="N28" s="2450">
        <f>N22+N25+N26+N27</f>
        <v>5064</v>
      </c>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2292</v>
      </c>
      <c r="D29" s="2455"/>
      <c r="E29" s="2440"/>
      <c r="F29" s="2440"/>
      <c r="G29" s="2439"/>
      <c r="H29" s="2439"/>
      <c r="I29" s="2439"/>
      <c r="J29" s="2439"/>
      <c r="K29" s="2450"/>
      <c r="L29" s="3147" t="s">
        <v>3408</v>
      </c>
      <c r="M29" s="2450"/>
      <c r="N29" s="2450">
        <f>ROUND(M22*N28/71889.01,0)</f>
        <v>5468</v>
      </c>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2293</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3.3500000000000002E-2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2284</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3" zoomScaleNormal="80" zoomScaleSheetLayoutView="100" workbookViewId="0">
      <selection activeCell="G16" sqref="G1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1320.6699999999998</v>
      </c>
      <c r="C1" s="2462"/>
      <c r="D1" s="2462"/>
      <c r="E1" s="2462"/>
      <c r="F1" s="2462"/>
      <c r="G1" s="2463"/>
      <c r="H1" s="2463"/>
      <c r="I1" s="2463"/>
      <c r="J1" s="2463"/>
      <c r="K1" s="2463"/>
    </row>
    <row r="2" spans="1:11" ht="16.5">
      <c r="A2" s="2300" t="s">
        <v>653</v>
      </c>
      <c r="B2" s="2300">
        <f>SUM(C14:C23)</f>
        <v>166.46</v>
      </c>
      <c r="C2" s="2462"/>
      <c r="D2" s="2462"/>
      <c r="E2" s="2462"/>
      <c r="F2" s="2462"/>
      <c r="G2" s="2463"/>
      <c r="H2" s="2463"/>
      <c r="I2" s="2463"/>
      <c r="J2" s="2463"/>
      <c r="K2" s="2463"/>
    </row>
    <row r="3" spans="1:11" ht="16.5">
      <c r="A3" s="2300" t="s">
        <v>662</v>
      </c>
      <c r="B3" s="2302">
        <f>项目基本情况!D3</f>
        <v>45577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5706</v>
      </c>
      <c r="C5" s="2300">
        <f ca="1">IF(B5=D14,结果表!H102,ROUND(B5*10000/$B$1,0))</f>
        <v>3226</v>
      </c>
      <c r="D5" s="2300">
        <f ca="1">ROUND(B5*10000/$B$2,0)</f>
        <v>342785</v>
      </c>
      <c r="E5" s="2462"/>
      <c r="F5" s="2463"/>
      <c r="G5" s="2463"/>
      <c r="H5" s="2463"/>
      <c r="I5" s="2463"/>
      <c r="J5" s="2463"/>
      <c r="K5" s="2463"/>
    </row>
    <row r="6" spans="1:11" ht="16.5">
      <c r="A6" s="2300" t="s">
        <v>656</v>
      </c>
      <c r="B6" s="2300">
        <f>SUM(G14:G23)</f>
        <v>0</v>
      </c>
      <c r="C6" s="2300" t="e">
        <f ca="1">IF(B6=G14,结果表!H108,ROUND(B6*10000/$B$1,0))</f>
        <v>#VALUE!</v>
      </c>
      <c r="D6" s="2300">
        <f>ROUND(B6*10000/$B$2,0)</f>
        <v>0</v>
      </c>
      <c r="E6" s="2462"/>
      <c r="F6" s="2463"/>
      <c r="G6" s="2463"/>
      <c r="H6" s="2463"/>
      <c r="I6" s="2463"/>
      <c r="J6" s="2463"/>
      <c r="K6" s="2463"/>
    </row>
    <row r="7" spans="1:11" ht="16.5">
      <c r="A7" s="2300" t="s">
        <v>664</v>
      </c>
      <c r="B7" s="2300">
        <f ca="1">SUM(H14:H23)</f>
        <v>5706</v>
      </c>
      <c r="C7" s="2300">
        <f ca="1">IF(B7=H14,结果表!H110,ROUND(B7*10000/$B$1,0))</f>
        <v>3226</v>
      </c>
      <c r="D7" s="2300">
        <f ca="1">ROUND(B7*10000/$B$2,0)</f>
        <v>342785</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结果表!L18</f>
        <v>1320.6699999999998</v>
      </c>
      <c r="C14" s="2306">
        <f>结果表!L19</f>
        <v>166.46</v>
      </c>
      <c r="D14" s="2306">
        <f ca="1">典型户型修正!S22</f>
        <v>5706</v>
      </c>
      <c r="E14" s="2306">
        <f ca="1">ROUND(D14*10000/B14,0)</f>
        <v>43205</v>
      </c>
      <c r="F14" s="2306">
        <f ca="1">ROUND(D14*10000/C14,0)</f>
        <v>342785</v>
      </c>
      <c r="G14" s="2306"/>
      <c r="H14" s="2306">
        <f ca="1">典型户型修正!S22</f>
        <v>5706</v>
      </c>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3416</v>
      </c>
      <c r="H1" s="1621" t="str">
        <f>IF(G1="现房","——","估价对象范围")</f>
        <v>——</v>
      </c>
      <c r="I1" s="1622" t="s">
        <v>3417</v>
      </c>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t="s">
        <v>3415</v>
      </c>
      <c r="D4" s="1626" t="s">
        <v>3461</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v>7</v>
      </c>
      <c r="D14" s="3312">
        <v>3</v>
      </c>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43" t="s">
        <v>2129</v>
      </c>
      <c r="F18" s="3344"/>
      <c r="G18" s="3344"/>
      <c r="H18" s="3344"/>
      <c r="I18" s="3344"/>
      <c r="K18" s="294" t="s">
        <v>1289</v>
      </c>
      <c r="L18" s="294">
        <f>IF(C1="",'数据-汇总表'!E3,SUMIF(项目类型,C1,'数据-汇总表'!E17:E26)+SUMIF(项目类型,C1,'数据-汇总表'!I17:I26))</f>
        <v>1320.6699999999998</v>
      </c>
      <c r="M18" s="294">
        <f>IF(C1="",'数据-汇总表'!E3,SUMIF(项目类型,C1,'数据-汇总表'!E17:E26))</f>
        <v>1320.6699999999998</v>
      </c>
    </row>
    <row r="19" spans="1:36" ht="15">
      <c r="A19" s="1630" t="s">
        <v>1290</v>
      </c>
      <c r="B19" s="1631" t="s">
        <v>1291</v>
      </c>
      <c r="C19" s="126">
        <f ca="1">SUMIF(INDIRECT("'"&amp;C4&amp;"'"&amp;"!A:A"),结果表!B19,INDIRECT("'"&amp;C4&amp;"'"&amp;"!B:B"))</f>
        <v>475.44659999999999</v>
      </c>
      <c r="D19" s="127">
        <f ca="1">SUMIF(INDIRECT("'"&amp;D4&amp;"'"&amp;"!A:A"),结果表!B19,INDIRECT("'"&amp;D4&amp;"'"&amp;"!B:B"))</f>
        <v>310.25810000000001</v>
      </c>
      <c r="E19" s="1630" t="s">
        <v>1292</v>
      </c>
      <c r="F19" s="1631" t="s">
        <v>1291</v>
      </c>
      <c r="G19" s="128">
        <f ca="1">ROUND(C19*$C$18+D19*$D$18,0)</f>
        <v>426</v>
      </c>
      <c r="H19" s="1632" t="s">
        <v>1293</v>
      </c>
      <c r="I19" s="121"/>
      <c r="K19" s="294" t="s">
        <v>1294</v>
      </c>
      <c r="L19" s="294">
        <f>IF(C1="",'数据-汇总表'!D3,SUMIF(项目类型,C1,'数据-汇总表'!D17:D26)+SUMIF(项目类型,C1,'数据-汇总表'!H17:H27))</f>
        <v>166.46</v>
      </c>
      <c r="M19" s="294">
        <f>IF(C1="",'数据-汇总表'!D3,SUMIF(项目类型,C1,'数据-汇总表'!D17:D26))</f>
        <v>166.46</v>
      </c>
    </row>
    <row r="20" spans="1:36" ht="15">
      <c r="A20" s="1633"/>
      <c r="B20" s="43" t="s">
        <v>1295</v>
      </c>
      <c r="C20" s="129">
        <f ca="1">SUMIF(INDIRECT("'"&amp;C4&amp;"'"&amp;"!A:A"),结果表!B20,INDIRECT("'"&amp;C4&amp;"'"&amp;"!B:B"))</f>
        <v>48127</v>
      </c>
      <c r="D20" s="130">
        <f ca="1">SUMIF(INDIRECT("'"&amp;D4&amp;"'"&amp;"!A:A"),结果表!B20,INDIRECT("'"&amp;D4&amp;"'"&amp;"!B:B"))</f>
        <v>31406</v>
      </c>
      <c r="E20" s="1633"/>
      <c r="F20" s="43" t="s">
        <v>1295</v>
      </c>
      <c r="G20" s="131">
        <f ca="1">ROUND(C20*$C$18+D20*$D$18,0)</f>
        <v>43111</v>
      </c>
      <c r="H20" s="760" t="s">
        <v>1296</v>
      </c>
      <c r="I20" s="121"/>
    </row>
    <row r="21" spans="1:36" ht="15" customHeight="1" thickBot="1">
      <c r="A21" s="449"/>
      <c r="B21" s="93" t="s">
        <v>1297</v>
      </c>
      <c r="C21" s="678">
        <f ca="1">ROUND(C19*10000/L19,0)</f>
        <v>28562</v>
      </c>
      <c r="D21" s="679">
        <f ca="1">ROUND(D19*10000/L19,0)</f>
        <v>18639</v>
      </c>
      <c r="E21" s="449"/>
      <c r="F21" s="93" t="s">
        <v>1297</v>
      </c>
      <c r="G21" s="132">
        <f ca="1">ROUND(G19*10000/L19,0)</f>
        <v>25592</v>
      </c>
      <c r="H21" s="1634" t="s">
        <v>1296</v>
      </c>
      <c r="I21" s="121"/>
    </row>
    <row r="22" spans="1:36" ht="15" thickBot="1">
      <c r="A22" s="1564" t="s">
        <v>1298</v>
      </c>
      <c r="B22" s="1635"/>
      <c r="C22" s="1636"/>
      <c r="D22" s="680">
        <f ca="1">IF(C19&lt;D19,D19/C19-1,C19/D19-1)</f>
        <v>0.53242284407723761</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426</v>
      </c>
      <c r="D32" s="1641" t="s">
        <v>3447</v>
      </c>
      <c r="E32" s="121"/>
      <c r="F32" s="121"/>
      <c r="G32" s="121"/>
      <c r="H32" s="121"/>
      <c r="I32" s="121"/>
    </row>
    <row r="33" spans="1:15" ht="15">
      <c r="A33" s="740" t="s">
        <v>1306</v>
      </c>
      <c r="B33" s="123"/>
      <c r="C33" s="1642" t="s">
        <v>3448</v>
      </c>
      <c r="D33" s="1643" t="s">
        <v>3410</v>
      </c>
      <c r="E33" s="1644" t="s">
        <v>1307</v>
      </c>
      <c r="F33" s="1645" t="str">
        <f>IF(D32="楼面单价","取值（单价）","取值（总价）")</f>
        <v>取值（总价）</v>
      </c>
      <c r="G33" s="121"/>
      <c r="H33" s="121"/>
      <c r="I33" s="121"/>
    </row>
    <row r="34" spans="1:15" ht="15">
      <c r="A34" s="1646"/>
      <c r="B34" s="1647" t="s">
        <v>1308</v>
      </c>
      <c r="C34" s="140">
        <f ca="1">IF(C33="自定义",F34,C32-C35)</f>
        <v>326</v>
      </c>
      <c r="D34" s="808">
        <f ca="1">IF(C33="自定义",ROUND(C34/C32,3),IF(C33="收益比率",SUMIF(INDIRECT("'"&amp;D33&amp;"'"&amp;"!b:b"),"土地收益比率",INDIRECT("'"&amp;D33&amp;"'"&amp;"!c:c")),SUMIF(INDIRECT("'"&amp;D33&amp;"'"&amp;"!b:b"),"土地成本比率",INDIRECT("'"&amp;D33&amp;"'"&amp;"!c:c"))))</f>
        <v>0.76500000000000001</v>
      </c>
      <c r="E34" s="1648" t="s">
        <v>1309</v>
      </c>
      <c r="F34" s="1243"/>
      <c r="G34" s="121"/>
      <c r="H34" s="121"/>
      <c r="I34" s="121"/>
    </row>
    <row r="35" spans="1:15" ht="15.75" thickBot="1">
      <c r="A35" s="1649"/>
      <c r="B35" s="1650" t="s">
        <v>1310</v>
      </c>
      <c r="C35" s="1090">
        <f ca="1">IF(C33="自定义",F35,ROUND(C32*D35,0))</f>
        <v>100</v>
      </c>
      <c r="D35" s="1091">
        <f ca="1">IF(C33="自定义",ROUND(C35/C32,3),IF(C33="收益比率",SUMIF(INDIRECT("'"&amp;D33&amp;"'"&amp;"!b:b"),"建筑物收益比率",INDIRECT("'"&amp;D33&amp;"'"&amp;"!c:c")),SUMIF(INDIRECT("'"&amp;D33&amp;"'"&amp;"!b:b"),"建筑物成本比率",INDIRECT("'"&amp;D33&amp;"'"&amp;"!c:c"))))</f>
        <v>0.23499999999999999</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426</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45577</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4" t="s">
        <v>1340</v>
      </c>
      <c r="L48" s="3254"/>
      <c r="M48" s="3257">
        <f ca="1">H101</f>
        <v>426</v>
      </c>
      <c r="N48" s="3257"/>
      <c r="O48" s="3257"/>
    </row>
    <row r="49" spans="1:35" ht="25.5" customHeight="1">
      <c r="A49" s="2152" t="s">
        <v>1341</v>
      </c>
      <c r="B49" s="3302" t="s">
        <v>1342</v>
      </c>
      <c r="C49" s="3302"/>
      <c r="D49" s="1478">
        <v>0</v>
      </c>
      <c r="E49" s="316" t="s">
        <v>1343</v>
      </c>
      <c r="F49" s="2233" t="s">
        <v>28</v>
      </c>
      <c r="G49" s="3285"/>
      <c r="H49" s="2134" t="s">
        <v>2132</v>
      </c>
      <c r="I49" s="2135"/>
      <c r="J49" s="2310">
        <v>4</v>
      </c>
      <c r="K49" s="3254" t="str">
        <f>IF(项目基本情况!E8="房地产抵押价值","房地产抵押价值","抵押担保权已注销时的房地产抵押价值")</f>
        <v>抵押担保权已注销时的房地产抵押价值</v>
      </c>
      <c r="L49" s="3254"/>
      <c r="M49" s="3257">
        <f ca="1">IF(项目基本情况!E8="房地产抵押价值",H107,H109)</f>
        <v>426</v>
      </c>
      <c r="N49" s="3257"/>
      <c r="O49" s="3257"/>
    </row>
    <row r="50" spans="1:35" ht="25.5" customHeight="1">
      <c r="A50" s="2338"/>
      <c r="B50" s="3302" t="s">
        <v>1344</v>
      </c>
      <c r="C50" s="3302"/>
      <c r="D50" s="2189"/>
      <c r="E50" s="323"/>
      <c r="F50" s="2233"/>
      <c r="G50" s="3286"/>
      <c r="H50" s="2136" t="s">
        <v>2133</v>
      </c>
      <c r="I50" s="2135"/>
      <c r="J50" s="3253" t="s">
        <v>1345</v>
      </c>
      <c r="K50" s="3253"/>
      <c r="L50" s="3253"/>
      <c r="M50" s="3253"/>
      <c r="N50" s="3253"/>
      <c r="O50" s="3253"/>
    </row>
    <row r="51" spans="1:35" ht="20.45" customHeight="1">
      <c r="A51" s="2339"/>
      <c r="B51" s="3302" t="s">
        <v>1346</v>
      </c>
      <c r="C51" s="3302"/>
      <c r="D51" s="1024"/>
      <c r="E51" s="319"/>
      <c r="F51" s="2233"/>
      <c r="G51" s="3287"/>
      <c r="H51" s="2136" t="s">
        <v>2134</v>
      </c>
      <c r="I51" s="2135"/>
      <c r="J51" s="2311" t="s">
        <v>1347</v>
      </c>
      <c r="K51" s="3254" t="s">
        <v>1348</v>
      </c>
      <c r="L51" s="3254"/>
      <c r="M51" s="2311" t="s">
        <v>1349</v>
      </c>
      <c r="N51" s="2311" t="s">
        <v>1350</v>
      </c>
      <c r="O51" s="2311" t="s">
        <v>1351</v>
      </c>
    </row>
    <row r="52" spans="1:35" ht="24" customHeight="1">
      <c r="A52" s="2153" t="s">
        <v>1352</v>
      </c>
      <c r="B52" s="3302" t="s">
        <v>1353</v>
      </c>
      <c r="C52" s="3302"/>
      <c r="D52" s="1024">
        <f ca="1">ROUND(D45*'数据-取费表'!B41/(1+'数据-取费表'!C42),0)</f>
        <v>23</v>
      </c>
      <c r="E52" s="1256" t="s">
        <v>1354</v>
      </c>
      <c r="F52" s="2340">
        <f>'数据-取费表'!B41</f>
        <v>5.6000000000000001E-2</v>
      </c>
      <c r="G52" s="2341"/>
      <c r="H52" s="2331"/>
      <c r="I52" s="1669"/>
      <c r="J52" s="2310">
        <v>1</v>
      </c>
      <c r="K52" s="3279" t="s">
        <v>1355</v>
      </c>
      <c r="L52" s="3279"/>
      <c r="M52" s="2312" t="b">
        <f>D48</f>
        <v>0</v>
      </c>
      <c r="N52" s="2310" t="str">
        <f>E48</f>
        <v>销售额×税（费）率</v>
      </c>
      <c r="O52" s="2313">
        <f>F48</f>
        <v>5.6000000000000001E-2</v>
      </c>
    </row>
    <row r="53" spans="1:35" ht="12" customHeight="1">
      <c r="A53" s="2153" t="s">
        <v>1356</v>
      </c>
      <c r="B53" s="3303" t="s">
        <v>2289</v>
      </c>
      <c r="C53" s="3304"/>
      <c r="D53" s="1024">
        <f ca="1">ROUND(D45*'数据-取费表'!B41/(1+'数据-取费表'!C42),0)</f>
        <v>23</v>
      </c>
      <c r="E53" s="1256" t="s">
        <v>1354</v>
      </c>
      <c r="F53" s="2340">
        <f>'数据-取费表'!B41</f>
        <v>5.6000000000000001E-2</v>
      </c>
      <c r="G53" s="2341"/>
      <c r="H53" s="2331"/>
      <c r="I53" s="1669"/>
      <c r="J53" s="2310">
        <v>2</v>
      </c>
      <c r="K53" s="3279" t="s">
        <v>1357</v>
      </c>
      <c r="L53" s="3279"/>
      <c r="M53" s="2312">
        <f t="shared" ref="M53:O54" ca="1" si="0">D55</f>
        <v>0</v>
      </c>
      <c r="N53" s="2310" t="str">
        <f t="shared" si="0"/>
        <v>销售额×税（费）率</v>
      </c>
      <c r="O53" s="2313" t="str">
        <f t="shared" si="0"/>
        <v>免征</v>
      </c>
    </row>
    <row r="54" spans="1:35" ht="12" customHeight="1">
      <c r="A54" s="2153" t="s">
        <v>1358</v>
      </c>
      <c r="B54" s="3303" t="s">
        <v>2290</v>
      </c>
      <c r="C54" s="3304"/>
      <c r="D54" s="1024">
        <f ca="1">C68</f>
        <v>23</v>
      </c>
      <c r="E54" s="319" t="s">
        <v>1359</v>
      </c>
      <c r="F54" s="2340">
        <f>'数据-取费表'!B41</f>
        <v>5.6000000000000001E-2</v>
      </c>
      <c r="G54" s="2341"/>
      <c r="H54" s="2342"/>
      <c r="I54" s="1669"/>
      <c r="J54" s="2310">
        <v>3</v>
      </c>
      <c r="K54" s="3279" t="s">
        <v>1360</v>
      </c>
      <c r="L54" s="3279"/>
      <c r="M54" s="2312">
        <f t="shared" ca="1" si="0"/>
        <v>242</v>
      </c>
      <c r="N54" s="2310" t="str">
        <f t="shared" si="0"/>
        <v>增值额×税（费）率</v>
      </c>
      <c r="O54" s="2314" t="str">
        <f t="shared" si="0"/>
        <v>免征</v>
      </c>
    </row>
    <row r="55" spans="1:35" ht="24" customHeight="1">
      <c r="A55" s="3339" t="s">
        <v>1361</v>
      </c>
      <c r="B55" s="3317"/>
      <c r="C55" s="3317"/>
      <c r="D55" s="12">
        <f ca="1">IF(H55="个人住宅",0,ROUND(D45*I55,0))</f>
        <v>0</v>
      </c>
      <c r="E55" s="1256" t="s">
        <v>1362</v>
      </c>
      <c r="F55" s="2340" t="str">
        <f>IF(H55="正常",I55,"免征")</f>
        <v>免征</v>
      </c>
      <c r="G55" s="2341"/>
      <c r="H55" s="2337"/>
      <c r="I55" s="157">
        <f>'数据-取费表'!B49</f>
        <v>5.0000000000000001E-4</v>
      </c>
      <c r="J55" s="2310">
        <f>IF(H59="非个人房产","",4)</f>
        <v>4</v>
      </c>
      <c r="K55" s="3279" t="str">
        <f>IF(H59="非个人房产","——","个人所得税")</f>
        <v>个人所得税</v>
      </c>
      <c r="L55" s="3279"/>
      <c r="M55" s="2315">
        <f ca="1">D59</f>
        <v>4</v>
      </c>
      <c r="N55" s="1883" t="str">
        <f>E59</f>
        <v>差额计税</v>
      </c>
      <c r="O55" s="2316">
        <f>F59</f>
        <v>0.01</v>
      </c>
    </row>
    <row r="56" spans="1:35" ht="24.75">
      <c r="A56" s="3339" t="s">
        <v>1363</v>
      </c>
      <c r="B56" s="3317"/>
      <c r="C56" s="3317"/>
      <c r="D56" s="12">
        <f ca="1">IF(H56="个人住宅",D57,D58)</f>
        <v>242</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246</v>
      </c>
      <c r="O57" s="2320"/>
      <c r="P57" s="2465">
        <f ca="1">N57/M49</f>
        <v>0.57746478873239437</v>
      </c>
    </row>
    <row r="58" spans="1:35" ht="24.75">
      <c r="A58" s="2153" t="s">
        <v>1352</v>
      </c>
      <c r="B58" s="3303" t="s">
        <v>1369</v>
      </c>
      <c r="C58" s="3302"/>
      <c r="D58" s="12">
        <f ca="1">IF(H58="转让取得",C81,C97)</f>
        <v>242</v>
      </c>
      <c r="E58" s="1256" t="s">
        <v>1364</v>
      </c>
      <c r="F58" s="294" t="s">
        <v>28</v>
      </c>
      <c r="G58" s="2341"/>
      <c r="H58" s="2344"/>
      <c r="I58" s="1670"/>
      <c r="J58" s="3279"/>
      <c r="K58" s="3279"/>
      <c r="L58" s="2317" t="s">
        <v>1370</v>
      </c>
      <c r="M58" s="2321"/>
      <c r="N58" s="2322" t="str">
        <f ca="1">NUMBERSTRING(INT(N57*10000),2)&amp;"元整"</f>
        <v>贰佰肆拾陆万元整</v>
      </c>
      <c r="O58" s="2323"/>
    </row>
    <row r="59" spans="1:35" ht="24.75" thickBot="1">
      <c r="A59" s="3283" t="s">
        <v>1371</v>
      </c>
      <c r="B59" s="3284"/>
      <c r="C59" s="3284"/>
      <c r="D59" s="2346">
        <f ca="1">IF(H59="非个人房产","——",IF(H59="个人住宅（满五唯一有凭证）",0,IF(H59="个人其他（无凭证）",ROUND(D45*F59,0),ROUND(C67*F59,0))))</f>
        <v>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2135</v>
      </c>
      <c r="J59" s="3281">
        <f>J57+1</f>
        <v>6</v>
      </c>
      <c r="K59" s="3279" t="s">
        <v>1372</v>
      </c>
      <c r="L59" s="2310" t="s">
        <v>1368</v>
      </c>
      <c r="M59" s="2324"/>
      <c r="N59" s="2325">
        <f ca="1">M49-N57</f>
        <v>180</v>
      </c>
      <c r="O59" s="2326"/>
    </row>
    <row r="60" spans="1:35" ht="12" customHeight="1">
      <c r="A60" s="1671"/>
      <c r="B60" s="646"/>
      <c r="C60" s="646"/>
      <c r="D60" s="646"/>
      <c r="E60" s="1466"/>
      <c r="F60" s="1670"/>
      <c r="G60" s="1670"/>
      <c r="H60" s="151"/>
      <c r="I60" s="121"/>
      <c r="J60" s="3282"/>
      <c r="K60" s="3279"/>
      <c r="L60" s="2317" t="s">
        <v>1370</v>
      </c>
      <c r="M60" s="2321"/>
      <c r="N60" s="2322" t="str">
        <f ca="1">NUMBERSTRING(INT(N59*10000),2)&amp;"元整"</f>
        <v>壹佰捌拾万元整</v>
      </c>
      <c r="O60" s="2323"/>
    </row>
    <row r="61" spans="1:35" ht="13.5" thickBot="1">
      <c r="A61" s="3338" t="s">
        <v>1373</v>
      </c>
      <c r="B61" s="3338"/>
      <c r="C61" s="3338"/>
      <c r="D61" s="3338"/>
      <c r="E61" s="3338"/>
      <c r="F61" s="1670"/>
      <c r="G61" s="1670"/>
      <c r="H61" s="151"/>
      <c r="I61" s="121"/>
      <c r="J61" s="2310">
        <f>J59+1</f>
        <v>7</v>
      </c>
      <c r="K61" s="3279" t="s">
        <v>1374</v>
      </c>
      <c r="L61" s="3279"/>
      <c r="M61" s="2327"/>
      <c r="N61" s="2328">
        <f ca="1">ROUND(N59*10000/'数据-汇总表'!E3,0)</f>
        <v>1363</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f ca="1">ROUND((C64+C65)/(1+'数据-取费表'!C42),0)</f>
        <v>406</v>
      </c>
      <c r="D63" s="159"/>
      <c r="E63" s="160"/>
      <c r="F63" s="1670"/>
      <c r="G63" s="1670"/>
      <c r="H63" s="151"/>
      <c r="I63" s="121"/>
      <c r="J63" s="3262" t="s">
        <v>1379</v>
      </c>
      <c r="K63" s="1245" t="s">
        <v>1380</v>
      </c>
      <c r="L63" s="1245">
        <f ca="1">IF(M49&gt;10000,M49*0.5%,IF(AND(M49&gt;1000,M49&lt;=10000),M49*1%,IF(AND(M49&gt;100,M49&lt;=1000),M49*3%,IF(AND(M49&gt;10,M49&lt;=100),M49*5%,M49*8%))))</f>
        <v>12.78</v>
      </c>
      <c r="M63" s="294">
        <f ca="1">ROUND(L63,1)</f>
        <v>12.8</v>
      </c>
      <c r="N63" s="2330"/>
      <c r="Z63" s="1623"/>
      <c r="AI63" s="1561"/>
    </row>
    <row r="64" spans="1:35" ht="14.25" customHeight="1">
      <c r="A64" s="161" t="s">
        <v>325</v>
      </c>
      <c r="B64" s="162" t="s">
        <v>1381</v>
      </c>
      <c r="C64" s="2351">
        <f ca="1">D45</f>
        <v>426</v>
      </c>
      <c r="D64" s="162" t="s">
        <v>26</v>
      </c>
      <c r="E64" s="164"/>
      <c r="F64" s="1670"/>
      <c r="G64" s="1670"/>
      <c r="H64" s="151"/>
      <c r="I64" s="121"/>
      <c r="J64" s="3262"/>
      <c r="K64" s="1245" t="s">
        <v>1382</v>
      </c>
      <c r="L64" s="1245">
        <f ca="1">IF(M49&gt;2000,M49*0.5%,IF(AND(M49&gt;1000,M49&lt;=2000),M49*0.6%,IF(AND(M49&gt;500,M49&lt;=1000),M49*0.7%,IF(AND(M49&gt;200,M49&lt;=500),M49*0.8%,IF(AND(M49&gt;100,M49&lt;=200),M49*0.9%,IF(AND(M49&gt;50,M49&lt;=100),M49*1%,IF(AND(M49&gt;20,M49&lt;=50),M49*1.5%,IF(AND(M49&gt;10,M49&lt;=20),M49*2%,IF(AND(M49&gt;1,M49&lt;=10),M49*2.5%)))))))))</f>
        <v>3.4079999999999999</v>
      </c>
      <c r="M64" s="294">
        <f t="shared" ref="M64:M65" ca="1" si="1">ROUND(L64,1)</f>
        <v>3.4</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f ca="1">IF(M49&gt;1000,M49*0.1%,IF(AND(M49&gt;500,M49&lt;=1000),M49*0.5%,IF(AND(M49&gt;50,M49&lt;=500),M49*1%,IF(AND(M49&gt;1,M49&lt;=50),M49*1.5%))))</f>
        <v>4.26</v>
      </c>
      <c r="M65" s="294">
        <f t="shared" ca="1" si="1"/>
        <v>4.3</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f ca="1">M49*0.5%</f>
        <v>2.13</v>
      </c>
      <c r="M66" s="294">
        <f ca="1">IF(L66&gt;0.5,0.5,ROUND(L66,0))</f>
        <v>0.5</v>
      </c>
      <c r="N66" s="2331" t="s">
        <v>1388</v>
      </c>
      <c r="Z66" s="1623"/>
      <c r="AI66" s="1561"/>
    </row>
    <row r="67" spans="1:35" ht="14.25" customHeight="1">
      <c r="A67" s="165" t="s">
        <v>328</v>
      </c>
      <c r="B67" s="166" t="s">
        <v>1389</v>
      </c>
      <c r="C67" s="2354">
        <f ca="1">C63-C66</f>
        <v>406</v>
      </c>
      <c r="D67" s="162" t="s">
        <v>26</v>
      </c>
      <c r="E67" s="164"/>
      <c r="F67" s="1670"/>
      <c r="G67" s="1670"/>
      <c r="H67" s="151"/>
      <c r="I67" s="121"/>
      <c r="J67" s="3262"/>
      <c r="K67" s="1245" t="s">
        <v>1390</v>
      </c>
      <c r="L67" s="1245">
        <f ca="1">IF(M49&gt;=10000,(8.25+(M49-10000)*0.01%),IF(AND(M49&gt;=8000,M49&lt;10000),(7.85+(M49-8000)*0.02%),IF(AND(M49&gt;=5000,M49&lt;8000),(6.65+(M49-5000)*0.04%),IF(AND(M49&gt;=2000,M49&lt;5000),(4.25+(PM49-2000)*0.08%),IF(AND(M49&gt;=1000,M49&lt;2000),(2.75+(M49-1000)*0.15%),IF(AND(M49&gt;=100,M49&lt;1000),(0.5+(M49-100)*0.25%),IF(AND(M49&gt;0,M49&lt;100),M49*0.5%)))))))</f>
        <v>1.3149999999999999</v>
      </c>
      <c r="M67" s="294">
        <f ca="1">ROUND(L67*0.9,1)</f>
        <v>1.2</v>
      </c>
      <c r="N67" s="2330"/>
      <c r="Z67" s="1623"/>
      <c r="AI67" s="1561"/>
    </row>
    <row r="68" spans="1:35" ht="14.25" customHeight="1" thickBot="1">
      <c r="A68" s="168" t="s">
        <v>329</v>
      </c>
      <c r="B68" s="169" t="s">
        <v>1391</v>
      </c>
      <c r="C68" s="2355">
        <f ca="1">IF(C67&lt;=0,0,ROUND(C67*D68,0))</f>
        <v>23</v>
      </c>
      <c r="D68" s="2356">
        <f>'数据-取费表'!B41</f>
        <v>5.6000000000000001E-2</v>
      </c>
      <c r="E68" s="170"/>
      <c r="F68" s="1670"/>
      <c r="G68" s="1670"/>
      <c r="H68" s="151"/>
      <c r="I68" s="121"/>
      <c r="J68" s="3262"/>
      <c r="K68" s="1245" t="s">
        <v>1392</v>
      </c>
      <c r="L68" s="1245">
        <f ca="1">IF(M49&gt;10000,M49*0.5%,IF(AND(M49&gt;5000,M49&lt;=10000),M49*1%,IF(AND(M49&gt;1000,M49&lt;=5000),M49*2%,IF(AND(M49&gt;200,M49&lt;=1000),M49*3%,M49*5%))))</f>
        <v>12.78</v>
      </c>
      <c r="M68" s="294">
        <f ca="1">ROUND(L68,1)</f>
        <v>12.8</v>
      </c>
      <c r="N68" s="2330"/>
      <c r="Z68" s="1623"/>
      <c r="AI68" s="1561"/>
    </row>
    <row r="69" spans="1:35" ht="16.5" customHeight="1">
      <c r="A69" s="1672"/>
      <c r="B69" s="1673"/>
      <c r="C69" s="1674"/>
      <c r="D69" s="1675"/>
      <c r="E69" s="1676"/>
      <c r="F69" s="1466"/>
      <c r="G69" s="1466"/>
      <c r="H69" s="1467"/>
      <c r="I69" s="646"/>
      <c r="J69" s="3262"/>
      <c r="K69" s="1245" t="s">
        <v>1393</v>
      </c>
      <c r="L69" s="1245"/>
      <c r="M69" s="294">
        <f ca="1">ROUND(SUM(M63:M68),0)</f>
        <v>35</v>
      </c>
      <c r="N69" s="2332">
        <f ca="1">M69/M49</f>
        <v>8.2159624413145546E-2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406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6.000000000000001E-3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404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242</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406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2127</v>
      </c>
      <c r="H90" s="326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6.000000000000001E-3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404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242</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t="str">
        <f>C4</f>
        <v>比较法-办公</v>
      </c>
      <c r="D101" s="2372" t="str">
        <f>D4</f>
        <v>收益法 (元)</v>
      </c>
      <c r="E101" s="3258" t="s">
        <v>1431</v>
      </c>
      <c r="F101" s="3259"/>
      <c r="G101" s="1687" t="s">
        <v>1432</v>
      </c>
      <c r="H101" s="2381">
        <f ca="1">H118</f>
        <v>426</v>
      </c>
      <c r="I101" s="121"/>
    </row>
    <row r="102" spans="1:35" ht="18.75" customHeight="1">
      <c r="A102" s="3290" t="s">
        <v>1433</v>
      </c>
      <c r="B102" s="2370" t="s">
        <v>1432</v>
      </c>
      <c r="C102" s="2371">
        <f ca="1">IF(D32="楼面单价",ROUND(C19,0),C19)</f>
        <v>475.44659999999999</v>
      </c>
      <c r="D102" s="2372">
        <f ca="1">IF(D32="楼面单价",ROUND(D19,0),D19)</f>
        <v>310.25810000000001</v>
      </c>
      <c r="E102" s="3258"/>
      <c r="F102" s="3259"/>
      <c r="G102" s="1687" t="s">
        <v>1434</v>
      </c>
      <c r="H102" s="2341">
        <f ca="1">I118</f>
        <v>3226</v>
      </c>
      <c r="I102" s="121"/>
    </row>
    <row r="103" spans="1:35" ht="42.75" customHeight="1">
      <c r="A103" s="3290"/>
      <c r="B103" s="2370" t="s">
        <v>1434</v>
      </c>
      <c r="C103" s="2373">
        <f ca="1">C20</f>
        <v>48127</v>
      </c>
      <c r="D103" s="2374">
        <f ca="1">D20</f>
        <v>31406</v>
      </c>
      <c r="E103" s="3251" t="s">
        <v>1435</v>
      </c>
      <c r="F103" s="3252"/>
      <c r="G103" s="1688" t="s">
        <v>1436</v>
      </c>
      <c r="H103" s="2381">
        <f>IF(D36="正常操作",H104+H105+H106,H105+H106)</f>
        <v>0</v>
      </c>
      <c r="I103" s="121"/>
    </row>
    <row r="104" spans="1:35" ht="18.75" customHeight="1">
      <c r="A104" s="3290" t="s">
        <v>1437</v>
      </c>
      <c r="B104" s="2375" t="s">
        <v>1432</v>
      </c>
      <c r="C104" s="2376">
        <f ca="1">H118</f>
        <v>426</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f ca="1">I118</f>
        <v>3226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v>
      </c>
      <c r="F107" s="3259"/>
      <c r="G107" s="1687" t="s">
        <v>1432</v>
      </c>
      <c r="H107" s="2381" t="str">
        <f>IF(E107="——","——",H101-H103)</f>
        <v>——</v>
      </c>
      <c r="I107" s="121"/>
    </row>
    <row r="108" spans="1:35" ht="18.75" customHeight="1">
      <c r="A108" s="121"/>
      <c r="B108" s="121"/>
      <c r="C108" s="121"/>
      <c r="D108" s="121"/>
      <c r="E108" s="3291"/>
      <c r="F108" s="3259"/>
      <c r="G108" s="1687" t="s">
        <v>1434</v>
      </c>
      <c r="H108" s="2341" t="e">
        <f ca="1">IF(H107=H101,H102,ROUND(H107*10000/'数据-汇总表'!E3,0))</f>
        <v>#VALUE!</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3.抵押担保权已注销时的房地产抵押价值</v>
      </c>
      <c r="F109" s="3259"/>
      <c r="G109" s="1687" t="s">
        <v>1432</v>
      </c>
      <c r="H109" s="2384">
        <f ca="1">IF(E109="——","——",H101-H105-H106)</f>
        <v>426</v>
      </c>
      <c r="I109" s="121"/>
    </row>
    <row r="110" spans="1:35" ht="18.75" customHeight="1">
      <c r="A110" s="121"/>
      <c r="B110" s="121"/>
      <c r="C110" s="121"/>
      <c r="D110" s="121"/>
      <c r="E110" s="3291"/>
      <c r="F110" s="3259"/>
      <c r="G110" s="1687" t="s">
        <v>1434</v>
      </c>
      <c r="H110" s="2341">
        <f ca="1">IF(H109="——","——",ROUND(H109*10000/'数据-汇总表'!E3,0))</f>
        <v>3226</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3451</v>
      </c>
      <c r="G116" s="3308"/>
      <c r="H116" s="3266" t="s">
        <v>1447</v>
      </c>
      <c r="I116" s="3266"/>
    </row>
    <row r="117" spans="1:27" ht="18.75" customHeight="1">
      <c r="A117" s="3266"/>
      <c r="B117" s="3271"/>
      <c r="C117" s="3271"/>
      <c r="D117" s="2150" t="s">
        <v>1448</v>
      </c>
      <c r="E117" s="2150" t="s">
        <v>1449</v>
      </c>
      <c r="F117" s="2150" t="s">
        <v>1448</v>
      </c>
      <c r="G117" s="2150" t="s">
        <v>1450</v>
      </c>
      <c r="H117" s="2150" t="s">
        <v>1448</v>
      </c>
      <c r="I117" s="2150" t="s">
        <v>1450</v>
      </c>
    </row>
    <row r="118" spans="1:27" ht="24.75" customHeight="1">
      <c r="A118" s="2386" t="str">
        <f>项目基本情况!S2</f>
        <v>北京市房地产</v>
      </c>
      <c r="B118" s="2150">
        <f>M18</f>
        <v>1320.6699999999998</v>
      </c>
      <c r="C118" s="2150">
        <f>M19</f>
        <v>166.46</v>
      </c>
      <c r="D118" s="2150">
        <f ca="1">ROUND(IF(D32="总价",C34,E118*B118/10000),0)</f>
        <v>326</v>
      </c>
      <c r="E118" s="2150">
        <f ca="1">ROUND(IF(C33="自定义",IF(D32="楼面单价",C34,D118*10000/B118),I118-G118),0)</f>
        <v>2469</v>
      </c>
      <c r="F118" s="2150">
        <f ca="1">ROUND(IF(D32="总价",C35,G118*B118/10000),0)</f>
        <v>100</v>
      </c>
      <c r="G118" s="2150">
        <f ca="1">ROUND(IF(D32="楼面单价",C35,F118*10000/B118),0)</f>
        <v>757</v>
      </c>
      <c r="H118" s="2150">
        <f ca="1">ROUND(IF(D32="总价",C32,I118*B118/10000),0)</f>
        <v>426</v>
      </c>
      <c r="I118" s="2150">
        <f ca="1">ROUND(IF(D32="楼面单价",C32,H118*10000/B118),0)</f>
        <v>3226</v>
      </c>
    </row>
    <row r="119" spans="1:27" ht="18.75" customHeight="1">
      <c r="A119" s="3266" t="s">
        <v>1451</v>
      </c>
      <c r="B119" s="3266"/>
      <c r="C119" s="3266"/>
      <c r="D119" s="3272" t="str">
        <f ca="1">NUMBERSTRING(INT(D118*10000),2)&amp;"元整"</f>
        <v>叁佰贰拾陆万元整</v>
      </c>
      <c r="E119" s="3273"/>
      <c r="F119" s="3272" t="str">
        <f ca="1">NUMBERSTRING(INT(F118*10000),2)&amp;"元整"</f>
        <v>壹佰万元整</v>
      </c>
      <c r="G119" s="3273"/>
      <c r="H119" s="3272" t="str">
        <f ca="1">NUMBERSTRING(INT(H118*10000),2)&amp;"元整"</f>
        <v>肆佰贰拾陆万元整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1451</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
      </c>
      <c r="B122" s="3278"/>
      <c r="C122" s="3278"/>
      <c r="D122" s="3267" t="str">
        <f>H107</f>
        <v>——</v>
      </c>
      <c r="E122" s="3268"/>
      <c r="F122" s="3268"/>
      <c r="G122" s="3268"/>
      <c r="H122" s="3268"/>
      <c r="I122" s="3269"/>
      <c r="AA122" s="684"/>
    </row>
    <row r="123" spans="1:27" ht="18.75" customHeight="1">
      <c r="A123" s="3266" t="s">
        <v>1451</v>
      </c>
      <c r="B123" s="3266"/>
      <c r="C123" s="3266"/>
      <c r="D123" s="3272" t="e">
        <f>NUMBERSTRING(INT(D122*10000),2)&amp;"元整"</f>
        <v>#VALUE!</v>
      </c>
      <c r="E123" s="3274"/>
      <c r="F123" s="3274"/>
      <c r="G123" s="3274"/>
      <c r="H123" s="3274"/>
      <c r="I123" s="3273"/>
      <c r="AA123" s="684"/>
    </row>
    <row r="124" spans="1:27" ht="18.75" customHeight="1">
      <c r="A124" s="3278" t="str">
        <f>IF(项目基本情况!B9="房地产市场价值","",MID(E109,3,LEN(E109)-2))</f>
        <v>抵押担保权已注销时的房地产抵押价值</v>
      </c>
      <c r="B124" s="3278"/>
      <c r="C124" s="3278"/>
      <c r="D124" s="3267">
        <f ca="1">H109</f>
        <v>426</v>
      </c>
      <c r="E124" s="3268"/>
      <c r="F124" s="3268"/>
      <c r="G124" s="3268"/>
      <c r="H124" s="3268"/>
      <c r="I124" s="3269"/>
      <c r="AA124" s="684"/>
    </row>
    <row r="125" spans="1:27" ht="18.75" customHeight="1">
      <c r="A125" s="3266" t="s">
        <v>1451</v>
      </c>
      <c r="B125" s="3266"/>
      <c r="C125" s="3266"/>
      <c r="D125" s="3272" t="str">
        <f ca="1">NUMBERSTRING(INT(D124*10000),2)&amp;"元整"</f>
        <v>肆佰贰拾陆万元整</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1451</v>
      </c>
      <c r="B127" s="3266"/>
      <c r="C127" s="3266"/>
      <c r="D127" s="3272" t="e">
        <f>NUMBERSTRING(INT(D126*10000),2)&amp;"元整"</f>
        <v>#VALUE!</v>
      </c>
      <c r="E127" s="3274"/>
      <c r="F127" s="3274"/>
      <c r="G127" s="3274"/>
      <c r="H127" s="3274"/>
      <c r="I127" s="3273"/>
      <c r="AA127" s="684"/>
    </row>
    <row r="128" spans="1:27" ht="21.75" customHeight="1">
      <c r="A128" s="3275" t="s">
        <v>1452</v>
      </c>
      <c r="B128" s="3275"/>
      <c r="C128" s="3275"/>
      <c r="D128" s="3275"/>
      <c r="E128" s="3275"/>
      <c r="F128" s="3275"/>
      <c r="G128" s="3275"/>
      <c r="H128" s="3275"/>
      <c r="I128" s="3275"/>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4"/>
      <c r="C1" s="190"/>
      <c r="D1" s="190"/>
      <c r="E1" s="190"/>
      <c r="F1" s="190"/>
      <c r="G1" s="1062">
        <f>MATCH(B1,'数据-取费表'!A6:A16,0)+5</f>
        <v>8</v>
      </c>
    </row>
    <row r="2" spans="1:9" s="192" customFormat="1" ht="18" customHeight="1">
      <c r="A2" s="193" t="s">
        <v>1461</v>
      </c>
      <c r="B2" s="194">
        <f ca="1">IF(D2="——",C52,C52-E2)</f>
        <v>846</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6406</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C6+C7+C8</f>
        <v>0</v>
      </c>
      <c r="D5" s="203" t="s">
        <v>1468</v>
      </c>
      <c r="E5" s="204" t="s">
        <v>1469</v>
      </c>
      <c r="F5" s="204" t="s">
        <v>1470</v>
      </c>
      <c r="G5" s="205"/>
    </row>
    <row r="6" spans="1:9" s="206" customFormat="1" ht="13.5" customHeight="1">
      <c r="A6" s="732" t="s">
        <v>1471</v>
      </c>
      <c r="B6" s="207" t="s">
        <v>1472</v>
      </c>
      <c r="C6" s="208"/>
      <c r="D6" s="209"/>
      <c r="E6" s="210"/>
      <c r="F6" s="210"/>
      <c r="G6" s="211"/>
    </row>
    <row r="7" spans="1:9" s="206" customFormat="1" ht="13.5" customHeight="1">
      <c r="A7" s="732" t="s">
        <v>1473</v>
      </c>
      <c r="B7" s="207" t="s">
        <v>1474</v>
      </c>
      <c r="C7" s="212">
        <f>ROUND(C6*F7,0)</f>
        <v>0</v>
      </c>
      <c r="D7" s="212"/>
      <c r="E7" s="210"/>
      <c r="F7" s="213">
        <f>IF(项目基本情况!B8="出让",0,'数据-取费表'!B48+'数据-取费表'!B49)</f>
        <v>3.0499999999999999E-2</v>
      </c>
      <c r="G7" s="211"/>
    </row>
    <row r="8" spans="1:9" s="215" customFormat="1">
      <c r="A8" s="732" t="s">
        <v>1475</v>
      </c>
      <c r="B8" s="207" t="s">
        <v>1476</v>
      </c>
      <c r="C8" s="212">
        <f>IF(G8="已包含在土地购买价格中","0",IF(B1="",'数据-取费表'!B29,IF(G9="全部缴纳",C9+C10,H9)))</f>
        <v>0</v>
      </c>
      <c r="D8" s="214"/>
      <c r="E8" s="212"/>
      <c r="F8" s="213"/>
      <c r="G8" s="1714"/>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160</v>
      </c>
      <c r="F9" s="213"/>
      <c r="G9" s="1715"/>
      <c r="H9" s="1070"/>
      <c r="I9" s="1716" t="s">
        <v>1478</v>
      </c>
    </row>
    <row r="10" spans="1:9" s="206" customFormat="1" ht="13.5" customHeight="1">
      <c r="A10" s="733" t="s">
        <v>356</v>
      </c>
      <c r="B10" s="216" t="s">
        <v>1479</v>
      </c>
      <c r="C10" s="217">
        <f ca="1">ROUND(D10*E10/10000,0)</f>
        <v>26</v>
      </c>
      <c r="D10" s="795">
        <f ca="1">IF(B1="",'数据-汇总表'!E6,IF(INDIRECT("'数据-取费表'!c"&amp;$G$1)="住宅",INDIRECT("'数据-取费表'!s"&amp;$G$1),INDIRECT("'数据-取费表'!k"&amp;$G$1)+INDIRECT("'数据-取费表'!s"&amp;$G$1)))</f>
        <v>1320.6699999999998</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26</v>
      </c>
      <c r="D19" s="204">
        <f ca="1">D9+D10</f>
        <v>1320.6699999999998</v>
      </c>
      <c r="E19" s="203">
        <f>'数据-取费表'!B31</f>
        <v>200</v>
      </c>
      <c r="F19" s="223"/>
      <c r="G19" s="1714"/>
    </row>
    <row r="20" spans="1:7" s="206" customFormat="1" ht="13.5" customHeight="1">
      <c r="A20" s="247" t="s">
        <v>1492</v>
      </c>
      <c r="B20" s="202" t="s">
        <v>1493</v>
      </c>
      <c r="C20" s="224">
        <f ca="1">ROUND((C5+C19)*F20,0)</f>
        <v>1</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2</v>
      </c>
      <c r="D22" s="227">
        <f ca="1">C26</f>
        <v>6.9999999999999999E-4</v>
      </c>
      <c r="E22" s="228" t="s">
        <v>1497</v>
      </c>
      <c r="F22" s="229">
        <f ca="1">'数据-取费表'!B40</f>
        <v>3.3500000000000002E-2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0</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2</v>
      </c>
      <c r="D24" s="230"/>
      <c r="E24" s="230"/>
      <c r="F24" s="231"/>
      <c r="G24" s="232" t="s">
        <v>1506</v>
      </c>
    </row>
    <row r="25" spans="1:7" s="206" customFormat="1" ht="24">
      <c r="A25" s="734" t="s">
        <v>1507</v>
      </c>
      <c r="B25" s="207" t="s">
        <v>1508</v>
      </c>
      <c r="C25" s="1042">
        <f ca="1">ROUND(IF('数据-取费表'!B22&lt;=1,C20*F22*'数据-取费表'!B23/2,C20*(POWER((1+F22),'数据-取费表'!B23/2)-1)),0)</f>
        <v>0</v>
      </c>
      <c r="D25" s="230"/>
      <c r="E25" s="233"/>
      <c r="F25" s="231"/>
      <c r="G25" s="234" t="s">
        <v>1509</v>
      </c>
    </row>
    <row r="26" spans="1:7" s="206" customFormat="1">
      <c r="A26" s="734" t="s">
        <v>350</v>
      </c>
      <c r="B26" s="207" t="s">
        <v>1510</v>
      </c>
      <c r="C26" s="230">
        <f ca="1">ROUND(IF('数据-取费表'!B22&lt;=1,F21*F22*'数据-取费表'!B23/2,F21*(POWER((1+F22),'数据-取费表'!B23/2)-1)),4)</f>
        <v>6.9999999999999999E-4</v>
      </c>
      <c r="D26" s="230"/>
      <c r="E26" s="233"/>
      <c r="F26" s="231"/>
      <c r="G26" s="235"/>
    </row>
    <row r="27" spans="1:7" s="206" customFormat="1" ht="24.75">
      <c r="A27" s="247" t="s">
        <v>1511</v>
      </c>
      <c r="B27" s="236" t="s">
        <v>1512</v>
      </c>
      <c r="C27" s="237">
        <f ca="1">C28</f>
        <v>4</v>
      </c>
      <c r="D27" s="227">
        <f ca="1">C29</f>
        <v>3.0000000000000001E-3</v>
      </c>
      <c r="E27" s="228" t="s">
        <v>1513</v>
      </c>
      <c r="F27" s="238">
        <f ca="1">IF(B1="",'数据-取费表'!Q16,INDIRECT("'数据-取费表'!q"&amp;$G$1))</f>
        <v>0.15</v>
      </c>
      <c r="G27" s="239" t="s">
        <v>1514</v>
      </c>
    </row>
    <row r="28" spans="1:7" s="206" customFormat="1" ht="13.5" customHeight="1">
      <c r="A28" s="734" t="s">
        <v>346</v>
      </c>
      <c r="B28" s="240" t="s">
        <v>1515</v>
      </c>
      <c r="C28" s="241">
        <f ca="1">ROUND((C5+C19+C20)*F27*'数据-取费表'!B21/'数据-取费表'!B20,0)</f>
        <v>4</v>
      </c>
      <c r="D28" s="227"/>
      <c r="E28" s="228"/>
      <c r="F28" s="238"/>
      <c r="G28" s="239"/>
    </row>
    <row r="29" spans="1:7" s="206" customFormat="1" ht="13.5" customHeight="1">
      <c r="A29" s="734" t="s">
        <v>347</v>
      </c>
      <c r="B29" s="240" t="s">
        <v>1516</v>
      </c>
      <c r="C29" s="230">
        <f ca="1">ROUND(C21*F27*'数据-取费表'!B21/'数据-取费表'!B20,4)</f>
        <v>3.0000000000000001E-3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36</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774</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713</v>
      </c>
      <c r="D34" s="209"/>
      <c r="E34" s="212"/>
      <c r="F34" s="249">
        <f ca="1">IF('数据-取费表'!B24=0,1,IF(B1="",'数据-取费表'!N16,INDIRECT("'数据-取费表'!n"&amp;$G$1)))</f>
        <v>1</v>
      </c>
      <c r="G34" s="211" t="s">
        <v>1525</v>
      </c>
    </row>
    <row r="35" spans="1:7" ht="13.5" customHeight="1">
      <c r="A35" s="734" t="s">
        <v>351</v>
      </c>
      <c r="B35" s="207" t="s">
        <v>1526</v>
      </c>
      <c r="C35" s="212">
        <f ca="1">ROUND(C34*F35,0)</f>
        <v>21</v>
      </c>
      <c r="D35" s="212"/>
      <c r="E35" s="212"/>
      <c r="F35" s="251">
        <f>'数据-取费表'!B33</f>
        <v>0.03</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26</v>
      </c>
      <c r="D37" s="209">
        <f ca="1">D19</f>
        <v>1320.6699999999998</v>
      </c>
      <c r="E37" s="241">
        <f>'数据-取费表'!B35</f>
        <v>200</v>
      </c>
      <c r="F37" s="251"/>
      <c r="G37" s="253" t="s">
        <v>1531</v>
      </c>
    </row>
    <row r="38" spans="1:7" ht="13.5" customHeight="1">
      <c r="A38" s="734" t="s">
        <v>354</v>
      </c>
      <c r="B38" s="207" t="s">
        <v>1532</v>
      </c>
      <c r="C38" s="212">
        <f ca="1">ROUND(C34*F38,0)</f>
        <v>14</v>
      </c>
      <c r="D38" s="212"/>
      <c r="E38" s="212"/>
      <c r="F38" s="251">
        <f>'数据-取费表'!B36</f>
        <v>0.02</v>
      </c>
      <c r="G38" s="211" t="s">
        <v>1527</v>
      </c>
    </row>
    <row r="39" spans="1:7" s="206" customFormat="1" ht="13.5" customHeight="1">
      <c r="A39" s="247" t="s">
        <v>1533</v>
      </c>
      <c r="B39" s="202" t="s">
        <v>1534</v>
      </c>
      <c r="C39" s="224">
        <f ca="1">ROUND(C33*F20,0)</f>
        <v>15</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27</v>
      </c>
      <c r="D41" s="227">
        <f ca="1">C44</f>
        <v>6.9999999999999999E-4</v>
      </c>
      <c r="E41" s="228" t="s">
        <v>1538</v>
      </c>
      <c r="F41" s="229">
        <f ca="1">F22</f>
        <v>3.3500000000000002E-2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26</v>
      </c>
      <c r="D42" s="230"/>
      <c r="E42" s="230"/>
      <c r="F42" s="231"/>
      <c r="G42" s="3345" t="s">
        <v>1543</v>
      </c>
    </row>
    <row r="43" spans="1:7" ht="13.5" customHeight="1">
      <c r="A43" s="734" t="s">
        <v>347</v>
      </c>
      <c r="B43" s="207" t="s">
        <v>1544</v>
      </c>
      <c r="C43" s="230">
        <f ca="1">ROUND(IF('数据-取费表'!B22&lt;=1,C39*F22*'数据-取费表'!B21/2,C39*(POWER((1+F22),'数据-取费表'!B21/2)-1)),0)</f>
        <v>1</v>
      </c>
      <c r="D43" s="230"/>
      <c r="E43" s="230"/>
      <c r="F43" s="231"/>
      <c r="G43" s="3346"/>
    </row>
    <row r="44" spans="1:7" ht="13.5" customHeight="1">
      <c r="A44" s="734" t="s">
        <v>348</v>
      </c>
      <c r="B44" s="207" t="s">
        <v>1545</v>
      </c>
      <c r="C44" s="230">
        <f ca="1">ROUND(IF('数据-取费表'!B22&lt;=1,C40*F22*'数据-取费表'!B21/2,C40*(POWER((1+F22),'数据-取费表'!B21/2)-1)),4)</f>
        <v>6.9999999999999999E-4</v>
      </c>
      <c r="D44" s="230"/>
      <c r="E44" s="230"/>
      <c r="F44" s="231"/>
      <c r="G44" s="3347"/>
    </row>
    <row r="45" spans="1:7" s="206" customFormat="1" ht="13.5" customHeight="1">
      <c r="A45" s="247" t="s">
        <v>1546</v>
      </c>
      <c r="B45" s="236" t="s">
        <v>1512</v>
      </c>
      <c r="C45" s="237">
        <f ca="1">C46</f>
        <v>118</v>
      </c>
      <c r="D45" s="227">
        <f ca="1">C47</f>
        <v>3.0000000000000001E-3</v>
      </c>
      <c r="E45" s="228" t="s">
        <v>1538</v>
      </c>
      <c r="F45" s="238">
        <f ca="1">F27</f>
        <v>0.15</v>
      </c>
      <c r="G45" s="239" t="s">
        <v>1547</v>
      </c>
    </row>
    <row r="46" spans="1:7" s="206" customFormat="1" ht="13.5" customHeight="1">
      <c r="A46" s="734" t="s">
        <v>346</v>
      </c>
      <c r="B46" s="240" t="s">
        <v>1548</v>
      </c>
      <c r="C46" s="241">
        <f ca="1">ROUND((C33+C39)*F27,0)</f>
        <v>118</v>
      </c>
      <c r="D46" s="255"/>
      <c r="E46" s="228"/>
      <c r="F46" s="238"/>
      <c r="G46" s="239"/>
    </row>
    <row r="47" spans="1:7" s="206" customFormat="1" ht="13.5" customHeight="1">
      <c r="A47" s="734"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1012</v>
      </c>
      <c r="D49" s="224"/>
      <c r="E49" s="224"/>
      <c r="F49" s="256"/>
      <c r="G49" s="226" t="s">
        <v>1553</v>
      </c>
    </row>
    <row r="50" spans="1:7" s="250" customFormat="1" ht="24">
      <c r="A50" s="247" t="s">
        <v>1554</v>
      </c>
      <c r="B50" s="202" t="s">
        <v>1555</v>
      </c>
      <c r="C50" s="224"/>
      <c r="D50" s="224"/>
      <c r="E50" s="224"/>
      <c r="F50" s="256">
        <f>IF('数据-取费表'!B24=0,'数据-取费表'!N16,1)</f>
        <v>0.8</v>
      </c>
      <c r="G50" s="239" t="s">
        <v>1556</v>
      </c>
    </row>
    <row r="51" spans="1:7" ht="16.5" customHeight="1">
      <c r="A51" s="247" t="s">
        <v>1557</v>
      </c>
      <c r="B51" s="202" t="s">
        <v>1558</v>
      </c>
      <c r="C51" s="224">
        <f ca="1">ROUND(C49*F50,0)</f>
        <v>810</v>
      </c>
      <c r="D51" s="224"/>
      <c r="E51" s="224"/>
      <c r="F51" s="256"/>
      <c r="G51" s="226" t="s">
        <v>1559</v>
      </c>
    </row>
    <row r="52" spans="1:7" s="200" customFormat="1" ht="16.5" thickBot="1">
      <c r="A52" s="257" t="s">
        <v>1560</v>
      </c>
      <c r="B52" s="258"/>
      <c r="C52" s="259">
        <f ca="1">C31+C51</f>
        <v>846</v>
      </c>
      <c r="D52" s="258"/>
      <c r="E52" s="258"/>
      <c r="F52" s="258"/>
      <c r="G52" s="260"/>
    </row>
    <row r="55" spans="1:7" ht="15">
      <c r="B55" s="262" t="s">
        <v>1561</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4"/>
      <c r="C1" s="1717" t="s">
        <v>1562</v>
      </c>
      <c r="D1" s="190"/>
      <c r="E1" s="190"/>
      <c r="F1" s="190"/>
      <c r="G1" s="1062">
        <f>MATCH(B1,'数据-取费表'!A6:A16,0)+5</f>
        <v>8</v>
      </c>
      <c r="H1" s="998" t="str">
        <f>IF(ISERROR(FIND("住宅",B1)),"非住宅","住宅")</f>
        <v>非住宅</v>
      </c>
    </row>
    <row r="2" spans="1:8" s="192" customFormat="1" ht="18" customHeight="1">
      <c r="A2" s="193" t="s">
        <v>1461</v>
      </c>
      <c r="B2" s="3123">
        <f ca="1">ROUND(IF(D2="——",C52/10000,C52/10000-E2),4)</f>
        <v>882.19989999999996</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6680</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264134</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264134</v>
      </c>
      <c r="D8" s="214"/>
      <c r="E8" s="212"/>
      <c r="F8" s="213"/>
      <c r="G8" s="1714"/>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1479</v>
      </c>
      <c r="C10" s="217">
        <f ca="1">ROUND(D10*E10,0)</f>
        <v>264134</v>
      </c>
      <c r="D10" s="795">
        <f ca="1">IF(B1="",'数据-汇总表'!E6,IF(INDIRECT("'数据-取费表'!c"&amp;$G$1)="住宅",INDIRECT("'数据-取费表'!s"&amp;$G$1),INDIRECT("'数据-取费表'!k"&amp;$G$1)+INDIRECT("'数据-取费表'!s"&amp;$G$1)))</f>
        <v>1320.6699999999998</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264134</v>
      </c>
      <c r="D19" s="204">
        <f ca="1">D9+D10</f>
        <v>1320.6699999999998</v>
      </c>
      <c r="E19" s="203">
        <f>'数据-取费表'!B31</f>
        <v>200</v>
      </c>
      <c r="F19" s="223"/>
      <c r="G19" s="1714"/>
    </row>
    <row r="20" spans="1:7" s="206" customFormat="1" ht="13.5" customHeight="1">
      <c r="A20" s="247" t="s">
        <v>1573</v>
      </c>
      <c r="B20" s="202" t="s">
        <v>1574</v>
      </c>
      <c r="C20" s="224">
        <f ca="1">ROUND((C5+C19)*F20,0)</f>
        <v>10565</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36340</v>
      </c>
      <c r="D22" s="227">
        <f ca="1">C26</f>
        <v>6.9999999999999999E-4</v>
      </c>
      <c r="E22" s="228" t="s">
        <v>1578</v>
      </c>
      <c r="F22" s="229">
        <f ca="1">'数据-取费表'!B40</f>
        <v>3.3500000000000002E-2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17993</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17993</v>
      </c>
      <c r="D24" s="230"/>
      <c r="E24" s="230"/>
      <c r="F24" s="231"/>
      <c r="G24" s="232" t="s">
        <v>1585</v>
      </c>
    </row>
    <row r="25" spans="1:7" s="206" customFormat="1" ht="24">
      <c r="A25" s="734" t="s">
        <v>1475</v>
      </c>
      <c r="B25" s="207" t="s">
        <v>1586</v>
      </c>
      <c r="C25" s="230">
        <f ca="1">ROUND(IF('数据-取费表'!B22&lt;=1,C20*F22*'数据-取费表'!B22/2,C20*(POWER((1+F22),'数据-取费表'!B22/2)-1)),0)</f>
        <v>354</v>
      </c>
      <c r="D25" s="230"/>
      <c r="E25" s="233"/>
      <c r="F25" s="231"/>
      <c r="G25" s="234" t="s">
        <v>1587</v>
      </c>
    </row>
    <row r="26" spans="1:7" s="206" customFormat="1">
      <c r="A26" s="734" t="s">
        <v>350</v>
      </c>
      <c r="B26" s="207" t="s">
        <v>1510</v>
      </c>
      <c r="C26" s="230">
        <f ca="1">ROUND(IF('数据-取费表'!B22&lt;=1,F21*F22*'数据-取费表'!B22/2,F21*(POWER((1+F22),'数据-取费表'!B22/2)-1)),4)</f>
        <v>6.9999999999999999E-4</v>
      </c>
      <c r="D26" s="230"/>
      <c r="E26" s="233"/>
      <c r="F26" s="231"/>
      <c r="G26" s="235"/>
    </row>
    <row r="27" spans="1:7" s="206" customFormat="1" ht="24.75">
      <c r="A27" s="247" t="s">
        <v>1511</v>
      </c>
      <c r="B27" s="236" t="s">
        <v>1512</v>
      </c>
      <c r="C27" s="237">
        <f ca="1">C28</f>
        <v>80825</v>
      </c>
      <c r="D27" s="227">
        <f ca="1">C29</f>
        <v>3.0000000000000001E-3</v>
      </c>
      <c r="E27" s="228" t="s">
        <v>1513</v>
      </c>
      <c r="F27" s="238">
        <f ca="1">IF(B1="",'数据-取费表'!Q16,INDIRECT("'数据-取费表'!q"&amp;$G$1))</f>
        <v>0.15</v>
      </c>
      <c r="G27" s="239" t="s">
        <v>1514</v>
      </c>
    </row>
    <row r="28" spans="1:7" s="206" customFormat="1" ht="13.5" customHeight="1">
      <c r="A28" s="734" t="s">
        <v>346</v>
      </c>
      <c r="B28" s="240" t="s">
        <v>1515</v>
      </c>
      <c r="C28" s="241">
        <f ca="1">ROUND((C5+C19+C20)*F27,0)</f>
        <v>80825</v>
      </c>
      <c r="D28" s="227"/>
      <c r="E28" s="228"/>
      <c r="F28" s="238"/>
      <c r="G28" s="239"/>
    </row>
    <row r="29" spans="1:7" s="206" customFormat="1" ht="13.5" customHeight="1">
      <c r="A29" s="734"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710724</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7752333</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7131618</v>
      </c>
      <c r="D34" s="209"/>
      <c r="E34" s="212"/>
      <c r="F34" s="249"/>
      <c r="G34" s="211"/>
    </row>
    <row r="35" spans="1:7" ht="13.5" customHeight="1">
      <c r="A35" s="734" t="s">
        <v>351</v>
      </c>
      <c r="B35" s="207" t="s">
        <v>1526</v>
      </c>
      <c r="C35" s="212">
        <f ca="1">ROUND(C34*F35,0)</f>
        <v>213949</v>
      </c>
      <c r="D35" s="212"/>
      <c r="E35" s="212"/>
      <c r="F35" s="251">
        <f>'数据-取费表'!B33</f>
        <v>0.03</v>
      </c>
      <c r="G35" s="211" t="s">
        <v>1527</v>
      </c>
    </row>
    <row r="36" spans="1:7" ht="24">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264134</v>
      </c>
      <c r="D37" s="209">
        <f ca="1">D19</f>
        <v>1320.6699999999998</v>
      </c>
      <c r="E37" s="241">
        <f>'数据-取费表'!B35</f>
        <v>200</v>
      </c>
      <c r="F37" s="251"/>
      <c r="G37" s="253"/>
    </row>
    <row r="38" spans="1:7" ht="13.5" customHeight="1">
      <c r="A38" s="734" t="s">
        <v>354</v>
      </c>
      <c r="B38" s="207" t="s">
        <v>1532</v>
      </c>
      <c r="C38" s="212">
        <f ca="1">ROUND(C34*F38,0)</f>
        <v>142632</v>
      </c>
      <c r="D38" s="212"/>
      <c r="E38" s="212"/>
      <c r="F38" s="251">
        <f>'数据-取费表'!B36</f>
        <v>0.02</v>
      </c>
      <c r="G38" s="211" t="s">
        <v>1527</v>
      </c>
    </row>
    <row r="39" spans="1:7" s="206" customFormat="1" ht="13.5" customHeight="1">
      <c r="A39" s="247" t="s">
        <v>1533</v>
      </c>
      <c r="B39" s="202" t="s">
        <v>1534</v>
      </c>
      <c r="C39" s="224">
        <f ca="1">ROUND(C33*F20,0)</f>
        <v>155047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264897</v>
      </c>
      <c r="D41" s="227">
        <f ca="1">C44</f>
        <v>6.9999999999999999E-4</v>
      </c>
      <c r="E41" s="228" t="s">
        <v>1538</v>
      </c>
      <c r="F41" s="229">
        <f ca="1">F22</f>
        <v>3.3500000000000002E-2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259703</v>
      </c>
      <c r="D42" s="230"/>
      <c r="E42" s="230"/>
      <c r="F42" s="231"/>
      <c r="G42" s="3345" t="s">
        <v>1590</v>
      </c>
    </row>
    <row r="43" spans="1:7" ht="13.5" customHeight="1">
      <c r="A43" s="734" t="s">
        <v>347</v>
      </c>
      <c r="B43" s="207" t="s">
        <v>1544</v>
      </c>
      <c r="C43" s="230">
        <f ca="1">ROUND(IF('数据-取费表'!B22&lt;=1,C39*F22*'数据-取费表'!B20/2,C39*(POWER((1+F22),'数据-取费表'!B20/2)-1)),0)</f>
        <v>5194</v>
      </c>
      <c r="D43" s="230"/>
      <c r="E43" s="230"/>
      <c r="F43" s="231"/>
      <c r="G43" s="3346"/>
    </row>
    <row r="44" spans="1:7" ht="13.5" customHeight="1">
      <c r="A44" s="734" t="s">
        <v>348</v>
      </c>
      <c r="B44" s="207" t="s">
        <v>1545</v>
      </c>
      <c r="C44" s="230">
        <f ca="1">ROUND(IF('数据-取费表'!B22&lt;=1,C40*F22*'数据-取费表'!B20/2,C40*(POWER((1+F22),'数据-取费表'!B20/2)-1)),4)</f>
        <v>6.9999999999999999E-4</v>
      </c>
      <c r="D44" s="230"/>
      <c r="E44" s="230"/>
      <c r="F44" s="231"/>
      <c r="G44" s="3347"/>
    </row>
    <row r="45" spans="1:7" s="206" customFormat="1" ht="13.5" customHeight="1">
      <c r="A45" s="247" t="s">
        <v>1546</v>
      </c>
      <c r="B45" s="236" t="s">
        <v>1512</v>
      </c>
      <c r="C45" s="237">
        <f ca="1">C46</f>
        <v>1186107</v>
      </c>
      <c r="D45" s="227">
        <f ca="1">C47</f>
        <v>3.0000000000000001E-3</v>
      </c>
      <c r="E45" s="228" t="s">
        <v>1538</v>
      </c>
      <c r="F45" s="238">
        <f ca="1">F27</f>
        <v>0.15</v>
      </c>
      <c r="G45" s="239" t="s">
        <v>1547</v>
      </c>
    </row>
    <row r="46" spans="1:7" s="206" customFormat="1" ht="13.5" customHeight="1">
      <c r="A46" s="734" t="s">
        <v>346</v>
      </c>
      <c r="B46" s="240" t="s">
        <v>1548</v>
      </c>
      <c r="C46" s="241">
        <f ca="1">ROUND((C33+C39)*F27,0)</f>
        <v>1186107</v>
      </c>
      <c r="D46" s="255"/>
      <c r="E46" s="228"/>
      <c r="F46" s="238"/>
      <c r="G46" s="239"/>
    </row>
    <row r="47" spans="1:7" s="206" customFormat="1" ht="13.5" customHeight="1">
      <c r="A47" s="734"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10139094</v>
      </c>
      <c r="D49" s="224"/>
      <c r="E49" s="224"/>
      <c r="F49" s="256"/>
      <c r="G49" s="226" t="s">
        <v>1553</v>
      </c>
    </row>
    <row r="50" spans="1:7" s="250" customFormat="1">
      <c r="A50" s="247" t="s">
        <v>1554</v>
      </c>
      <c r="B50" s="202" t="s">
        <v>1555</v>
      </c>
      <c r="C50" s="224"/>
      <c r="D50" s="224"/>
      <c r="E50" s="224"/>
      <c r="F50" s="256">
        <f>IF('数据-取费表'!B24=0,'数据-取费表'!N16,1)</f>
        <v>0.8</v>
      </c>
      <c r="G50" s="239"/>
    </row>
    <row r="51" spans="1:7" ht="16.5" customHeight="1">
      <c r="A51" s="247" t="s">
        <v>1557</v>
      </c>
      <c r="B51" s="202" t="s">
        <v>1592</v>
      </c>
      <c r="C51" s="224">
        <f ca="1">ROUND(C49*F50,0)</f>
        <v>8111275</v>
      </c>
      <c r="D51" s="224"/>
      <c r="E51" s="224"/>
      <c r="F51" s="256"/>
      <c r="G51" s="226" t="s">
        <v>1559</v>
      </c>
    </row>
    <row r="52" spans="1:7" s="200" customFormat="1" ht="16.5" thickBot="1">
      <c r="A52" s="257" t="s">
        <v>1560</v>
      </c>
      <c r="B52" s="258"/>
      <c r="C52" s="259">
        <f ca="1">C31+C51</f>
        <v>8821999</v>
      </c>
      <c r="D52" s="258"/>
      <c r="E52" s="258"/>
      <c r="F52" s="258"/>
      <c r="G52" s="260"/>
    </row>
    <row r="55" spans="1:7" ht="15">
      <c r="B55" s="262" t="s">
        <v>1561</v>
      </c>
      <c r="C55" s="263"/>
    </row>
    <row r="56" spans="1:7">
      <c r="B56" s="265" t="s">
        <v>802</v>
      </c>
      <c r="C56" s="267">
        <f ca="1">1-C57</f>
        <v>8.0999999999999961E-2</v>
      </c>
    </row>
    <row r="57" spans="1:7">
      <c r="B57" s="265" t="s">
        <v>803</v>
      </c>
      <c r="C57" s="266">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1593</v>
      </c>
      <c r="B1" s="121"/>
      <c r="C1" s="1110"/>
      <c r="D1" s="1109"/>
      <c r="E1" s="2568"/>
      <c r="F1" s="2568"/>
      <c r="G1" s="2449"/>
      <c r="H1" s="2568"/>
      <c r="I1" s="2568"/>
      <c r="J1" s="2568"/>
      <c r="K1" s="2569">
        <f>MATCH(C1,'数据-取费表'!A6:A16,0)+5</f>
        <v>8</v>
      </c>
    </row>
    <row r="2" spans="1:33" ht="18" customHeight="1">
      <c r="A2" s="193" t="s">
        <v>1461</v>
      </c>
      <c r="B2" s="196">
        <f ca="1">C32</f>
        <v>-30</v>
      </c>
      <c r="C2" s="268" t="s">
        <v>1594</v>
      </c>
      <c r="D2" s="268"/>
      <c r="E2" s="2568"/>
      <c r="F2" s="2568"/>
      <c r="G2" s="2568"/>
      <c r="H2" s="2568"/>
      <c r="I2" s="2568"/>
      <c r="J2" s="2568"/>
      <c r="K2" s="2568"/>
    </row>
    <row r="3" spans="1:33" ht="18" customHeight="1" thickBot="1">
      <c r="A3" s="195" t="s">
        <v>1463</v>
      </c>
      <c r="B3" s="196">
        <f ca="1">ROUND(B2*10000/IF(C1="",'数据-汇总表'!E3,INDIRECT("'数据-取费表'!K"&amp;$K$1)),0)</f>
        <v>-227</v>
      </c>
      <c r="C3" s="268" t="s">
        <v>1595</v>
      </c>
      <c r="D3" s="268"/>
      <c r="E3" s="2568"/>
      <c r="F3" s="2568"/>
      <c r="G3" s="2568"/>
      <c r="H3" s="2568"/>
      <c r="I3" s="2568"/>
      <c r="J3" s="2568"/>
      <c r="K3" s="2568"/>
    </row>
    <row r="4" spans="1:33" s="739" customFormat="1" ht="16.5" customHeight="1">
      <c r="A4" s="736" t="s">
        <v>1596</v>
      </c>
      <c r="B4" s="737"/>
      <c r="C4" s="775">
        <f>SUM(C8:K8)</f>
        <v>0</v>
      </c>
      <c r="D4" s="737"/>
      <c r="E4" s="737"/>
      <c r="F4" s="737"/>
      <c r="G4" s="737"/>
      <c r="H4" s="737"/>
      <c r="I4" s="737"/>
      <c r="J4" s="737"/>
      <c r="K4" s="738"/>
    </row>
    <row r="5" spans="1:33" s="743" customFormat="1" ht="15">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0.03</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1320.6699999999998</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0.02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1320.6699999999998</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26</v>
      </c>
      <c r="D18" s="796"/>
      <c r="E18" s="21"/>
      <c r="F18" s="756"/>
      <c r="G18" s="1720"/>
      <c r="H18" s="1106"/>
      <c r="I18" s="1721"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1626</v>
      </c>
      <c r="C20" s="21">
        <f ca="1">ROUND(D20*E20/10000,0)</f>
        <v>26</v>
      </c>
      <c r="D20" s="796">
        <f ca="1">IF(C1="",'数据-汇总表'!E6,IF(INDIRECT("'数据-取费表'!c"&amp;$K$1)="住宅",INDIRECT("'数据-取费表'!s"&amp;$K$1),INDIRECT("'数据-取费表'!k"&amp;$K$1)+INDIRECT("'数据-取费表'!s"&amp;$K$1)))</f>
        <v>1320.6699999999998</v>
      </c>
      <c r="E20" s="21">
        <f>'数据-取费表'!B28</f>
        <v>200</v>
      </c>
      <c r="F20" s="756"/>
      <c r="G20" s="12"/>
      <c r="H20" s="761"/>
      <c r="I20" s="761"/>
      <c r="J20" s="761"/>
      <c r="K20" s="762"/>
    </row>
    <row r="21" spans="1:33" s="755" customFormat="1" ht="13.5" customHeight="1">
      <c r="A21" s="744" t="s">
        <v>357</v>
      </c>
      <c r="B21" s="765" t="s">
        <v>1627</v>
      </c>
      <c r="C21" s="766">
        <f ca="1">C16+C17+C18</f>
        <v>26</v>
      </c>
      <c r="D21" s="767"/>
      <c r="E21" s="273"/>
      <c r="F21" s="273"/>
      <c r="G21" s="123" t="s">
        <v>1628</v>
      </c>
      <c r="H21" s="759"/>
      <c r="I21" s="759"/>
      <c r="J21" s="759"/>
      <c r="K21" s="760"/>
    </row>
    <row r="22" spans="1:33" s="755" customFormat="1" ht="13.5" customHeight="1">
      <c r="A22" s="744" t="s">
        <v>1600</v>
      </c>
      <c r="B22" s="765" t="s">
        <v>1629</v>
      </c>
      <c r="C22" s="766">
        <f ca="1">ROUND(C21*F22,0)</f>
        <v>1</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4</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4</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5.6000000000000001E-2</v>
      </c>
      <c r="G31" s="788" t="s">
        <v>1647</v>
      </c>
      <c r="H31" s="789"/>
      <c r="I31" s="789"/>
      <c r="J31" s="789"/>
      <c r="K31" s="790"/>
    </row>
    <row r="32" spans="1:33" s="751" customFormat="1" ht="13.5" customHeight="1" thickBot="1">
      <c r="A32" s="449" t="s">
        <v>1648</v>
      </c>
      <c r="B32" s="779"/>
      <c r="C32" s="780">
        <f ca="1">ROUND((C4-C21-C22-C23-C25-C28-C31)/(1+C24+D25+D28),0)</f>
        <v>-30</v>
      </c>
      <c r="D32" s="779"/>
      <c r="E32" s="779"/>
      <c r="F32" s="779"/>
      <c r="G32" s="781" t="s">
        <v>1649</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E17" sqref="E1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5.75" style="347" customWidth="1"/>
    <col min="6" max="6" width="12.25" style="347" customWidth="1"/>
    <col min="7" max="7" width="15.625" style="347" customWidth="1"/>
    <col min="8" max="8" width="12.25" style="347" customWidth="1"/>
    <col min="9" max="9" width="15.37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8" t="s">
        <v>1809</v>
      </c>
      <c r="C1" s="1141" t="s">
        <v>1661</v>
      </c>
      <c r="D1" s="1142" t="s">
        <v>3458</v>
      </c>
      <c r="E1" s="3132" t="s">
        <v>3457</v>
      </c>
      <c r="F1" s="1735" t="s">
        <v>3418</v>
      </c>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f>IF(E1="项目模式",IF(C2="——",ROUND(C50*D3/10000,0),ROUND(C50*D3/10000,0)-D2),IF(E1="单套模式",IF(C2="——",ROUND(C50*D3/10000,4),ROUND(C50*D3/10000,4)-D2)))</f>
        <v>475.44659999999999</v>
      </c>
      <c r="C2" s="1737" t="s">
        <v>43</v>
      </c>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48127</v>
      </c>
      <c r="C3" s="344" t="s">
        <v>1767</v>
      </c>
      <c r="D3" s="343">
        <f>IF(D1="",'数据-汇总表'!E3,SUMIF('数据-汇总表'!$C19:$C33,D1,'数据-汇总表'!$E19:$E33))</f>
        <v>98.79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1768</v>
      </c>
      <c r="B4" s="346"/>
      <c r="C4" s="3370" t="s">
        <v>1769</v>
      </c>
      <c r="D4" s="3371"/>
      <c r="E4" s="3372" t="s">
        <v>1770</v>
      </c>
      <c r="F4" s="3373"/>
      <c r="G4" s="3370" t="s">
        <v>1771</v>
      </c>
      <c r="H4" s="3371"/>
      <c r="I4" s="3370" t="s">
        <v>1772</v>
      </c>
      <c r="J4" s="3371"/>
      <c r="K4" s="537" t="s">
        <v>1773</v>
      </c>
      <c r="L4" s="2487"/>
      <c r="M4" s="2488"/>
      <c r="N4" s="2488"/>
      <c r="O4" s="2488"/>
      <c r="P4" s="3374" t="s">
        <v>1774</v>
      </c>
      <c r="Q4" s="3375"/>
      <c r="R4" s="3353" t="s">
        <v>1770</v>
      </c>
      <c r="S4" s="3354"/>
      <c r="T4" s="3353" t="s">
        <v>1771</v>
      </c>
      <c r="U4" s="3354"/>
      <c r="V4" s="3382" t="s">
        <v>1772</v>
      </c>
      <c r="W4" s="3382"/>
      <c r="X4" s="1809"/>
      <c r="Y4" s="3353" t="s">
        <v>1774</v>
      </c>
      <c r="Z4" s="3354"/>
      <c r="AA4" s="3348" t="s">
        <v>1770</v>
      </c>
      <c r="AB4" s="3348" t="s">
        <v>1771</v>
      </c>
      <c r="AC4" s="3367" t="s">
        <v>1772</v>
      </c>
    </row>
    <row r="5" spans="1:29" ht="15">
      <c r="A5" s="348"/>
      <c r="B5" s="349"/>
      <c r="C5" s="3359" t="s">
        <v>3430</v>
      </c>
      <c r="D5" s="3360"/>
      <c r="E5" s="3357" t="s">
        <v>3431</v>
      </c>
      <c r="F5" s="3358"/>
      <c r="G5" s="3359" t="s">
        <v>3464</v>
      </c>
      <c r="H5" s="3360"/>
      <c r="I5" s="3363" t="s">
        <v>3465</v>
      </c>
      <c r="J5" s="3360"/>
      <c r="K5" s="537"/>
      <c r="L5" s="2487"/>
      <c r="M5" s="2488"/>
      <c r="N5" s="2488"/>
      <c r="O5" s="2488"/>
      <c r="P5" s="3376"/>
      <c r="Q5" s="3377"/>
      <c r="R5" s="3355"/>
      <c r="S5" s="3356"/>
      <c r="T5" s="3355"/>
      <c r="U5" s="3356"/>
      <c r="V5" s="3383"/>
      <c r="W5" s="3383"/>
      <c r="X5" s="1265"/>
      <c r="Y5" s="3355"/>
      <c r="Z5" s="3356"/>
      <c r="AA5" s="3349"/>
      <c r="AB5" s="3349"/>
      <c r="AC5" s="3368"/>
    </row>
    <row r="6" spans="1:29" ht="15.75" thickBot="1">
      <c r="A6" s="350"/>
      <c r="B6" s="351"/>
      <c r="C6" s="3361" t="s">
        <v>1676</v>
      </c>
      <c r="D6" s="3362"/>
      <c r="E6" s="3364" t="s">
        <v>1676</v>
      </c>
      <c r="F6" s="3365"/>
      <c r="G6" s="3361" t="s">
        <v>1676</v>
      </c>
      <c r="H6" s="3362"/>
      <c r="I6" s="3361" t="s">
        <v>1676</v>
      </c>
      <c r="J6" s="3362"/>
      <c r="K6" s="537" t="s">
        <v>1677</v>
      </c>
      <c r="L6" s="2487"/>
      <c r="M6" s="2488"/>
      <c r="N6" s="2488"/>
      <c r="O6" s="2488"/>
      <c r="P6" s="3378"/>
      <c r="Q6" s="3379"/>
      <c r="R6" s="3355"/>
      <c r="S6" s="3356"/>
      <c r="T6" s="3380"/>
      <c r="U6" s="3381"/>
      <c r="V6" s="3383"/>
      <c r="W6" s="3383"/>
      <c r="X6" s="1265"/>
      <c r="Y6" s="3380"/>
      <c r="Z6" s="3381"/>
      <c r="AA6" s="3350"/>
      <c r="AB6" s="3350"/>
      <c r="AC6" s="3369"/>
    </row>
    <row r="7" spans="1:29" s="102" customFormat="1" ht="15.75" thickBot="1">
      <c r="A7" s="352" t="s">
        <v>1678</v>
      </c>
      <c r="B7" s="353"/>
      <c r="C7" s="354">
        <f>'数据-取费表'!B2</f>
        <v>45577</v>
      </c>
      <c r="D7" s="355">
        <v>100</v>
      </c>
      <c r="E7" s="356">
        <f>C7</f>
        <v>45577</v>
      </c>
      <c r="F7" s="357">
        <f>SUMIF(59:59,YEAR(E7)&amp;"-"&amp;MONTH(E7),60:60)</f>
        <v>100</v>
      </c>
      <c r="G7" s="356">
        <f>E7</f>
        <v>45577</v>
      </c>
      <c r="H7" s="355">
        <f>SUMIF(59:59,YEAR(G7)&amp;"-"&amp;MONTH(G7),60:60)</f>
        <v>100</v>
      </c>
      <c r="I7" s="356">
        <v>45505</v>
      </c>
      <c r="J7" s="355">
        <f>SUMIF(59:59,YEAR(I7)&amp;"-"&amp;MONTH(I7),60:60)</f>
        <v>100</v>
      </c>
      <c r="K7" s="38"/>
      <c r="L7" s="2489"/>
      <c r="M7" s="2440"/>
      <c r="N7" s="2440"/>
      <c r="O7" s="2440"/>
      <c r="P7" s="3384" t="s">
        <v>1679</v>
      </c>
      <c r="Q7" s="3385"/>
      <c r="R7" s="664" t="s">
        <v>14</v>
      </c>
      <c r="S7" s="665">
        <f t="shared" ref="S7:S15" si="0">F7</f>
        <v>100</v>
      </c>
      <c r="T7" s="664" t="s">
        <v>14</v>
      </c>
      <c r="U7" s="665">
        <f t="shared" ref="U7:U15" si="1">H7</f>
        <v>100</v>
      </c>
      <c r="V7" s="664" t="s">
        <v>14</v>
      </c>
      <c r="W7" s="665">
        <f t="shared" ref="W7:W15" si="2">J7</f>
        <v>100</v>
      </c>
      <c r="X7" s="666"/>
      <c r="Y7" s="3351" t="s">
        <v>1679</v>
      </c>
      <c r="Z7" s="3352"/>
      <c r="AA7" s="50">
        <f>D7/F7</f>
        <v>1</v>
      </c>
      <c r="AB7" s="50">
        <f>D7/H7</f>
        <v>1</v>
      </c>
      <c r="AC7" s="802">
        <f>D7/J7</f>
        <v>1</v>
      </c>
    </row>
    <row r="8" spans="1:29" s="102" customFormat="1" ht="15.75" thickBot="1">
      <c r="A8" s="352" t="s">
        <v>1680</v>
      </c>
      <c r="B8" s="353"/>
      <c r="C8" s="358" t="s">
        <v>3434</v>
      </c>
      <c r="D8" s="355">
        <v>100</v>
      </c>
      <c r="E8" s="358" t="s">
        <v>3419</v>
      </c>
      <c r="F8" s="357">
        <f>SUMIF(62:62,E8,63:63)-SUMIF(62:62,C8,63:63)+100</f>
        <v>102</v>
      </c>
      <c r="G8" s="358" t="s">
        <v>3419</v>
      </c>
      <c r="H8" s="355">
        <f>SUMIF(62:62,G8,63:63)-SUMIF(62:62,C8,63:63)+100</f>
        <v>102</v>
      </c>
      <c r="I8" s="358" t="s">
        <v>3434</v>
      </c>
      <c r="J8" s="355">
        <f>SUMIF(62:62,I8,63:63)-SUMIF(62:62,C8,63:63)+100</f>
        <v>100</v>
      </c>
      <c r="K8" s="38"/>
      <c r="L8" s="2489"/>
      <c r="M8" s="2440"/>
      <c r="N8" s="2440"/>
      <c r="O8" s="2440"/>
      <c r="P8" s="3384" t="s">
        <v>1682</v>
      </c>
      <c r="Q8" s="3352"/>
      <c r="R8" s="664" t="s">
        <v>14</v>
      </c>
      <c r="S8" s="665">
        <f t="shared" si="0"/>
        <v>102</v>
      </c>
      <c r="T8" s="664" t="s">
        <v>14</v>
      </c>
      <c r="U8" s="665">
        <f t="shared" si="1"/>
        <v>102</v>
      </c>
      <c r="V8" s="664" t="s">
        <v>14</v>
      </c>
      <c r="W8" s="665">
        <f t="shared" si="2"/>
        <v>100</v>
      </c>
      <c r="X8" s="666"/>
      <c r="Y8" s="3351" t="s">
        <v>1682</v>
      </c>
      <c r="Z8" s="3352"/>
      <c r="AA8" s="50">
        <f t="shared" ref="AA8:AA47" si="3">D8/F8</f>
        <v>0.98039215686274506</v>
      </c>
      <c r="AB8" s="50">
        <f t="shared" ref="AB8:AB47" si="4">D8/H8</f>
        <v>0.98039215686274506</v>
      </c>
      <c r="AC8" s="802">
        <f t="shared" ref="AC8:AC47" si="5">D8/J8</f>
        <v>1</v>
      </c>
    </row>
    <row r="9" spans="1:29" s="102" customFormat="1">
      <c r="A9" s="359" t="s">
        <v>1683</v>
      </c>
      <c r="B9" s="60" t="s">
        <v>1684</v>
      </c>
      <c r="C9" s="3151" t="s">
        <v>3433</v>
      </c>
      <c r="D9" s="59">
        <v>100</v>
      </c>
      <c r="E9" s="362" t="s">
        <v>21</v>
      </c>
      <c r="F9" s="59">
        <f>SUMIF(64:64,E9,65:65)-SUMIF(64:64,C9,65:65)+100</f>
        <v>100</v>
      </c>
      <c r="G9" s="361" t="s">
        <v>21</v>
      </c>
      <c r="H9" s="59">
        <f>SUMIF(64:64,G9,65:65)-SUMIF(64:64,C9,65:65)+100</f>
        <v>100</v>
      </c>
      <c r="I9" s="361" t="s">
        <v>21</v>
      </c>
      <c r="J9" s="59">
        <f>SUMIF(64:64,I9,65:65)-SUMIF(64:64,C9,65:65)+100</f>
        <v>100</v>
      </c>
      <c r="K9" s="38"/>
      <c r="L9" s="2489"/>
      <c r="M9" s="2440"/>
      <c r="N9" s="2440"/>
      <c r="O9" s="2440"/>
      <c r="P9" s="3366" t="s">
        <v>1685</v>
      </c>
      <c r="Q9" s="530" t="str">
        <f t="shared" ref="Q9:Q15" si="6">B9</f>
        <v>用途</v>
      </c>
      <c r="R9" s="664" t="s">
        <v>14</v>
      </c>
      <c r="S9" s="665">
        <f t="shared" si="0"/>
        <v>100</v>
      </c>
      <c r="T9" s="664" t="s">
        <v>14</v>
      </c>
      <c r="U9" s="665">
        <f t="shared" si="1"/>
        <v>100</v>
      </c>
      <c r="V9" s="664" t="s">
        <v>14</v>
      </c>
      <c r="W9" s="665">
        <f t="shared" si="2"/>
        <v>100</v>
      </c>
      <c r="X9" s="666"/>
      <c r="Y9" s="3321" t="s">
        <v>1686</v>
      </c>
      <c r="Z9" s="50" t="str">
        <f t="shared" ref="Z9:Z15" si="7">Q9</f>
        <v>用途</v>
      </c>
      <c r="AA9" s="50">
        <f t="shared" si="3"/>
        <v>1</v>
      </c>
      <c r="AB9" s="50">
        <f t="shared" si="4"/>
        <v>1</v>
      </c>
      <c r="AC9" s="802">
        <f t="shared" si="5"/>
        <v>1</v>
      </c>
    </row>
    <row r="10" spans="1:29" s="366" customFormat="1" ht="27">
      <c r="A10" s="363"/>
      <c r="B10" s="364" t="s">
        <v>1687</v>
      </c>
      <c r="C10" s="3133" t="s">
        <v>3432</v>
      </c>
      <c r="D10" s="119">
        <v>100</v>
      </c>
      <c r="E10" s="3133" t="s">
        <v>3420</v>
      </c>
      <c r="F10" s="119">
        <f>SUMIF(66:66,E10,67:67)-SUMIF(66:66,C10,67:67)+100</f>
        <v>101</v>
      </c>
      <c r="G10" s="3134" t="s">
        <v>3428</v>
      </c>
      <c r="H10" s="119">
        <f>SUMIF(66:66,G10,67:67)-SUMIF(66:66,C10,67:67)+100</f>
        <v>102</v>
      </c>
      <c r="I10" s="3134" t="s">
        <v>3428</v>
      </c>
      <c r="J10" s="119">
        <f>SUMIF(66:66,I10,67:67)-SUMIF(66:66,C10,67:67)+100</f>
        <v>102</v>
      </c>
      <c r="K10" s="38"/>
      <c r="L10" s="2490"/>
      <c r="M10" s="2491"/>
      <c r="N10" s="2491"/>
      <c r="O10" s="2491"/>
      <c r="P10" s="3366"/>
      <c r="Q10" s="530" t="str">
        <f t="shared" si="6"/>
        <v>土地使用年限（年）</v>
      </c>
      <c r="R10" s="664" t="s">
        <v>14</v>
      </c>
      <c r="S10" s="665">
        <f t="shared" si="0"/>
        <v>101</v>
      </c>
      <c r="T10" s="664" t="s">
        <v>14</v>
      </c>
      <c r="U10" s="665">
        <f t="shared" si="1"/>
        <v>102</v>
      </c>
      <c r="V10" s="664" t="s">
        <v>14</v>
      </c>
      <c r="W10" s="665">
        <f t="shared" si="2"/>
        <v>102</v>
      </c>
      <c r="X10" s="666"/>
      <c r="Y10" s="3321"/>
      <c r="Z10" s="50" t="str">
        <f t="shared" si="7"/>
        <v>土地使用年限（年）</v>
      </c>
      <c r="AA10" s="50">
        <f t="shared" si="3"/>
        <v>0.99009900990099009</v>
      </c>
      <c r="AB10" s="50">
        <f t="shared" si="4"/>
        <v>0.98039215686274506</v>
      </c>
      <c r="AC10" s="802">
        <f t="shared" si="5"/>
        <v>0.98039215686274506</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66"/>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3158" t="s">
        <v>3454</v>
      </c>
      <c r="C12" s="3157" t="s">
        <v>3455</v>
      </c>
      <c r="D12" s="372">
        <v>100</v>
      </c>
      <c r="E12" s="3157" t="s">
        <v>3455</v>
      </c>
      <c r="F12" s="119">
        <f>SUMIF(71:71,E12,72:72)-SUMIF(71:71,C12,72:72)+100</f>
        <v>100</v>
      </c>
      <c r="G12" s="3159" t="s">
        <v>3455</v>
      </c>
      <c r="H12" s="119">
        <f>SUMIF(71:71,G12,72:72)-SUMIF(71:71,C12,72:72)+100</f>
        <v>100</v>
      </c>
      <c r="I12" s="3157" t="s">
        <v>3456</v>
      </c>
      <c r="J12" s="119">
        <f>SUMIF(71:71,I12,72:72)-SUMIF(71:71,C12,72:72)+100</f>
        <v>105</v>
      </c>
      <c r="K12" s="539"/>
      <c r="L12" s="2489"/>
      <c r="M12" s="2440"/>
      <c r="N12" s="2440"/>
      <c r="O12" s="2440"/>
      <c r="P12" s="3366"/>
      <c r="Q12" s="530" t="str">
        <f t="shared" si="6"/>
        <v>交易类型</v>
      </c>
      <c r="R12" s="664" t="s">
        <v>14</v>
      </c>
      <c r="S12" s="665">
        <f t="shared" si="0"/>
        <v>100</v>
      </c>
      <c r="T12" s="664" t="s">
        <v>14</v>
      </c>
      <c r="U12" s="665">
        <f t="shared" si="1"/>
        <v>100</v>
      </c>
      <c r="V12" s="664" t="s">
        <v>14</v>
      </c>
      <c r="W12" s="665">
        <f t="shared" si="2"/>
        <v>105</v>
      </c>
      <c r="X12" s="666"/>
      <c r="Y12" s="3321"/>
      <c r="Z12" s="50" t="str">
        <f t="shared" si="7"/>
        <v>交易类型</v>
      </c>
      <c r="AA12" s="50">
        <f>D12/F12</f>
        <v>1</v>
      </c>
      <c r="AB12" s="50">
        <f>D12/H12</f>
        <v>1</v>
      </c>
      <c r="AC12" s="802">
        <f>D12/J12</f>
        <v>0.95238095238095233</v>
      </c>
    </row>
    <row r="13" spans="1:29" ht="15">
      <c r="A13" s="367"/>
      <c r="B13" s="447"/>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6"/>
      <c r="Q13" s="530">
        <f t="shared" si="6"/>
        <v>0</v>
      </c>
      <c r="R13" s="664" t="s">
        <v>14</v>
      </c>
      <c r="S13" s="665">
        <f t="shared" si="0"/>
        <v>100</v>
      </c>
      <c r="T13" s="664" t="s">
        <v>14</v>
      </c>
      <c r="U13" s="665">
        <f t="shared" si="1"/>
        <v>100</v>
      </c>
      <c r="V13" s="664" t="s">
        <v>14</v>
      </c>
      <c r="W13" s="665">
        <f t="shared" si="2"/>
        <v>100</v>
      </c>
      <c r="X13" s="666"/>
      <c r="Y13" s="3321"/>
      <c r="Z13" s="50">
        <f t="shared" si="7"/>
        <v>0</v>
      </c>
      <c r="AA13" s="50">
        <f t="shared" si="3"/>
        <v>1</v>
      </c>
      <c r="AB13" s="50">
        <f t="shared" si="4"/>
        <v>1</v>
      </c>
      <c r="AC13" s="802">
        <f t="shared" si="5"/>
        <v>1</v>
      </c>
    </row>
    <row r="14" spans="1:29" ht="15.75" thickBot="1">
      <c r="A14" s="375"/>
      <c r="B14" s="1749"/>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6"/>
      <c r="Q14" s="530">
        <f t="shared" si="6"/>
        <v>0</v>
      </c>
      <c r="R14" s="664" t="s">
        <v>14</v>
      </c>
      <c r="S14" s="665">
        <f t="shared" si="0"/>
        <v>100</v>
      </c>
      <c r="T14" s="664" t="s">
        <v>14</v>
      </c>
      <c r="U14" s="665">
        <f t="shared" si="1"/>
        <v>100</v>
      </c>
      <c r="V14" s="664" t="s">
        <v>14</v>
      </c>
      <c r="W14" s="665">
        <f t="shared" si="2"/>
        <v>100</v>
      </c>
      <c r="X14" s="666"/>
      <c r="Y14" s="3321"/>
      <c r="Z14" s="50">
        <f t="shared" si="7"/>
        <v>0</v>
      </c>
      <c r="AA14" s="50">
        <f t="shared" si="3"/>
        <v>1</v>
      </c>
      <c r="AB14" s="50">
        <f t="shared" si="4"/>
        <v>1</v>
      </c>
      <c r="AC14" s="802">
        <f t="shared" si="5"/>
        <v>1</v>
      </c>
    </row>
    <row r="15" spans="1:29" ht="71.25">
      <c r="A15" s="379" t="s">
        <v>1689</v>
      </c>
      <c r="B15" s="554" t="s">
        <v>1810</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105</v>
      </c>
      <c r="I15" s="381"/>
      <c r="J15" s="380">
        <f>SUMIF(77:77,I16,78:78)-SUMIF(77:77,C16,78:78)+100</f>
        <v>100</v>
      </c>
      <c r="K15" s="540">
        <v>5</v>
      </c>
      <c r="L15" s="2493"/>
      <c r="M15" s="2488"/>
      <c r="N15" s="2488"/>
      <c r="O15" s="2488"/>
      <c r="P15" s="3386" t="s">
        <v>1690</v>
      </c>
      <c r="Q15" s="1263" t="str">
        <f t="shared" si="6"/>
        <v>办公集聚程度</v>
      </c>
      <c r="R15" s="667" t="s">
        <v>14</v>
      </c>
      <c r="S15" s="668">
        <f t="shared" si="0"/>
        <v>100</v>
      </c>
      <c r="T15" s="667" t="s">
        <v>14</v>
      </c>
      <c r="U15" s="668">
        <f t="shared" si="1"/>
        <v>105</v>
      </c>
      <c r="V15" s="667" t="s">
        <v>14</v>
      </c>
      <c r="W15" s="668">
        <f t="shared" si="2"/>
        <v>100</v>
      </c>
      <c r="X15" s="1265"/>
      <c r="Y15" s="3388" t="s">
        <v>1690</v>
      </c>
      <c r="Z15" s="1264" t="str">
        <f t="shared" si="7"/>
        <v>办公集聚程度</v>
      </c>
      <c r="AA15" s="1264">
        <f t="shared" si="3"/>
        <v>1</v>
      </c>
      <c r="AB15" s="1264">
        <f t="shared" si="4"/>
        <v>0.95238095238095233</v>
      </c>
      <c r="AC15" s="1812">
        <f t="shared" si="5"/>
        <v>1</v>
      </c>
    </row>
    <row r="16" spans="1:29" ht="15">
      <c r="A16" s="367"/>
      <c r="B16" s="555"/>
      <c r="C16" s="1758" t="s">
        <v>3421</v>
      </c>
      <c r="D16" s="387"/>
      <c r="E16" s="386" t="s">
        <v>3421</v>
      </c>
      <c r="F16" s="387"/>
      <c r="G16" s="1758" t="s">
        <v>3422</v>
      </c>
      <c r="H16" s="389"/>
      <c r="I16" s="386" t="s">
        <v>3421</v>
      </c>
      <c r="J16" s="387"/>
      <c r="K16" s="541"/>
      <c r="L16" s="2493"/>
      <c r="M16" s="2488"/>
      <c r="N16" s="2488"/>
      <c r="O16" s="2488"/>
      <c r="P16" s="3387"/>
      <c r="Q16" s="1263"/>
      <c r="R16" s="667"/>
      <c r="S16" s="668"/>
      <c r="T16" s="667"/>
      <c r="U16" s="668"/>
      <c r="V16" s="667"/>
      <c r="W16" s="668"/>
      <c r="X16" s="1265"/>
      <c r="Y16" s="338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105</v>
      </c>
      <c r="I17" s="391"/>
      <c r="J17" s="394">
        <f>SUMIF(79:79,I18,80:80)-SUMIF(79:79,C18,80:80)+100</f>
        <v>100</v>
      </c>
      <c r="K17" s="540">
        <v>5</v>
      </c>
      <c r="L17" s="2493"/>
      <c r="M17" s="2488"/>
      <c r="N17" s="2488"/>
      <c r="O17" s="2488"/>
      <c r="P17" s="3387"/>
      <c r="Q17" s="1263" t="str">
        <f>B17</f>
        <v>交通便捷度</v>
      </c>
      <c r="R17" s="667" t="s">
        <v>14</v>
      </c>
      <c r="S17" s="668">
        <f>F17</f>
        <v>100</v>
      </c>
      <c r="T17" s="667" t="s">
        <v>14</v>
      </c>
      <c r="U17" s="668">
        <f>H17</f>
        <v>105</v>
      </c>
      <c r="V17" s="667" t="s">
        <v>14</v>
      </c>
      <c r="W17" s="668">
        <f>J17</f>
        <v>100</v>
      </c>
      <c r="X17" s="1265"/>
      <c r="Y17" s="3389"/>
      <c r="Z17" s="1264" t="str">
        <f>Q17</f>
        <v>交通便捷度</v>
      </c>
      <c r="AA17" s="1264">
        <f t="shared" si="3"/>
        <v>1</v>
      </c>
      <c r="AB17" s="1264">
        <f t="shared" si="4"/>
        <v>0.95238095238095233</v>
      </c>
      <c r="AC17" s="1812">
        <f t="shared" si="5"/>
        <v>1</v>
      </c>
    </row>
    <row r="18" spans="1:29" ht="15">
      <c r="A18" s="367"/>
      <c r="B18" s="401"/>
      <c r="C18" s="3160" t="s">
        <v>3422</v>
      </c>
      <c r="D18" s="389"/>
      <c r="E18" s="3161" t="s">
        <v>3422</v>
      </c>
      <c r="F18" s="389"/>
      <c r="G18" s="3162" t="s">
        <v>3466</v>
      </c>
      <c r="H18" s="387"/>
      <c r="I18" s="3162" t="s">
        <v>3422</v>
      </c>
      <c r="J18" s="387"/>
      <c r="K18" s="541"/>
      <c r="L18" s="2493"/>
      <c r="M18" s="2488"/>
      <c r="N18" s="2488"/>
      <c r="O18" s="2488"/>
      <c r="P18" s="3387"/>
      <c r="Q18" s="1263"/>
      <c r="R18" s="667"/>
      <c r="S18" s="668"/>
      <c r="T18" s="667"/>
      <c r="U18" s="668"/>
      <c r="V18" s="667"/>
      <c r="W18" s="668"/>
      <c r="X18" s="1265"/>
      <c r="Y18" s="3389"/>
      <c r="Z18" s="1264"/>
      <c r="AA18" s="1264">
        <v>1</v>
      </c>
      <c r="AB18" s="1264">
        <v>1</v>
      </c>
      <c r="AC18" s="1812">
        <v>1</v>
      </c>
    </row>
    <row r="19" spans="1:29" ht="42.75">
      <c r="A19" s="367"/>
      <c r="B19" s="556" t="s">
        <v>1811</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812">
        <f t="shared" si="5"/>
        <v>1</v>
      </c>
    </row>
    <row r="20" spans="1:29" ht="15">
      <c r="A20" s="367"/>
      <c r="B20" s="401"/>
      <c r="C20" s="1758" t="s">
        <v>3422</v>
      </c>
      <c r="D20" s="387"/>
      <c r="E20" s="1751" t="s">
        <v>3422</v>
      </c>
      <c r="F20" s="387"/>
      <c r="G20" s="1752" t="s">
        <v>3422</v>
      </c>
      <c r="H20" s="387"/>
      <c r="I20" s="1752" t="s">
        <v>3422</v>
      </c>
      <c r="J20" s="387"/>
      <c r="K20" s="541"/>
      <c r="L20" s="2493"/>
      <c r="M20" s="2488"/>
      <c r="N20" s="2488"/>
      <c r="O20" s="2488"/>
      <c r="P20" s="3387"/>
      <c r="Q20" s="1263"/>
      <c r="R20" s="667"/>
      <c r="S20" s="668"/>
      <c r="T20" s="667"/>
      <c r="U20" s="668"/>
      <c r="V20" s="667"/>
      <c r="W20" s="668"/>
      <c r="X20" s="1265"/>
      <c r="Y20" s="3389"/>
      <c r="Z20" s="1264"/>
      <c r="AA20" s="1264">
        <v>1</v>
      </c>
      <c r="AB20" s="1264">
        <v>1</v>
      </c>
      <c r="AC20" s="1812">
        <v>1</v>
      </c>
    </row>
    <row r="21" spans="1:29" ht="28.5">
      <c r="A21" s="367"/>
      <c r="B21" s="557" t="s">
        <v>1812</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812">
        <f t="shared" ref="AC21" si="10">D21/J21</f>
        <v>1</v>
      </c>
    </row>
    <row r="22" spans="1:29" ht="15">
      <c r="A22" s="367"/>
      <c r="B22" s="557"/>
      <c r="C22" s="1814" t="s">
        <v>3423</v>
      </c>
      <c r="D22" s="387"/>
      <c r="E22" s="386" t="s">
        <v>3423</v>
      </c>
      <c r="F22" s="387"/>
      <c r="G22" s="1758" t="s">
        <v>3423</v>
      </c>
      <c r="H22" s="387"/>
      <c r="I22" s="1758" t="s">
        <v>3423</v>
      </c>
      <c r="J22" s="387"/>
      <c r="K22" s="1064"/>
      <c r="L22" s="2493"/>
      <c r="M22" s="2488"/>
      <c r="N22" s="2488"/>
      <c r="O22" s="2488"/>
      <c r="P22" s="3387"/>
      <c r="Q22" s="1263"/>
      <c r="R22" s="667"/>
      <c r="S22" s="668"/>
      <c r="T22" s="667"/>
      <c r="U22" s="668"/>
      <c r="V22" s="667"/>
      <c r="W22" s="668"/>
      <c r="X22" s="1265"/>
      <c r="Y22" s="3389"/>
      <c r="Z22" s="1264"/>
      <c r="AA22" s="1264">
        <v>1</v>
      </c>
      <c r="AB22" s="1264">
        <v>1</v>
      </c>
      <c r="AC22" s="1812">
        <v>1</v>
      </c>
    </row>
    <row r="23" spans="1:29" ht="42.75">
      <c r="A23" s="367"/>
      <c r="B23" s="556" t="s">
        <v>1813</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93"/>
      <c r="M23" s="2488"/>
      <c r="N23" s="2488"/>
      <c r="O23" s="2488"/>
      <c r="P23" s="3387"/>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812">
        <f t="shared" si="5"/>
        <v>1</v>
      </c>
    </row>
    <row r="24" spans="1:29" ht="15">
      <c r="A24" s="367"/>
      <c r="B24" s="557"/>
      <c r="C24" s="1758" t="s">
        <v>3421</v>
      </c>
      <c r="D24" s="387"/>
      <c r="E24" s="1758" t="s">
        <v>3421</v>
      </c>
      <c r="F24" s="387"/>
      <c r="G24" s="1758" t="s">
        <v>3421</v>
      </c>
      <c r="H24" s="387"/>
      <c r="I24" s="1758" t="s">
        <v>3421</v>
      </c>
      <c r="J24" s="387"/>
      <c r="K24" s="541"/>
      <c r="L24" s="2493"/>
      <c r="M24" s="2488"/>
      <c r="N24" s="2488"/>
      <c r="O24" s="2488"/>
      <c r="P24" s="3387"/>
      <c r="Q24" s="1263"/>
      <c r="R24" s="667"/>
      <c r="S24" s="668"/>
      <c r="T24" s="667"/>
      <c r="U24" s="668"/>
      <c r="V24" s="667"/>
      <c r="W24" s="668"/>
      <c r="X24" s="1265"/>
      <c r="Y24" s="3389"/>
      <c r="Z24" s="1264"/>
      <c r="AA24" s="1264">
        <v>1</v>
      </c>
      <c r="AB24" s="1264">
        <v>1</v>
      </c>
      <c r="AC24" s="1812">
        <v>1</v>
      </c>
    </row>
    <row r="25" spans="1:29" ht="27" hidden="1">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7"/>
      <c r="Q25" s="1263" t="str">
        <f>B25</f>
        <v>毗邻道路的类型与等级</v>
      </c>
      <c r="R25" s="667" t="s">
        <v>14</v>
      </c>
      <c r="S25" s="668">
        <f>F25</f>
        <v>100</v>
      </c>
      <c r="T25" s="667" t="s">
        <v>14</v>
      </c>
      <c r="U25" s="668">
        <f>H25</f>
        <v>100</v>
      </c>
      <c r="V25" s="667" t="s">
        <v>14</v>
      </c>
      <c r="W25" s="668">
        <f>J25</f>
        <v>100</v>
      </c>
      <c r="X25" s="1265"/>
      <c r="Y25" s="3389"/>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387"/>
      <c r="Q26" s="1263"/>
      <c r="R26" s="667"/>
      <c r="S26" s="668"/>
      <c r="T26" s="667"/>
      <c r="U26" s="668"/>
      <c r="V26" s="667"/>
      <c r="W26" s="668"/>
      <c r="X26" s="1265"/>
      <c r="Y26" s="3389"/>
      <c r="Z26" s="1264"/>
      <c r="AA26" s="1264">
        <v>1</v>
      </c>
      <c r="AB26" s="1264">
        <v>1</v>
      </c>
      <c r="AC26" s="1812">
        <v>1</v>
      </c>
    </row>
    <row r="27" spans="1:29" ht="15.75" thickBot="1">
      <c r="A27" s="367"/>
      <c r="B27" s="401" t="s">
        <v>1782</v>
      </c>
      <c r="C27" s="542" t="s">
        <v>3424</v>
      </c>
      <c r="D27" s="374">
        <v>100</v>
      </c>
      <c r="E27" s="542" t="s">
        <v>3424</v>
      </c>
      <c r="F27" s="374">
        <f>SUMIF(89:89,E27,90:90)-SUMIF(89:89,C27,90:90)+100</f>
        <v>100</v>
      </c>
      <c r="G27" s="558" t="s">
        <v>3424</v>
      </c>
      <c r="H27" s="374">
        <f>SUMIF(89:89,G27,90:90)-SUMIF(89:89,C27,90:90)+100</f>
        <v>100</v>
      </c>
      <c r="I27" s="542" t="s">
        <v>3424</v>
      </c>
      <c r="J27" s="374">
        <f>SUMIF(89:89,I27,90:90)-SUMIF(89:89,C27,90:90)+100</f>
        <v>100</v>
      </c>
      <c r="K27" s="538"/>
      <c r="L27" s="2493"/>
      <c r="M27" s="2488"/>
      <c r="N27" s="2488"/>
      <c r="O27" s="2488"/>
      <c r="P27" s="3387"/>
      <c r="Q27" s="1263" t="str">
        <f t="shared" ref="Q27:Q47" si="11">B27</f>
        <v>楼层</v>
      </c>
      <c r="R27" s="667" t="s">
        <v>14</v>
      </c>
      <c r="S27" s="668">
        <f>F27</f>
        <v>100</v>
      </c>
      <c r="T27" s="667" t="s">
        <v>14</v>
      </c>
      <c r="U27" s="668">
        <f>H27</f>
        <v>100</v>
      </c>
      <c r="V27" s="667" t="s">
        <v>14</v>
      </c>
      <c r="W27" s="668">
        <f>J27</f>
        <v>100</v>
      </c>
      <c r="X27" s="1265"/>
      <c r="Y27" s="3389"/>
      <c r="Z27" s="1264" t="str">
        <f>Q27</f>
        <v>楼层</v>
      </c>
      <c r="AA27" s="1264">
        <f t="shared" si="3"/>
        <v>1</v>
      </c>
      <c r="AB27" s="1264">
        <f t="shared" si="4"/>
        <v>1</v>
      </c>
      <c r="AC27" s="1812">
        <f t="shared" si="5"/>
        <v>1</v>
      </c>
    </row>
    <row r="28" spans="1:29" s="102" customFormat="1" ht="15" hidden="1">
      <c r="A28" s="370"/>
      <c r="B28" s="556" t="s">
        <v>1815</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7"/>
      <c r="Q28" s="530" t="str">
        <f t="shared" si="11"/>
        <v>朝向</v>
      </c>
      <c r="R28" s="664" t="s">
        <v>14</v>
      </c>
      <c r="S28" s="665">
        <f>F28</f>
        <v>100</v>
      </c>
      <c r="T28" s="664" t="s">
        <v>14</v>
      </c>
      <c r="U28" s="665">
        <f>H28</f>
        <v>100</v>
      </c>
      <c r="V28" s="664" t="s">
        <v>14</v>
      </c>
      <c r="W28" s="665">
        <f>J28</f>
        <v>100</v>
      </c>
      <c r="X28" s="666"/>
      <c r="Y28" s="3389"/>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9"/>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7"/>
      <c r="Q32" s="1263">
        <f t="shared" si="11"/>
        <v>111</v>
      </c>
      <c r="R32" s="667" t="s">
        <v>14</v>
      </c>
      <c r="S32" s="668">
        <f t="shared" si="12"/>
        <v>100</v>
      </c>
      <c r="T32" s="667" t="s">
        <v>14</v>
      </c>
      <c r="U32" s="668">
        <f t="shared" si="13"/>
        <v>100</v>
      </c>
      <c r="V32" s="667" t="s">
        <v>14</v>
      </c>
      <c r="W32" s="668">
        <f t="shared" si="14"/>
        <v>100</v>
      </c>
      <c r="X32" s="1265"/>
      <c r="Y32" s="3389"/>
      <c r="Z32" s="1264">
        <f t="shared" si="15"/>
        <v>111</v>
      </c>
      <c r="AA32" s="1264">
        <f t="shared" si="3"/>
        <v>1</v>
      </c>
      <c r="AB32" s="1264">
        <f t="shared" si="4"/>
        <v>1</v>
      </c>
      <c r="AC32" s="1812">
        <f t="shared" si="5"/>
        <v>1</v>
      </c>
    </row>
    <row r="33" spans="1:29" ht="15">
      <c r="A33" s="379" t="s">
        <v>1693</v>
      </c>
      <c r="B33" s="60" t="s">
        <v>1816</v>
      </c>
      <c r="C33" s="1764" t="s">
        <v>3440</v>
      </c>
      <c r="D33" s="405">
        <v>100</v>
      </c>
      <c r="E33" s="1764" t="s">
        <v>3440</v>
      </c>
      <c r="F33" s="400">
        <f>SUMIF(101:101,E33,102:102)-SUMIF(101:101,C33,102:102)+100</f>
        <v>100</v>
      </c>
      <c r="G33" s="1764" t="s">
        <v>3440</v>
      </c>
      <c r="H33" s="374">
        <f>SUMIF(101:101,G33,102:102)-SUMIF(101:101,C33,102:102)+100</f>
        <v>100</v>
      </c>
      <c r="I33" s="1764" t="s">
        <v>3440</v>
      </c>
      <c r="J33" s="405">
        <f>SUMIF(101:101,I33,102:102)-SUMIF(101:101,C33,102:102)+100</f>
        <v>100</v>
      </c>
      <c r="K33" s="538"/>
      <c r="L33" s="2493"/>
      <c r="M33" s="2488"/>
      <c r="N33" s="2488"/>
      <c r="O33" s="2488"/>
      <c r="P33" s="3390" t="s">
        <v>1695</v>
      </c>
      <c r="Q33" s="1263" t="str">
        <f t="shared" si="11"/>
        <v>建筑类型</v>
      </c>
      <c r="R33" s="667" t="s">
        <v>14</v>
      </c>
      <c r="S33" s="668">
        <f t="shared" si="12"/>
        <v>100</v>
      </c>
      <c r="T33" s="667" t="s">
        <v>14</v>
      </c>
      <c r="U33" s="668">
        <f t="shared" si="13"/>
        <v>100</v>
      </c>
      <c r="V33" s="667" t="s">
        <v>14</v>
      </c>
      <c r="W33" s="668">
        <f t="shared" si="14"/>
        <v>100</v>
      </c>
      <c r="X33" s="1265"/>
      <c r="Y33" s="3393" t="s">
        <v>1695</v>
      </c>
      <c r="Z33" s="1264" t="str">
        <f t="shared" si="15"/>
        <v>建筑类型</v>
      </c>
      <c r="AA33" s="1264">
        <f t="shared" si="3"/>
        <v>1</v>
      </c>
      <c r="AB33" s="1264">
        <f t="shared" si="4"/>
        <v>1</v>
      </c>
      <c r="AC33" s="1812">
        <f t="shared" si="5"/>
        <v>1</v>
      </c>
    </row>
    <row r="34" spans="1:29" s="408" customFormat="1" ht="15">
      <c r="A34" s="406"/>
      <c r="B34" s="364" t="s">
        <v>1696</v>
      </c>
      <c r="C34" s="407">
        <f>面积!C2</f>
        <v>98.79</v>
      </c>
      <c r="D34" s="119">
        <v>100</v>
      </c>
      <c r="E34" s="369">
        <v>655</v>
      </c>
      <c r="F34" s="364">
        <f>LOOKUP(E34,104:104,105:105)-LOOKUP(C34,104:104,105:105)+100</f>
        <v>97</v>
      </c>
      <c r="G34" s="368">
        <v>120</v>
      </c>
      <c r="H34" s="119">
        <f>LOOKUP(G34,104:104,105:105)-LOOKUP(C34,104:104,105:105)+100</f>
        <v>100</v>
      </c>
      <c r="I34" s="368">
        <v>1098</v>
      </c>
      <c r="J34" s="119">
        <f>LOOKUP(I34,104:104,105:105)-LOOKUP(C34,104:104,105:105)+100</f>
        <v>96</v>
      </c>
      <c r="K34" s="539"/>
      <c r="L34" s="2492"/>
      <c r="M34" s="2494"/>
      <c r="N34" s="2494"/>
      <c r="O34" s="2494"/>
      <c r="P34" s="3391"/>
      <c r="Q34" s="531" t="str">
        <f t="shared" si="11"/>
        <v>项目建筑规模</v>
      </c>
      <c r="R34" s="669" t="s">
        <v>14</v>
      </c>
      <c r="S34" s="670">
        <f t="shared" si="12"/>
        <v>97</v>
      </c>
      <c r="T34" s="669" t="s">
        <v>14</v>
      </c>
      <c r="U34" s="670">
        <f t="shared" si="13"/>
        <v>100</v>
      </c>
      <c r="V34" s="669" t="s">
        <v>14</v>
      </c>
      <c r="W34" s="670">
        <f t="shared" si="14"/>
        <v>96</v>
      </c>
      <c r="X34" s="671"/>
      <c r="Y34" s="3393"/>
      <c r="Z34" s="672" t="str">
        <f t="shared" si="15"/>
        <v>项目建筑规模</v>
      </c>
      <c r="AA34" s="1264">
        <f t="shared" si="3"/>
        <v>1.0309278350515463</v>
      </c>
      <c r="AB34" s="1264">
        <f t="shared" si="4"/>
        <v>1</v>
      </c>
      <c r="AC34" s="1812">
        <f t="shared" si="5"/>
        <v>1.0416666666666667</v>
      </c>
    </row>
    <row r="35" spans="1:29" ht="15">
      <c r="A35" s="409"/>
      <c r="B35" s="364" t="s">
        <v>1697</v>
      </c>
      <c r="C35" s="399" t="s">
        <v>3413</v>
      </c>
      <c r="D35" s="374">
        <v>100</v>
      </c>
      <c r="E35" s="399" t="s">
        <v>3413</v>
      </c>
      <c r="F35" s="400">
        <f>SUMIF(106:106,E35,107:107)-SUMIF(106:106,C35,107:107)+100</f>
        <v>100</v>
      </c>
      <c r="G35" s="399" t="s">
        <v>3413</v>
      </c>
      <c r="H35" s="374">
        <f>SUMIF(106:106,G35,107:107)-SUMIF(106:106,C35,107:107)+100</f>
        <v>100</v>
      </c>
      <c r="I35" s="399" t="s">
        <v>3413</v>
      </c>
      <c r="J35" s="374">
        <f>SUMIF(106:106,I35,107:107)-SUMIF(106:106,C35,107:107)+100</f>
        <v>100</v>
      </c>
      <c r="K35" s="538">
        <v>1</v>
      </c>
      <c r="L35" s="2493"/>
      <c r="M35" s="2488"/>
      <c r="N35" s="2488"/>
      <c r="O35" s="2488"/>
      <c r="P35" s="3391"/>
      <c r="Q35" s="1263" t="str">
        <f t="shared" si="11"/>
        <v>建筑结构</v>
      </c>
      <c r="R35" s="667" t="s">
        <v>14</v>
      </c>
      <c r="S35" s="668">
        <f t="shared" si="12"/>
        <v>100</v>
      </c>
      <c r="T35" s="667" t="s">
        <v>14</v>
      </c>
      <c r="U35" s="668">
        <f t="shared" si="13"/>
        <v>100</v>
      </c>
      <c r="V35" s="667" t="s">
        <v>14</v>
      </c>
      <c r="W35" s="668">
        <f t="shared" si="14"/>
        <v>100</v>
      </c>
      <c r="X35" s="1265"/>
      <c r="Y35" s="3393"/>
      <c r="Z35" s="1264" t="str">
        <f t="shared" si="15"/>
        <v>建筑结构</v>
      </c>
      <c r="AA35" s="1264">
        <f t="shared" si="3"/>
        <v>1</v>
      </c>
      <c r="AB35" s="1264">
        <f t="shared" si="4"/>
        <v>1</v>
      </c>
      <c r="AC35" s="1812">
        <f t="shared" si="5"/>
        <v>1</v>
      </c>
    </row>
    <row r="36" spans="1:29" ht="15">
      <c r="A36" s="409"/>
      <c r="B36" s="364" t="s">
        <v>1784</v>
      </c>
      <c r="C36" s="399" t="s">
        <v>3425</v>
      </c>
      <c r="D36" s="374">
        <v>100</v>
      </c>
      <c r="E36" s="399" t="s">
        <v>3425</v>
      </c>
      <c r="F36" s="400">
        <f>SUMIF(108:108,E36,109:109)-SUMIF(108:108,C36,109:109)+100</f>
        <v>100</v>
      </c>
      <c r="G36" s="399" t="s">
        <v>3425</v>
      </c>
      <c r="H36" s="374">
        <f>SUMIF(108:108,G36,109:109)-SUMIF(108:108,C36,109:109)+100</f>
        <v>100</v>
      </c>
      <c r="I36" s="399" t="s">
        <v>3425</v>
      </c>
      <c r="J36" s="374">
        <f>SUMIF(108:108,I36,109:109)-SUMIF(108:108,C36,109:109)+100</f>
        <v>100</v>
      </c>
      <c r="K36" s="538">
        <v>1</v>
      </c>
      <c r="L36" s="2493"/>
      <c r="M36" s="2488"/>
      <c r="N36" s="2488"/>
      <c r="O36" s="2488"/>
      <c r="P36" s="3391"/>
      <c r="Q36" s="1263" t="str">
        <f t="shared" si="11"/>
        <v>公共部分装修</v>
      </c>
      <c r="R36" s="667" t="s">
        <v>14</v>
      </c>
      <c r="S36" s="668">
        <f t="shared" si="12"/>
        <v>100</v>
      </c>
      <c r="T36" s="667" t="s">
        <v>14</v>
      </c>
      <c r="U36" s="668">
        <f t="shared" si="13"/>
        <v>100</v>
      </c>
      <c r="V36" s="667" t="s">
        <v>14</v>
      </c>
      <c r="W36" s="668">
        <f t="shared" si="14"/>
        <v>100</v>
      </c>
      <c r="X36" s="1265"/>
      <c r="Y36" s="3393"/>
      <c r="Z36" s="1264" t="str">
        <f t="shared" si="15"/>
        <v>公共部分装修</v>
      </c>
      <c r="AA36" s="1264">
        <f t="shared" si="3"/>
        <v>1</v>
      </c>
      <c r="AB36" s="1264">
        <f t="shared" si="4"/>
        <v>1</v>
      </c>
      <c r="AC36" s="1812">
        <f t="shared" si="5"/>
        <v>1</v>
      </c>
    </row>
    <row r="37" spans="1:29" ht="15">
      <c r="A37" s="409"/>
      <c r="B37" s="364" t="s">
        <v>1785</v>
      </c>
      <c r="C37" s="411">
        <v>0.8</v>
      </c>
      <c r="D37" s="374">
        <v>100</v>
      </c>
      <c r="E37" s="411">
        <v>0.85</v>
      </c>
      <c r="F37" s="400">
        <f>LOOKUP(E37,111:111,112:112)-LOOKUP(C37,111:111,112:112)+100</f>
        <v>100</v>
      </c>
      <c r="G37" s="411">
        <v>0.95</v>
      </c>
      <c r="H37" s="400">
        <f>LOOKUP(G37,111:111,112:112)-LOOKUP(C37,111:111,112:112)+100</f>
        <v>101</v>
      </c>
      <c r="I37" s="411">
        <v>0.95</v>
      </c>
      <c r="J37" s="374">
        <f>LOOKUP(I37,111:111,112:112)-LOOKUP(C37,111:111,112:112)+100</f>
        <v>101</v>
      </c>
      <c r="K37" s="538">
        <v>1</v>
      </c>
      <c r="L37" s="2493"/>
      <c r="M37" s="2488"/>
      <c r="N37" s="2488"/>
      <c r="O37" s="2488"/>
      <c r="P37" s="3391"/>
      <c r="Q37" s="1263" t="str">
        <f t="shared" si="11"/>
        <v>成新度</v>
      </c>
      <c r="R37" s="667" t="s">
        <v>14</v>
      </c>
      <c r="S37" s="668">
        <f t="shared" si="12"/>
        <v>100</v>
      </c>
      <c r="T37" s="667" t="s">
        <v>14</v>
      </c>
      <c r="U37" s="668">
        <f t="shared" si="13"/>
        <v>101</v>
      </c>
      <c r="V37" s="667" t="s">
        <v>14</v>
      </c>
      <c r="W37" s="668">
        <f t="shared" si="14"/>
        <v>101</v>
      </c>
      <c r="X37" s="1265"/>
      <c r="Y37" s="3393"/>
      <c r="Z37" s="1264" t="str">
        <f t="shared" si="15"/>
        <v>成新度</v>
      </c>
      <c r="AA37" s="1264">
        <f t="shared" si="3"/>
        <v>1</v>
      </c>
      <c r="AB37" s="1264">
        <f t="shared" si="4"/>
        <v>0.99009900990099009</v>
      </c>
      <c r="AC37" s="1812">
        <f t="shared" si="5"/>
        <v>0.99009900990099009</v>
      </c>
    </row>
    <row r="38" spans="1:29" s="102" customFormat="1" ht="15" hidden="1">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1818</v>
      </c>
      <c r="C39" s="3156"/>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1" t="s">
        <v>1695</v>
      </c>
      <c r="Q39" s="1263" t="str">
        <f t="shared" si="11"/>
        <v>物业管理</v>
      </c>
      <c r="R39" s="667" t="s">
        <v>14</v>
      </c>
      <c r="S39" s="668">
        <f t="shared" si="12"/>
        <v>100</v>
      </c>
      <c r="T39" s="667" t="s">
        <v>14</v>
      </c>
      <c r="U39" s="668">
        <f t="shared" si="13"/>
        <v>100</v>
      </c>
      <c r="V39" s="667" t="s">
        <v>14</v>
      </c>
      <c r="W39" s="668">
        <f t="shared" si="14"/>
        <v>100</v>
      </c>
      <c r="X39" s="1265"/>
      <c r="Y39" s="3393" t="s">
        <v>1695</v>
      </c>
      <c r="Z39" s="1264" t="str">
        <f t="shared" si="15"/>
        <v>物业管理</v>
      </c>
      <c r="AA39" s="1264">
        <f t="shared" si="3"/>
        <v>1</v>
      </c>
      <c r="AB39" s="1264">
        <f t="shared" si="4"/>
        <v>1</v>
      </c>
      <c r="AC39" s="1812">
        <f t="shared" si="5"/>
        <v>1</v>
      </c>
    </row>
    <row r="40" spans="1:29" ht="15" hidden="1">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1"/>
      <c r="Q40" s="1263" t="str">
        <f t="shared" si="11"/>
        <v>市政基础设施</v>
      </c>
      <c r="R40" s="667" t="s">
        <v>14</v>
      </c>
      <c r="S40" s="668">
        <f t="shared" si="12"/>
        <v>100</v>
      </c>
      <c r="T40" s="667" t="s">
        <v>14</v>
      </c>
      <c r="U40" s="668">
        <f t="shared" si="13"/>
        <v>100</v>
      </c>
      <c r="V40" s="667" t="s">
        <v>14</v>
      </c>
      <c r="W40" s="668">
        <f t="shared" si="14"/>
        <v>100</v>
      </c>
      <c r="X40" s="1265"/>
      <c r="Y40" s="3393"/>
      <c r="Z40" s="1264" t="str">
        <f t="shared" si="15"/>
        <v>市政基础设施</v>
      </c>
      <c r="AA40" s="1264">
        <f t="shared" si="3"/>
        <v>1</v>
      </c>
      <c r="AB40" s="1264">
        <f t="shared" si="4"/>
        <v>1</v>
      </c>
      <c r="AC40" s="1812">
        <f t="shared" si="5"/>
        <v>1</v>
      </c>
    </row>
    <row r="41" spans="1:29" ht="15">
      <c r="A41" s="409"/>
      <c r="B41" s="364" t="s">
        <v>1788</v>
      </c>
      <c r="C41" s="542" t="s">
        <v>3426</v>
      </c>
      <c r="D41" s="374">
        <v>100</v>
      </c>
      <c r="E41" s="542" t="s">
        <v>3426</v>
      </c>
      <c r="F41" s="400">
        <f>SUMIF(119:119,E41,120:120)-SUMIF(119:119,C41,120:120)+100</f>
        <v>100</v>
      </c>
      <c r="G41" s="542" t="s">
        <v>3426</v>
      </c>
      <c r="H41" s="374">
        <f>SUMIF(119:119,G41,120:120)-SUMIF(119:119,C41,120:120)+100</f>
        <v>100</v>
      </c>
      <c r="I41" s="542" t="s">
        <v>3426</v>
      </c>
      <c r="J41" s="374">
        <f>SUMIF(119:119,I41,120:120)-SUMIF(119:119,C41,120:120)+100</f>
        <v>100</v>
      </c>
      <c r="K41" s="538"/>
      <c r="L41" s="2493"/>
      <c r="M41" s="2488"/>
      <c r="N41" s="2488"/>
      <c r="O41" s="2488"/>
      <c r="P41" s="3391"/>
      <c r="Q41" s="1263" t="str">
        <f t="shared" si="11"/>
        <v>层高</v>
      </c>
      <c r="R41" s="667" t="s">
        <v>14</v>
      </c>
      <c r="S41" s="668">
        <f t="shared" si="12"/>
        <v>100</v>
      </c>
      <c r="T41" s="667" t="s">
        <v>14</v>
      </c>
      <c r="U41" s="668">
        <f t="shared" si="13"/>
        <v>100</v>
      </c>
      <c r="V41" s="667" t="s">
        <v>14</v>
      </c>
      <c r="W41" s="668">
        <f t="shared" si="14"/>
        <v>100</v>
      </c>
      <c r="X41" s="1265"/>
      <c r="Y41" s="3393"/>
      <c r="Z41" s="1264" t="str">
        <f t="shared" si="15"/>
        <v>层高</v>
      </c>
      <c r="AA41" s="1264">
        <f t="shared" si="3"/>
        <v>1</v>
      </c>
      <c r="AB41" s="1264">
        <f t="shared" si="4"/>
        <v>1</v>
      </c>
      <c r="AC41" s="1812">
        <f t="shared" si="5"/>
        <v>1</v>
      </c>
    </row>
    <row r="42" spans="1:29" s="408" customFormat="1" ht="15" hidden="1">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4">
        <f t="shared" si="3"/>
        <v>1</v>
      </c>
      <c r="AB42" s="1264">
        <f t="shared" si="4"/>
        <v>1</v>
      </c>
      <c r="AC42" s="1812">
        <f t="shared" si="5"/>
        <v>1</v>
      </c>
    </row>
    <row r="43" spans="1:29" ht="15">
      <c r="A43" s="409"/>
      <c r="B43" s="364" t="s">
        <v>1791</v>
      </c>
      <c r="C43" s="399" t="s">
        <v>3427</v>
      </c>
      <c r="D43" s="374">
        <v>100</v>
      </c>
      <c r="E43" s="399" t="s">
        <v>3427</v>
      </c>
      <c r="F43" s="400">
        <f>SUMIF(123:123,E43,124:124)-SUMIF(123:123,C43,124:124)+100</f>
        <v>100</v>
      </c>
      <c r="G43" s="399" t="s">
        <v>3429</v>
      </c>
      <c r="H43" s="374">
        <f>SUMIF(123:123,G43,124:124)-SUMIF(123:123,C43,124:124)+100</f>
        <v>98</v>
      </c>
      <c r="I43" s="399" t="s">
        <v>3429</v>
      </c>
      <c r="J43" s="374">
        <f>SUMIF(123:123,I43,124:124)-SUMIF(123:123,C43,124:124)+100</f>
        <v>98</v>
      </c>
      <c r="K43" s="538">
        <v>1</v>
      </c>
      <c r="L43" s="2493"/>
      <c r="M43" s="2488"/>
      <c r="N43" s="2488"/>
      <c r="O43" s="2488"/>
      <c r="P43" s="3391"/>
      <c r="Q43" s="1263" t="str">
        <f t="shared" si="11"/>
        <v>内部装修</v>
      </c>
      <c r="R43" s="667" t="s">
        <v>14</v>
      </c>
      <c r="S43" s="668">
        <f t="shared" si="12"/>
        <v>100</v>
      </c>
      <c r="T43" s="667" t="s">
        <v>14</v>
      </c>
      <c r="U43" s="668">
        <f t="shared" si="13"/>
        <v>98</v>
      </c>
      <c r="V43" s="667" t="s">
        <v>14</v>
      </c>
      <c r="W43" s="668">
        <f t="shared" si="14"/>
        <v>98</v>
      </c>
      <c r="X43" s="1265"/>
      <c r="Y43" s="3393"/>
      <c r="Z43" s="1264" t="str">
        <f t="shared" si="15"/>
        <v>内部装修</v>
      </c>
      <c r="AA43" s="1264">
        <f t="shared" si="3"/>
        <v>1</v>
      </c>
      <c r="AB43" s="1264">
        <f t="shared" si="4"/>
        <v>1.0204081632653061</v>
      </c>
      <c r="AC43" s="1812">
        <f t="shared" si="5"/>
        <v>1.0204081632653061</v>
      </c>
    </row>
    <row r="44" spans="1:29" ht="15">
      <c r="A44" s="409"/>
      <c r="B44" s="364" t="s">
        <v>1706</v>
      </c>
      <c r="C44" s="3156" t="s">
        <v>3450</v>
      </c>
      <c r="D44" s="374">
        <v>100</v>
      </c>
      <c r="E44" s="3156" t="s">
        <v>3450</v>
      </c>
      <c r="F44" s="400">
        <f>SUMIF(125:125,E44,126:126)-SUMIF(125:125,C44,126:126)+100</f>
        <v>100</v>
      </c>
      <c r="G44" s="3156" t="s">
        <v>3450</v>
      </c>
      <c r="H44" s="374">
        <f>SUMIF(125:125,G44,126:126)-SUMIF(125:125,C44,126:126)+100</f>
        <v>100</v>
      </c>
      <c r="I44" s="3156" t="s">
        <v>3450</v>
      </c>
      <c r="J44" s="374">
        <f>SUMIF(125:125,I44,126:126)-SUMIF(125:125,C44,126:126)+100</f>
        <v>100</v>
      </c>
      <c r="K44" s="538">
        <v>1</v>
      </c>
      <c r="L44" s="2493"/>
      <c r="M44" s="2488"/>
      <c r="N44" s="2488"/>
      <c r="O44" s="2488"/>
      <c r="P44" s="3391"/>
      <c r="Q44" s="1263" t="str">
        <f t="shared" si="11"/>
        <v>内部装修维护情况</v>
      </c>
      <c r="R44" s="667" t="s">
        <v>14</v>
      </c>
      <c r="S44" s="668">
        <f t="shared" si="12"/>
        <v>100</v>
      </c>
      <c r="T44" s="667" t="s">
        <v>14</v>
      </c>
      <c r="U44" s="668">
        <f t="shared" si="13"/>
        <v>100</v>
      </c>
      <c r="V44" s="667" t="s">
        <v>14</v>
      </c>
      <c r="W44" s="668">
        <f t="shared" si="14"/>
        <v>100</v>
      </c>
      <c r="X44" s="1265"/>
      <c r="Y44" s="3393"/>
      <c r="Z44" s="1264" t="str">
        <f t="shared" si="15"/>
        <v>内部装修维护情况</v>
      </c>
      <c r="AA44" s="1264">
        <f t="shared" si="3"/>
        <v>1</v>
      </c>
      <c r="AB44" s="1264">
        <f t="shared" si="4"/>
        <v>1</v>
      </c>
      <c r="AC44" s="1812">
        <f t="shared" si="5"/>
        <v>1</v>
      </c>
    </row>
    <row r="45" spans="1:29" s="102" customFormat="1" ht="15.75" thickBot="1">
      <c r="A45" s="410"/>
      <c r="B45" s="3155" t="s">
        <v>3449</v>
      </c>
      <c r="C45" s="3157" t="s">
        <v>3452</v>
      </c>
      <c r="D45" s="119">
        <v>100</v>
      </c>
      <c r="E45" s="3157" t="s">
        <v>3453</v>
      </c>
      <c r="F45" s="364">
        <f>SUMIF(127:127,E45,128:128)-SUMIF(127:127,C45,128:128)+100</f>
        <v>95</v>
      </c>
      <c r="G45" s="3157" t="s">
        <v>3453</v>
      </c>
      <c r="H45" s="119">
        <f>SUMIF(127:127,G45,128:128)-SUMIF(127:127,C45,128:128)+100</f>
        <v>95</v>
      </c>
      <c r="I45" s="3157" t="s">
        <v>3453</v>
      </c>
      <c r="J45" s="119">
        <f>SUMIF(127:127,I45,128:128)-SUMIF(127:127,C45,128:128)+100</f>
        <v>95</v>
      </c>
      <c r="K45" s="539"/>
      <c r="L45" s="2489"/>
      <c r="M45" s="2440"/>
      <c r="N45" s="2440"/>
      <c r="O45" s="2440"/>
      <c r="P45" s="3391"/>
      <c r="Q45" s="530" t="str">
        <f t="shared" si="11"/>
        <v>项目情况</v>
      </c>
      <c r="R45" s="664" t="s">
        <v>14</v>
      </c>
      <c r="S45" s="665">
        <f t="shared" si="12"/>
        <v>95</v>
      </c>
      <c r="T45" s="664" t="s">
        <v>14</v>
      </c>
      <c r="U45" s="665">
        <f t="shared" si="13"/>
        <v>95</v>
      </c>
      <c r="V45" s="664" t="s">
        <v>14</v>
      </c>
      <c r="W45" s="665">
        <f t="shared" si="14"/>
        <v>95</v>
      </c>
      <c r="X45" s="666"/>
      <c r="Y45" s="3393"/>
      <c r="Z45" s="50" t="str">
        <f t="shared" si="15"/>
        <v>项目情况</v>
      </c>
      <c r="AA45" s="50">
        <f t="shared" si="3"/>
        <v>1.0526315789473684</v>
      </c>
      <c r="AB45" s="50">
        <f t="shared" si="4"/>
        <v>1.0526315789473684</v>
      </c>
      <c r="AC45" s="802">
        <f t="shared" si="5"/>
        <v>1.0526315789473684</v>
      </c>
    </row>
    <row r="46" spans="1:29" ht="15" hidden="1">
      <c r="A46" s="409"/>
      <c r="B46" s="1066"/>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1"/>
      <c r="Q46" s="1263">
        <f t="shared" si="11"/>
        <v>0</v>
      </c>
      <c r="R46" s="667" t="s">
        <v>14</v>
      </c>
      <c r="S46" s="668">
        <f t="shared" si="12"/>
        <v>100</v>
      </c>
      <c r="T46" s="667" t="s">
        <v>14</v>
      </c>
      <c r="U46" s="668">
        <f t="shared" si="13"/>
        <v>100</v>
      </c>
      <c r="V46" s="667" t="s">
        <v>14</v>
      </c>
      <c r="W46" s="668">
        <f t="shared" si="14"/>
        <v>100</v>
      </c>
      <c r="X46" s="1265"/>
      <c r="Y46" s="3393"/>
      <c r="Z46" s="1264">
        <f t="shared" si="15"/>
        <v>0</v>
      </c>
      <c r="AA46" s="1264">
        <f t="shared" si="3"/>
        <v>1</v>
      </c>
      <c r="AB46" s="1264">
        <f t="shared" si="4"/>
        <v>1</v>
      </c>
      <c r="AC46" s="1812">
        <f t="shared" si="5"/>
        <v>1</v>
      </c>
    </row>
    <row r="47" spans="1:29" ht="15.75" hidden="1" thickBot="1">
      <c r="A47" s="415"/>
      <c r="B47" s="1749"/>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2"/>
      <c r="Q47" s="1263">
        <f t="shared" si="11"/>
        <v>0</v>
      </c>
      <c r="R47" s="667" t="s">
        <v>14</v>
      </c>
      <c r="S47" s="668">
        <f t="shared" si="12"/>
        <v>100</v>
      </c>
      <c r="T47" s="667" t="s">
        <v>14</v>
      </c>
      <c r="U47" s="668">
        <f t="shared" si="13"/>
        <v>100</v>
      </c>
      <c r="V47" s="667" t="s">
        <v>14</v>
      </c>
      <c r="W47" s="668">
        <f t="shared" si="14"/>
        <v>100</v>
      </c>
      <c r="X47" s="1265"/>
      <c r="Y47" s="3394"/>
      <c r="Z47" s="1264">
        <f t="shared" si="15"/>
        <v>0</v>
      </c>
      <c r="AA47" s="1264">
        <f t="shared" si="3"/>
        <v>1</v>
      </c>
      <c r="AB47" s="1264">
        <f t="shared" si="4"/>
        <v>1</v>
      </c>
      <c r="AC47" s="1812">
        <f t="shared" si="5"/>
        <v>1</v>
      </c>
    </row>
    <row r="48" spans="1:29" ht="15">
      <c r="A48" s="416" t="s">
        <v>1707</v>
      </c>
      <c r="B48" s="417"/>
      <c r="C48" s="1081" t="s">
        <v>0</v>
      </c>
      <c r="D48" s="418"/>
      <c r="E48" s="419">
        <v>45000</v>
      </c>
      <c r="F48" s="420"/>
      <c r="G48" s="421">
        <v>58000</v>
      </c>
      <c r="H48" s="422"/>
      <c r="I48" s="419">
        <v>44500</v>
      </c>
      <c r="J48" s="422"/>
      <c r="K48" s="674"/>
      <c r="L48" s="2495"/>
      <c r="M48" s="2488"/>
      <c r="N48" s="2488"/>
      <c r="O48" s="2488"/>
      <c r="P48" s="3366" t="str">
        <f>A48</f>
        <v>成交单价（元/平方米）</v>
      </c>
      <c r="Q48" s="3395"/>
      <c r="R48" s="3383">
        <f>E48</f>
        <v>45000</v>
      </c>
      <c r="S48" s="3383"/>
      <c r="T48" s="3383">
        <f>G48</f>
        <v>58000</v>
      </c>
      <c r="U48" s="3383"/>
      <c r="V48" s="3383">
        <f>I48</f>
        <v>44500</v>
      </c>
      <c r="W48" s="3383"/>
      <c r="X48" s="385"/>
      <c r="Y48" s="673"/>
      <c r="Z48" s="385"/>
      <c r="AA48" s="385"/>
      <c r="AB48" s="385"/>
      <c r="AC48" s="555"/>
    </row>
    <row r="49" spans="1:29" ht="15.75" thickBot="1">
      <c r="A49" s="423" t="s">
        <v>1792</v>
      </c>
      <c r="B49" s="424"/>
      <c r="C49" s="1082">
        <f>R50</f>
        <v>48127</v>
      </c>
      <c r="D49" s="2141" t="s">
        <v>3463</v>
      </c>
      <c r="E49" s="1083">
        <f>R49</f>
        <v>47402</v>
      </c>
      <c r="F49" s="2142">
        <v>0.4</v>
      </c>
      <c r="G49" s="1082">
        <f>T49</f>
        <v>53775</v>
      </c>
      <c r="H49" s="2142">
        <v>0.2</v>
      </c>
      <c r="I49" s="1083">
        <f>V49</f>
        <v>46029</v>
      </c>
      <c r="J49" s="2142">
        <v>0.4</v>
      </c>
      <c r="K49" s="2144">
        <f>F49+H49+J49</f>
        <v>1</v>
      </c>
      <c r="L49" s="2495"/>
      <c r="M49" s="2488"/>
      <c r="N49" s="2488"/>
      <c r="O49" s="2488"/>
      <c r="P49" s="3366" t="str">
        <f>A49</f>
        <v>比较价值（元/平方米）</v>
      </c>
      <c r="Q49" s="3395"/>
      <c r="R49" s="3383">
        <f>IF(F1="售价",ROUND(PRODUCT(R48,AA7:AA47),0),ROUND(PRODUCT(R48,AA7:AA47),1))</f>
        <v>47402</v>
      </c>
      <c r="S49" s="3383"/>
      <c r="T49" s="3383">
        <f>IF(F1="售价",ROUND(PRODUCT(T48,AB7:AB47),0),ROUND(PRODUCT(T48,AB7:AB47),1))</f>
        <v>53775</v>
      </c>
      <c r="U49" s="3383"/>
      <c r="V49" s="3383">
        <f>IF(F1="售价",ROUND(PRODUCT(V48,AC7:AC47),0),ROUND(PRODUCT(V48,AC7:AC47),1))</f>
        <v>46029</v>
      </c>
      <c r="W49" s="3383"/>
      <c r="X49" s="385"/>
      <c r="Y49" s="385"/>
      <c r="Z49" s="385"/>
      <c r="AA49" s="385"/>
      <c r="AB49" s="385"/>
      <c r="AC49" s="555"/>
    </row>
    <row r="50" spans="1:29" ht="15.75" thickBot="1">
      <c r="A50" s="427" t="s">
        <v>1793</v>
      </c>
      <c r="B50" s="428"/>
      <c r="C50" s="351">
        <f>R50</f>
        <v>48127</v>
      </c>
      <c r="D50" s="351"/>
      <c r="E50" s="351"/>
      <c r="F50" s="351"/>
      <c r="G50" s="351"/>
      <c r="H50" s="351"/>
      <c r="I50" s="351"/>
      <c r="J50" s="429"/>
      <c r="K50" s="675"/>
      <c r="L50" s="2495"/>
      <c r="M50" s="2488"/>
      <c r="N50" s="2488"/>
      <c r="O50" s="2488"/>
      <c r="P50" s="3396" t="str">
        <f>A50</f>
        <v>估价对象XX用房的比较价值（楼面单价，元/平方米）</v>
      </c>
      <c r="Q50" s="3397"/>
      <c r="R50" s="3398">
        <f>IF(F1="售价",ROUND(IF(D49="简单平均",AVERAGE(R49:V49),R49*F49+T49*H49+V49*J49),0),ROUND(IF(D49="简单平均",AVERAGE(R49:V49),R49*F49+T49*H49+V49*J49),1))</f>
        <v>48127</v>
      </c>
      <c r="S50" s="3398"/>
      <c r="T50" s="3398"/>
      <c r="U50" s="3398"/>
      <c r="V50" s="3398"/>
      <c r="W50" s="339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1794</v>
      </c>
      <c r="D53" s="433"/>
      <c r="E53" s="434">
        <f>IF(E48&lt;E49,E49/E48-1,E48/E49-1)</f>
        <v>5.3377777777777746E-2</v>
      </c>
      <c r="F53" s="435" t="str">
        <f>IF(OR(E53&gt;=0.3,E53&lt;=-0.3),"超过30%","")</f>
        <v/>
      </c>
      <c r="G53" s="434">
        <f>IF(G48&lt;G49,G49/G48-1,G48/G49-1)</f>
        <v>7.8568107856810787E-2</v>
      </c>
      <c r="H53" s="435" t="str">
        <f>IF(OR(G53&gt;=0.3,G53&lt;=-0.3),"超过30%","")</f>
        <v/>
      </c>
      <c r="I53" s="434">
        <f>IF(I48&lt;I49,I49/I48-1,I48/I49-1)</f>
        <v>3.4359550561797736E-2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1795</v>
      </c>
      <c r="D54" s="436"/>
      <c r="E54" s="434">
        <f>IF(E49&lt;G49,G49/E49-1,E49/G49-1)</f>
        <v>0.13444580397451578</v>
      </c>
      <c r="F54" s="435" t="str">
        <f>IF(OR(E54&gt;=0.2,E54&lt;=-0.2),"超过20%","")</f>
        <v/>
      </c>
      <c r="G54" s="434">
        <f>IF(G49&lt;I49,I49/G49-1,G49/I49-1)</f>
        <v>0.16828521149709963</v>
      </c>
      <c r="H54" s="435" t="str">
        <f>IF(OR(G54&gt;=0.2,G54&lt;=-0.2),"超过20%","")</f>
        <v/>
      </c>
      <c r="I54" s="434">
        <f>IF(I49&lt;E49,E49/I49-1,I49/E49-1)</f>
        <v>2.9829020834691189E-2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1796</v>
      </c>
      <c r="D55" s="436"/>
      <c r="E55" s="434">
        <f>IF(E48&lt;G48,G48/E48-1,E48/G48-1)</f>
        <v>0.28888888888888897</v>
      </c>
      <c r="F55" s="435" t="str">
        <f>IF(OR(E55&gt;=0.3,E55&lt;=-0.3),"超过30%","")</f>
        <v/>
      </c>
      <c r="G55" s="434">
        <f>IF(G48&lt;I48,I48/G48-1,G48/I48-1)</f>
        <v>0.30337078651685401</v>
      </c>
      <c r="H55" s="435" t="str">
        <f>IF(OR(G55&gt;=0.3,G55&lt;=-0.3),"超过30%","")</f>
        <v>超过30%</v>
      </c>
      <c r="I55" s="434">
        <f>IF(I48&lt;E48,E48/I48-1,I48/E48-1)</f>
        <v>1.1235955056179803E-2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1797</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1678</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v>100</v>
      </c>
      <c r="E60" s="446">
        <v>100</v>
      </c>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1715</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1680</v>
      </c>
      <c r="B62" s="444"/>
      <c r="C62" s="456" t="s">
        <v>1775</v>
      </c>
      <c r="D62" s="3150" t="s">
        <v>3419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1718</v>
      </c>
      <c r="B64" s="460" t="s">
        <v>1684</v>
      </c>
      <c r="C64" s="461" t="str">
        <f>C9</f>
        <v>办公</v>
      </c>
      <c r="D64" s="3152" t="s">
        <v>3</v>
      </c>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v>95</v>
      </c>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1687</v>
      </c>
      <c r="C66" s="513" t="s">
        <v>3428</v>
      </c>
      <c r="D66" s="513" t="s">
        <v>3420</v>
      </c>
      <c r="E66" s="513" t="s">
        <v>3435</v>
      </c>
      <c r="F66" s="513" t="s">
        <v>3436</v>
      </c>
      <c r="G66" s="513" t="s">
        <v>3437</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99</v>
      </c>
      <c r="E67" s="467">
        <v>98</v>
      </c>
      <c r="F67" s="467">
        <v>97</v>
      </c>
      <c r="G67" s="467">
        <v>96</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t="str">
        <f>B12</f>
        <v>交易类型</v>
      </c>
      <c r="C71" s="3153" t="s">
        <v>3456</v>
      </c>
      <c r="D71" s="3153" t="s">
        <v>3455</v>
      </c>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v>100</v>
      </c>
      <c r="D72" s="467">
        <v>95</v>
      </c>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0</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0</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1689</v>
      </c>
      <c r="B77" s="460" t="s">
        <v>1820</v>
      </c>
      <c r="C77" s="504" t="s">
        <v>1720</v>
      </c>
      <c r="D77" s="504" t="s">
        <v>1721</v>
      </c>
      <c r="E77" s="504" t="s">
        <v>1722</v>
      </c>
      <c r="F77" s="504" t="s">
        <v>1723</v>
      </c>
      <c r="G77" s="504" t="s">
        <v>1724</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95</v>
      </c>
      <c r="E78" s="475">
        <f>D78-$K15</f>
        <v>90</v>
      </c>
      <c r="F78" s="475">
        <f>E78-$K15</f>
        <v>85</v>
      </c>
      <c r="G78" s="475">
        <f>F78-$K15</f>
        <v>80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1725</v>
      </c>
      <c r="C79" s="509" t="s">
        <v>1720</v>
      </c>
      <c r="D79" s="509" t="s">
        <v>1721</v>
      </c>
      <c r="E79" s="509" t="s">
        <v>1722</v>
      </c>
      <c r="F79" s="509" t="s">
        <v>1723</v>
      </c>
      <c r="G79" s="509" t="s">
        <v>1724</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95</v>
      </c>
      <c r="E80" s="475">
        <f>D80-$K17</f>
        <v>90</v>
      </c>
      <c r="F80" s="475">
        <f>E80-$K17</f>
        <v>85</v>
      </c>
      <c r="G80" s="475">
        <f>F80-$K17</f>
        <v>80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1726</v>
      </c>
      <c r="C81" s="509" t="s">
        <v>1720</v>
      </c>
      <c r="D81" s="509" t="s">
        <v>1721</v>
      </c>
      <c r="E81" s="509" t="s">
        <v>1722</v>
      </c>
      <c r="F81" s="509" t="s">
        <v>1723</v>
      </c>
      <c r="G81" s="509" t="s">
        <v>1724</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1812</v>
      </c>
      <c r="C83" s="581" t="s">
        <v>1798</v>
      </c>
      <c r="D83" s="581" t="s">
        <v>1799</v>
      </c>
      <c r="E83" s="581" t="s">
        <v>1800</v>
      </c>
      <c r="F83" s="581" t="s">
        <v>1801</v>
      </c>
      <c r="G83" s="581" t="s">
        <v>1802</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1821</v>
      </c>
      <c r="C85" s="509" t="s">
        <v>1720</v>
      </c>
      <c r="D85" s="509" t="s">
        <v>1721</v>
      </c>
      <c r="E85" s="509" t="s">
        <v>1722</v>
      </c>
      <c r="F85" s="509" t="s">
        <v>1723</v>
      </c>
      <c r="G85" s="509" t="s">
        <v>1724</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97</v>
      </c>
      <c r="E86" s="475">
        <f>D86-$K23</f>
        <v>94</v>
      </c>
      <c r="F86" s="475">
        <f>E86-$K23</f>
        <v>91</v>
      </c>
      <c r="G86" s="475">
        <f>F86-$K23</f>
        <v>88</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1822</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t="s">
        <v>3438</v>
      </c>
      <c r="D89" s="485" t="s">
        <v>3424</v>
      </c>
      <c r="E89" s="485" t="s">
        <v>3439</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1693</v>
      </c>
      <c r="B101" s="460" t="s">
        <v>1735</v>
      </c>
      <c r="C101" s="3152" t="s">
        <v>3441</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1736</v>
      </c>
      <c r="C103" s="509" t="str">
        <f>C104&amp;"(含)"&amp;"-"&amp;D104</f>
        <v>0(含)-50</v>
      </c>
      <c r="D103" s="509" t="str">
        <f t="shared" ref="D103:L103" si="23">D104&amp;"(含)"&amp;"-"&amp;E104</f>
        <v>50(含)-80</v>
      </c>
      <c r="E103" s="509" t="str">
        <f t="shared" si="23"/>
        <v>80(含)-150</v>
      </c>
      <c r="F103" s="509" t="str">
        <f t="shared" si="23"/>
        <v>150(含)-300</v>
      </c>
      <c r="G103" s="509" t="str">
        <f t="shared" si="23"/>
        <v>300(含)-500</v>
      </c>
      <c r="H103" s="509" t="str">
        <f t="shared" si="23"/>
        <v>500(含)-1000</v>
      </c>
      <c r="I103" s="509" t="str">
        <f t="shared" si="23"/>
        <v>1000(含)-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ht="15" thickBot="1">
      <c r="A104" s="406"/>
      <c r="B104" s="523"/>
      <c r="C104" s="491">
        <v>0</v>
      </c>
      <c r="D104" s="491">
        <v>50</v>
      </c>
      <c r="E104" s="491">
        <v>80</v>
      </c>
      <c r="F104" s="491">
        <v>150</v>
      </c>
      <c r="G104" s="491">
        <v>300</v>
      </c>
      <c r="H104" s="491">
        <v>500</v>
      </c>
      <c r="I104" s="491">
        <v>1000</v>
      </c>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6.5" thickTop="1" thickBot="1">
      <c r="A105" s="484"/>
      <c r="B105" s="474"/>
      <c r="C105" s="491">
        <v>100</v>
      </c>
      <c r="D105" s="491">
        <v>95</v>
      </c>
      <c r="E105" s="491">
        <v>90</v>
      </c>
      <c r="F105" s="491">
        <v>89</v>
      </c>
      <c r="G105" s="491">
        <v>88</v>
      </c>
      <c r="H105" s="491">
        <v>87</v>
      </c>
      <c r="I105" s="491">
        <v>86</v>
      </c>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1737</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1739</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1823</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1740</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1741</v>
      </c>
      <c r="C117" s="3153" t="s">
        <v>3423</v>
      </c>
      <c r="D117" s="3153" t="s">
        <v>3442</v>
      </c>
      <c r="E117" s="3153" t="s">
        <v>3443</v>
      </c>
      <c r="F117" s="3153" t="s">
        <v>3444</v>
      </c>
      <c r="G117" s="3153" t="s">
        <v>3445</v>
      </c>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1824</v>
      </c>
      <c r="C119" s="3154" t="s">
        <v>3426</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1807</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1743</v>
      </c>
      <c r="C123" s="3153" t="s">
        <v>3425</v>
      </c>
      <c r="D123" s="3153" t="s">
        <v>3427</v>
      </c>
      <c r="E123" s="3153" t="s">
        <v>3446</v>
      </c>
      <c r="F123" s="3154" t="s">
        <v>3429</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t="str">
        <f>B45</f>
        <v>项目情况</v>
      </c>
      <c r="C127" s="3153" t="s">
        <v>3452</v>
      </c>
      <c r="D127" s="3153" t="s">
        <v>3453</v>
      </c>
      <c r="E127" s="3153"/>
      <c r="F127" s="3153"/>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v>100</v>
      </c>
      <c r="D128" s="467">
        <v>95</v>
      </c>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0</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0</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28" zoomScale="80" zoomScaleNormal="70" zoomScaleSheetLayoutView="8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3458</v>
      </c>
      <c r="D1" s="1271" t="s">
        <v>43</v>
      </c>
      <c r="E1" s="1272" t="s">
        <v>678</v>
      </c>
      <c r="F1" s="999">
        <f ca="1">J53</f>
        <v>29.9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310.25810000000001</v>
      </c>
      <c r="C2" s="1289" t="s">
        <v>879</v>
      </c>
      <c r="D2" s="1375">
        <f ca="1">C40+J29+L46</f>
        <v>3102581</v>
      </c>
      <c r="E2" s="1295" t="s">
        <v>880</v>
      </c>
      <c r="F2" s="1296"/>
      <c r="G2" s="2479"/>
      <c r="H2" s="2469"/>
      <c r="I2" s="2469"/>
      <c r="J2" s="2469"/>
      <c r="K2" s="2470"/>
      <c r="L2" s="2469"/>
      <c r="M2" s="2469"/>
    </row>
    <row r="3" spans="1:37" ht="18" customHeight="1" thickBot="1">
      <c r="A3" s="1297" t="s">
        <v>881</v>
      </c>
      <c r="B3" s="1298">
        <f ca="1">IF(ISERROR(D2/F43),0,ROUND(D2/F43,0))</f>
        <v>31406</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207956</v>
      </c>
      <c r="D5" s="1273" t="s">
        <v>889</v>
      </c>
      <c r="E5" s="1008"/>
      <c r="F5" s="1009"/>
      <c r="G5" s="1292"/>
      <c r="H5" s="291">
        <v>1</v>
      </c>
      <c r="I5" s="292" t="s">
        <v>888</v>
      </c>
      <c r="J5" s="1007">
        <f ca="1">J6+J10+J12</f>
        <v>0</v>
      </c>
      <c r="K5" s="1273" t="s">
        <v>889</v>
      </c>
      <c r="L5" s="1008"/>
      <c r="M5" s="1009"/>
    </row>
    <row r="6" spans="1:37" ht="18" customHeight="1">
      <c r="A6" s="1006" t="s">
        <v>398</v>
      </c>
      <c r="B6" s="3399" t="s">
        <v>694</v>
      </c>
      <c r="C6" s="1011">
        <f ca="1">ROUND(F6*F8*F7*(1-F9),0)</f>
        <v>207696</v>
      </c>
      <c r="D6" s="147" t="s">
        <v>2104</v>
      </c>
      <c r="E6" s="294" t="s">
        <v>696</v>
      </c>
      <c r="F6" s="295">
        <f ca="1">INDIRECT("'数据-取费表'!u"&amp;$G$1)</f>
        <v>6.4</v>
      </c>
      <c r="G6" s="1292"/>
      <c r="H6" s="1006" t="s">
        <v>398</v>
      </c>
      <c r="I6" s="3399" t="s">
        <v>694</v>
      </c>
      <c r="J6" s="293">
        <f ca="1">ROUND(M6*M8*M7*(1-M9),0)</f>
        <v>0</v>
      </c>
      <c r="K6" s="1284" t="s">
        <v>2105</v>
      </c>
      <c r="L6" s="294" t="s">
        <v>696</v>
      </c>
      <c r="M6" s="295">
        <f ca="1">INDIRECT("'数据-取费表'!z"&amp;$G$1)</f>
        <v>0</v>
      </c>
    </row>
    <row r="7" spans="1:37" ht="18" customHeight="1">
      <c r="A7" s="1010"/>
      <c r="B7" s="3400"/>
      <c r="C7" s="1012"/>
      <c r="D7" s="299"/>
      <c r="E7" s="1013" t="s">
        <v>697</v>
      </c>
      <c r="F7" s="295">
        <f ca="1">IF(INDIRECT("'数据-取费表'!ah"&amp;$G$1)="",INDIRECT("'数据-取费表'!k"&amp;$G$1),INDIRECT("'数据-取费表'!ah"&amp;$G$1))</f>
        <v>98.79</v>
      </c>
      <c r="G7" s="1292"/>
      <c r="H7" s="296"/>
      <c r="I7" s="3400"/>
      <c r="J7" s="298"/>
      <c r="K7" s="299"/>
      <c r="L7" s="294" t="s">
        <v>697</v>
      </c>
      <c r="M7" s="295">
        <f ca="1">F7</f>
        <v>98.79</v>
      </c>
    </row>
    <row r="8" spans="1:37" ht="18" customHeight="1">
      <c r="A8" s="296"/>
      <c r="B8" s="3400"/>
      <c r="C8" s="298"/>
      <c r="D8" s="299"/>
      <c r="E8" s="294" t="s">
        <v>698</v>
      </c>
      <c r="F8" s="295">
        <f ca="1">INDIRECT("'数据-取费表'!ai"&amp;$G$1)</f>
        <v>365</v>
      </c>
      <c r="G8" s="1292"/>
      <c r="H8" s="296"/>
      <c r="I8" s="3400"/>
      <c r="J8" s="298"/>
      <c r="K8" s="299"/>
      <c r="L8" s="294" t="s">
        <v>698</v>
      </c>
      <c r="M8" s="295">
        <f ca="1">INDIRECT("'数据-取费表'!ai"&amp;$G$1)</f>
        <v>365</v>
      </c>
    </row>
    <row r="9" spans="1:37" ht="18" customHeight="1">
      <c r="A9" s="296"/>
      <c r="B9" s="3401"/>
      <c r="C9" s="298"/>
      <c r="D9" s="299"/>
      <c r="E9" s="294" t="s">
        <v>699</v>
      </c>
      <c r="F9" s="304">
        <f ca="1">INDIRECT("'数据-取费表'!w"&amp;$G$1)</f>
        <v>0.1</v>
      </c>
      <c r="G9" s="1292"/>
      <c r="H9" s="296"/>
      <c r="I9" s="3401"/>
      <c r="J9" s="298"/>
      <c r="K9" s="299"/>
      <c r="L9" s="305" t="s">
        <v>699</v>
      </c>
      <c r="M9" s="306">
        <f ca="1">INDIRECT("'数据-取费表'!ab"&amp;$G$1)</f>
        <v>0</v>
      </c>
    </row>
    <row r="10" spans="1:37" ht="18" customHeight="1">
      <c r="A10" s="1006" t="s">
        <v>402</v>
      </c>
      <c r="B10" s="1274" t="s">
        <v>700</v>
      </c>
      <c r="C10" s="308">
        <f ca="1">ROUND(IF(F10="押一",C6/12*F11,IF(F10="押二",C6/12*2*F11,IF(F10="押三",C6/12*3*F11,C11*F11))),0)</f>
        <v>260</v>
      </c>
      <c r="D10" s="150" t="s">
        <v>2114</v>
      </c>
      <c r="E10" s="305" t="s">
        <v>701</v>
      </c>
      <c r="F10" s="1053" t="s">
        <v>3412</v>
      </c>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606747</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533466</v>
      </c>
      <c r="D14" s="1257" t="s">
        <v>708</v>
      </c>
      <c r="E14" s="1255"/>
      <c r="F14" s="311"/>
      <c r="G14" s="1292"/>
      <c r="H14" s="928" t="s">
        <v>398</v>
      </c>
      <c r="I14" s="294" t="s">
        <v>709</v>
      </c>
      <c r="J14" s="21">
        <f ca="1">C29</f>
        <v>758434</v>
      </c>
      <c r="K14" s="12"/>
      <c r="L14" s="759"/>
      <c r="M14" s="760"/>
    </row>
    <row r="15" spans="1:37" s="1304" customFormat="1" ht="18" customHeight="1" thickBot="1">
      <c r="A15" s="928" t="s">
        <v>399</v>
      </c>
      <c r="B15" s="294" t="s">
        <v>710</v>
      </c>
      <c r="C15" s="21">
        <f ca="1">ROUND(C14*F15,0)</f>
        <v>16004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2499</v>
      </c>
      <c r="K16" s="1024" t="s">
        <v>715</v>
      </c>
      <c r="L16" s="1025"/>
      <c r="M16" s="1009"/>
    </row>
    <row r="17" spans="1:37" s="1304" customFormat="1" ht="18" customHeight="1">
      <c r="A17" s="928" t="s">
        <v>681</v>
      </c>
      <c r="B17" s="294" t="s">
        <v>716</v>
      </c>
      <c r="C17" s="21">
        <f ca="1">ROUND(F17*(F43+INDIRECT("'数据-取费表'!S"&amp;$G$1)),0)</f>
        <v>19758</v>
      </c>
      <c r="D17" s="294" t="s">
        <v>717</v>
      </c>
      <c r="E17" s="294" t="s">
        <v>718</v>
      </c>
      <c r="F17" s="23">
        <f>'数据-取费表'!B35</f>
        <v>200</v>
      </c>
      <c r="G17" s="1303"/>
      <c r="H17" s="928" t="s">
        <v>398</v>
      </c>
      <c r="I17" s="294" t="s">
        <v>719</v>
      </c>
      <c r="J17" s="2140">
        <f ca="1">ROUND(IF(AND(项目基本情况!B11="自然人",项目基本情况!B10="北京市"),J6*M17/(1+'数据-取费表'!C42),J18+J19+J20),0)</f>
        <v>224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10669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579897</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11598</v>
      </c>
      <c r="D20" s="315" t="s">
        <v>729</v>
      </c>
      <c r="E20" s="294" t="s">
        <v>712</v>
      </c>
      <c r="F20" s="314">
        <f>'数据-取费表'!B37</f>
        <v>0.02</v>
      </c>
      <c r="G20" s="1303"/>
      <c r="H20" s="928" t="s">
        <v>680</v>
      </c>
      <c r="I20" s="147" t="s">
        <v>730</v>
      </c>
      <c r="J20" s="22">
        <f ca="1">ROUND(M20*M21,0)</f>
        <v>224</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12.45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2275</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19816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-2499</v>
      </c>
      <c r="K25" s="1032" t="s">
        <v>753</v>
      </c>
      <c r="L25" s="1033"/>
      <c r="M25" s="1034"/>
    </row>
    <row r="26" spans="1:37" ht="18" customHeight="1">
      <c r="A26" s="928" t="s">
        <v>397</v>
      </c>
      <c r="B26" s="294" t="s">
        <v>754</v>
      </c>
      <c r="C26" s="21">
        <f ca="1">ROUND((C19+C20)*F26,0)</f>
        <v>88724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758434</v>
      </c>
      <c r="D29" s="1029"/>
      <c r="E29" s="1027"/>
      <c r="F29" s="1030"/>
      <c r="G29" s="1303"/>
      <c r="H29" s="325" t="s">
        <v>396</v>
      </c>
      <c r="I29" s="326" t="s">
        <v>768</v>
      </c>
      <c r="J29" s="327">
        <f ca="1">ROUND(J26/(1+F40)^F41,0)</f>
        <v>0</v>
      </c>
      <c r="K29" s="328" t="s">
        <v>769</v>
      </c>
      <c r="L29" s="329"/>
      <c r="M29" s="330">
        <f ca="1">INDIRECT("'数据-取费表'!k"&amp;$G$1)</f>
        <v>98.79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38960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35038</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11077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23737</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224</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12.45</v>
      </c>
      <c r="G35" s="1292"/>
      <c r="H35" s="2471"/>
      <c r="I35" s="1305"/>
      <c r="J35" s="1306"/>
      <c r="K35" s="2475"/>
      <c r="L35" s="2474"/>
      <c r="M35" s="2474"/>
    </row>
    <row r="36" spans="1:18" ht="18" customHeight="1">
      <c r="A36" s="1039" t="s">
        <v>402</v>
      </c>
      <c r="B36" s="294" t="s">
        <v>738</v>
      </c>
      <c r="C36" s="21">
        <f ca="1">ROUND(C29*F36,0)</f>
        <v>2275</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607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1040</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168996</v>
      </c>
      <c r="D39" s="1032" t="s">
        <v>773</v>
      </c>
      <c r="E39" s="1033"/>
      <c r="F39" s="1034"/>
      <c r="G39" s="1292"/>
      <c r="H39" s="2474"/>
      <c r="I39" s="1305"/>
      <c r="J39" s="1306"/>
      <c r="K39" s="2472"/>
      <c r="L39" s="2474"/>
      <c r="M39" s="2474"/>
    </row>
    <row r="40" spans="1:18" ht="18" customHeight="1">
      <c r="A40" s="291" t="s">
        <v>395</v>
      </c>
      <c r="B40" s="292" t="s">
        <v>774</v>
      </c>
      <c r="C40" s="293">
        <f ca="1">ROUND(C39*(1-((1+F42)/(1+F40))^F41)/(F40-F42),0)</f>
        <v>3067678</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31053</v>
      </c>
      <c r="D43" s="328" t="s">
        <v>777</v>
      </c>
      <c r="E43" s="329" t="s">
        <v>778</v>
      </c>
      <c r="F43" s="330">
        <f ca="1">INDIRECT("'数据-取费表'!k"&amp;$G$1)</f>
        <v>98.79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f ca="1">ROUND((C68-C40)/10000,4)</f>
        <v>-311.27589999999998</v>
      </c>
      <c r="D45" s="3131" t="s">
        <v>3353</v>
      </c>
      <c r="E45" s="1307"/>
      <c r="F45" s="1307"/>
      <c r="O45" s="1310" t="s">
        <v>808</v>
      </c>
      <c r="P45" s="1366"/>
      <c r="Q45" s="1366"/>
      <c r="R45" s="1366"/>
    </row>
    <row r="46" spans="1:18" s="1292" customFormat="1" ht="13.5" thickBot="1">
      <c r="A46" s="1311" t="s">
        <v>809</v>
      </c>
      <c r="C46" s="1312">
        <f ca="1">ROUND(C45,0)</f>
        <v>-311</v>
      </c>
      <c r="D46" s="1313" t="str">
        <f>C2</f>
        <v>万元</v>
      </c>
      <c r="I46" s="1314" t="s">
        <v>810</v>
      </c>
      <c r="J46" s="1315"/>
      <c r="K46" s="1316"/>
      <c r="L46" s="1317">
        <f ca="1">IF(M47="住宅",0,IF(L48&gt;J51,L60,J60))</f>
        <v>34903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3413</v>
      </c>
      <c r="K47" s="1323" t="s">
        <v>816</v>
      </c>
      <c r="L47" s="1324">
        <f ca="1">INDIRECT("'数据-取费表'!d"&amp;$G$1)</f>
        <v>50</v>
      </c>
      <c r="M47" s="1288" t="str">
        <f>IF(ISNUMBER(FIND("住宅",C1)),"住宅","非住宅")</f>
        <v>非住宅</v>
      </c>
      <c r="O47" s="1325" t="s">
        <v>403</v>
      </c>
      <c r="P47" s="1326" t="s">
        <v>817</v>
      </c>
      <c r="Q47" s="1327">
        <f ca="1">C40+J29</f>
        <v>3067678</v>
      </c>
      <c r="R47" s="1327" t="s">
        <v>818</v>
      </c>
    </row>
    <row r="48" spans="1:18" s="1292" customFormat="1" ht="28.5" thickBot="1">
      <c r="A48" s="1047" t="s">
        <v>438</v>
      </c>
      <c r="B48" s="292" t="s">
        <v>692</v>
      </c>
      <c r="C48" s="1268">
        <f ca="1">C49+C53+C55</f>
        <v>0</v>
      </c>
      <c r="D48" s="1049"/>
      <c r="E48" s="1050"/>
      <c r="F48" s="908"/>
      <c r="G48" s="681"/>
      <c r="H48" s="682"/>
      <c r="I48" s="1328" t="s">
        <v>819</v>
      </c>
      <c r="J48" s="1329" t="s">
        <v>3414</v>
      </c>
      <c r="K48" s="1330" t="s">
        <v>820</v>
      </c>
      <c r="L48" s="1331">
        <f ca="1">INDIRECT("'数据-取费表'!f"&amp;$G$1)</f>
        <v>29.9</v>
      </c>
      <c r="O48" s="1325" t="s">
        <v>404</v>
      </c>
      <c r="P48" s="1326" t="s">
        <v>821</v>
      </c>
      <c r="Q48" s="1327">
        <f ca="1">J60</f>
        <v>34903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2012</v>
      </c>
      <c r="K49" s="1330" t="s">
        <v>824</v>
      </c>
      <c r="L49" s="1333"/>
      <c r="O49" s="1334" t="s">
        <v>405</v>
      </c>
      <c r="P49" s="1326" t="s">
        <v>825</v>
      </c>
      <c r="Q49" s="1327">
        <f ca="1">C29</f>
        <v>758434</v>
      </c>
      <c r="R49" s="1327" t="s">
        <v>818</v>
      </c>
    </row>
    <row r="50" spans="1:18" s="1292" customFormat="1" ht="13.5" thickBot="1">
      <c r="A50" s="922"/>
      <c r="B50" s="925"/>
      <c r="C50" s="926"/>
      <c r="D50" s="899"/>
      <c r="E50" s="993" t="s">
        <v>697</v>
      </c>
      <c r="F50" s="994">
        <f ca="1">F7</f>
        <v>98.79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2287189</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29.9</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29.9</v>
      </c>
      <c r="K53" s="3402" t="s">
        <v>837</v>
      </c>
      <c r="L53" s="3403"/>
      <c r="O53" s="1325" t="s">
        <v>409</v>
      </c>
      <c r="P53" s="1326" t="s">
        <v>838</v>
      </c>
      <c r="Q53" s="1327">
        <f ca="1">Q47+Q48</f>
        <v>3102581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0.30199999999999999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606747</v>
      </c>
      <c r="D56" s="1352"/>
      <c r="E56" s="1353"/>
      <c r="F56" s="1345"/>
      <c r="I56" s="1354" t="s">
        <v>842</v>
      </c>
      <c r="J56" s="1355" t="s">
        <v>3462</v>
      </c>
      <c r="K56" s="1328" t="s">
        <v>843</v>
      </c>
      <c r="L56" s="1331" t="str">
        <f ca="1">IF(L48&lt;J51,"——",L48-J51)</f>
        <v>——</v>
      </c>
      <c r="O56" s="1325" t="s">
        <v>403</v>
      </c>
      <c r="P56" s="1326" t="s">
        <v>817</v>
      </c>
      <c r="Q56" s="1327">
        <f ca="1">C40+J29</f>
        <v>3067678</v>
      </c>
      <c r="R56" s="1327" t="s">
        <v>818</v>
      </c>
    </row>
    <row r="57" spans="1:18" s="1292" customFormat="1" ht="24.75" thickBot="1">
      <c r="A57" s="1356"/>
      <c r="B57" s="896" t="s">
        <v>767</v>
      </c>
      <c r="C57" s="230">
        <f ca="1">C29</f>
        <v>758434</v>
      </c>
      <c r="D57" s="1357"/>
      <c r="E57" s="1358"/>
      <c r="F57" s="1359"/>
      <c r="I57" s="1360" t="s">
        <v>844</v>
      </c>
      <c r="J57" s="1361">
        <f ca="1">IF(OR(M47="住宅",J51&lt;L48,J56="是"),"——",J51-L48)</f>
        <v>18.100000000000001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3106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224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303374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34903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224</v>
      </c>
      <c r="D62" s="911" t="s">
        <v>786</v>
      </c>
      <c r="E62" s="896" t="s">
        <v>787</v>
      </c>
      <c r="F62" s="317">
        <f t="shared" si="0"/>
        <v>18</v>
      </c>
      <c r="I62" s="1367" t="s">
        <v>858</v>
      </c>
      <c r="J62" s="610" t="s">
        <v>859</v>
      </c>
      <c r="K62" s="610" t="s">
        <v>860</v>
      </c>
      <c r="L62" s="610" t="s">
        <v>861</v>
      </c>
      <c r="M62" s="1368" t="s">
        <v>862</v>
      </c>
      <c r="O62" s="1325" t="s">
        <v>409</v>
      </c>
      <c r="P62" s="1326" t="s">
        <v>863</v>
      </c>
      <c r="Q62" s="1327">
        <f ca="1">Q56+Q57</f>
        <v>3067678</v>
      </c>
      <c r="R62" s="1327" t="s">
        <v>410</v>
      </c>
    </row>
    <row r="63" spans="1:18" s="1292" customFormat="1" ht="13.5" thickBot="1">
      <c r="A63" s="318"/>
      <c r="B63" s="902"/>
      <c r="C63" s="26"/>
      <c r="D63" s="912"/>
      <c r="E63" s="896" t="s">
        <v>788</v>
      </c>
      <c r="F63" s="295">
        <f t="shared" ca="1" si="0"/>
        <v>12.45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2275</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607</v>
      </c>
      <c r="D65" s="910" t="s">
        <v>743</v>
      </c>
      <c r="E65" s="896" t="s">
        <v>744</v>
      </c>
      <c r="F65" s="321">
        <f t="shared" ca="1" si="0"/>
        <v>1E-3</v>
      </c>
      <c r="I65" s="1367" t="s">
        <v>867</v>
      </c>
      <c r="J65" s="610">
        <v>40</v>
      </c>
      <c r="K65" s="610">
        <v>30</v>
      </c>
      <c r="L65" s="610">
        <v>50</v>
      </c>
      <c r="M65" s="1369">
        <v>0.02</v>
      </c>
      <c r="O65" s="1325" t="s">
        <v>403</v>
      </c>
      <c r="P65" s="1326" t="s">
        <v>868</v>
      </c>
      <c r="Q65" s="1327">
        <f ca="1">C40+J29</f>
        <v>3067678</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-3106</v>
      </c>
      <c r="D67" s="909" t="s">
        <v>753</v>
      </c>
      <c r="E67" s="914"/>
      <c r="F67" s="915"/>
      <c r="O67" s="1334" t="s">
        <v>405</v>
      </c>
      <c r="P67" s="1326" t="s">
        <v>850</v>
      </c>
      <c r="Q67" s="1370">
        <f ca="1">L51</f>
        <v>2287189</v>
      </c>
      <c r="R67" s="1327" t="s">
        <v>870</v>
      </c>
    </row>
    <row r="68" spans="1:18" s="1292" customFormat="1" ht="16.5" thickBot="1">
      <c r="A68" s="893" t="s">
        <v>395</v>
      </c>
      <c r="B68" s="894" t="s">
        <v>774</v>
      </c>
      <c r="C68" s="293">
        <f ca="1">ROUND(C67*(1-((1+F70)/(1+F68))^F69)/(F68-F70),0)</f>
        <v>-45081</v>
      </c>
      <c r="D68" s="911" t="s">
        <v>758</v>
      </c>
      <c r="E68" s="896" t="s">
        <v>759</v>
      </c>
      <c r="F68" s="304">
        <f ca="1">F40</f>
        <v>5.5E-2</v>
      </c>
      <c r="O68" s="1334" t="s">
        <v>406</v>
      </c>
      <c r="P68" s="1371" t="s">
        <v>871</v>
      </c>
      <c r="Q68" s="1327">
        <f ca="1">ROUND(Q69-Q70*Q71,0)</f>
        <v>126524</v>
      </c>
      <c r="R68" s="1327" t="s">
        <v>414</v>
      </c>
    </row>
    <row r="69" spans="1:18" s="1292" customFormat="1" ht="13.5" thickBot="1">
      <c r="A69" s="897"/>
      <c r="B69" s="898"/>
      <c r="C69" s="298"/>
      <c r="D69" s="916" t="s">
        <v>762</v>
      </c>
      <c r="E69" s="896" t="s">
        <v>763</v>
      </c>
      <c r="F69" s="324">
        <f ca="1">F41</f>
        <v>29.9</v>
      </c>
      <c r="O69" s="1334" t="s">
        <v>411</v>
      </c>
      <c r="P69" s="1371" t="s">
        <v>872</v>
      </c>
      <c r="Q69" s="1327">
        <f ca="1">C39</f>
        <v>168996</v>
      </c>
      <c r="R69" s="1327" t="s">
        <v>818</v>
      </c>
    </row>
    <row r="70" spans="1:18" s="1292" customFormat="1" ht="13.5" thickBot="1">
      <c r="A70" s="900"/>
      <c r="B70" s="901"/>
      <c r="C70" s="302"/>
      <c r="D70" s="912"/>
      <c r="E70" s="896" t="s">
        <v>766</v>
      </c>
      <c r="F70" s="991"/>
      <c r="O70" s="1334" t="s">
        <v>412</v>
      </c>
      <c r="P70" s="1371" t="s">
        <v>873</v>
      </c>
      <c r="Q70" s="1327">
        <f ca="1">C13</f>
        <v>606747</v>
      </c>
      <c r="R70" s="1327" t="s">
        <v>818</v>
      </c>
    </row>
    <row r="71" spans="1:18" s="1292" customFormat="1" ht="13.5" thickBot="1">
      <c r="A71" s="917" t="s">
        <v>396</v>
      </c>
      <c r="B71" s="918" t="s">
        <v>776</v>
      </c>
      <c r="C71" s="327">
        <f ca="1">ROUND(C68/F71,0)</f>
        <v>-456</v>
      </c>
      <c r="D71" s="919" t="s">
        <v>777</v>
      </c>
      <c r="E71" s="920" t="s">
        <v>778</v>
      </c>
      <c r="F71" s="330">
        <f ca="1">F43</f>
        <v>98.79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42472</v>
      </c>
      <c r="D75" s="1292"/>
      <c r="E75" s="1292"/>
      <c r="F75" s="1292"/>
      <c r="K75" s="1309"/>
      <c r="L75" s="1292"/>
      <c r="O75" s="1325" t="s">
        <v>409</v>
      </c>
      <c r="P75" s="1326" t="s">
        <v>838</v>
      </c>
      <c r="Q75" s="1327">
        <f ca="1">Q65+Q66</f>
        <v>3067678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0.749</v>
      </c>
    </row>
    <row r="80" spans="1:18">
      <c r="B80" s="331" t="s">
        <v>800</v>
      </c>
      <c r="C80" s="266">
        <f ca="1">ROUND(C75/C39,3)</f>
        <v>0.251</v>
      </c>
    </row>
    <row r="81" spans="2:3">
      <c r="B81" s="262" t="s">
        <v>801</v>
      </c>
      <c r="C81" s="230"/>
    </row>
    <row r="82" spans="2:3">
      <c r="B82" s="265" t="s">
        <v>802</v>
      </c>
      <c r="C82" s="267">
        <f ca="1">1-C83</f>
        <v>0.80200000000000005</v>
      </c>
    </row>
    <row r="83" spans="2:3">
      <c r="B83" s="265" t="s">
        <v>803</v>
      </c>
      <c r="C83" s="266">
        <f ca="1">ROUND(C13/C40,3)</f>
        <v>0.19800000000000001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404" t="s">
        <v>2317</v>
      </c>
      <c r="K2" s="340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06" t="s">
        <v>2327</v>
      </c>
      <c r="K3" s="340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06" t="s">
        <v>2329</v>
      </c>
      <c r="K4" s="340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08" t="s">
        <v>2333</v>
      </c>
      <c r="B6" s="3409"/>
      <c r="C6" s="3410"/>
      <c r="D6" s="2622"/>
      <c r="E6" s="2623"/>
      <c r="F6" s="2624"/>
      <c r="G6" s="2625"/>
      <c r="H6" s="2600"/>
      <c r="I6" s="2601"/>
      <c r="J6" s="3411">
        <v>1</v>
      </c>
      <c r="K6" s="3412"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11"/>
      <c r="K7" s="3413"/>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15" t="s">
        <v>2347</v>
      </c>
      <c r="C8" s="3416"/>
      <c r="D8" s="2641" t="s">
        <v>2348</v>
      </c>
      <c r="E8" s="2642" t="s">
        <v>2349</v>
      </c>
      <c r="F8" s="2643" t="s">
        <v>2350</v>
      </c>
      <c r="G8" s="2644"/>
      <c r="H8" s="2600"/>
      <c r="I8" s="2601"/>
      <c r="J8" s="3411"/>
      <c r="K8" s="3413"/>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15" t="s">
        <v>2353</v>
      </c>
      <c r="C9" s="3416"/>
      <c r="D9" s="2641">
        <f>ROUND(D6*E9,0)</f>
        <v>0</v>
      </c>
      <c r="E9" s="2645"/>
      <c r="F9" s="2646" t="s">
        <v>2354</v>
      </c>
      <c r="G9" s="2625"/>
      <c r="H9" s="2600"/>
      <c r="I9" s="2601"/>
      <c r="J9" s="3411"/>
      <c r="K9" s="3413"/>
      <c r="L9" s="2635" t="s">
        <v>2355</v>
      </c>
      <c r="M9" s="2636"/>
      <c r="N9" s="2612"/>
      <c r="O9" s="2637"/>
      <c r="P9" s="2637"/>
      <c r="Q9" s="2638">
        <v>365</v>
      </c>
      <c r="R9" s="2639">
        <f t="shared" si="0"/>
        <v>0</v>
      </c>
      <c r="S9" s="2593"/>
      <c r="T9" s="2593"/>
      <c r="U9" s="2593"/>
      <c r="V9" s="2601"/>
    </row>
    <row r="10" spans="1:22" s="2605" customFormat="1" ht="13.15" customHeight="1">
      <c r="A10" s="2640">
        <v>2</v>
      </c>
      <c r="B10" s="3415" t="s">
        <v>2356</v>
      </c>
      <c r="C10" s="3416"/>
      <c r="D10" s="2641">
        <f>ROUND(D6*E10,0)</f>
        <v>0</v>
      </c>
      <c r="E10" s="2645"/>
      <c r="F10" s="2646" t="s">
        <v>2357</v>
      </c>
      <c r="G10" s="2625"/>
      <c r="H10" s="2600"/>
      <c r="I10" s="2601"/>
      <c r="J10" s="3411"/>
      <c r="K10" s="3413"/>
      <c r="L10" s="2635" t="s">
        <v>2358</v>
      </c>
      <c r="M10" s="2636"/>
      <c r="N10" s="2612"/>
      <c r="O10" s="2637"/>
      <c r="P10" s="2637"/>
      <c r="Q10" s="2638">
        <v>365</v>
      </c>
      <c r="R10" s="2639">
        <f t="shared" si="0"/>
        <v>0</v>
      </c>
      <c r="S10" s="2593"/>
      <c r="T10" s="2593"/>
      <c r="U10" s="2593"/>
      <c r="V10" s="2601"/>
    </row>
    <row r="11" spans="1:22" s="2605" customFormat="1" ht="13.15" customHeight="1">
      <c r="A11" s="2640">
        <v>3</v>
      </c>
      <c r="B11" s="3415" t="s">
        <v>2359</v>
      </c>
      <c r="C11" s="3416"/>
      <c r="D11" s="2641">
        <f>D12+D14+D15+D16</f>
        <v>0</v>
      </c>
      <c r="E11" s="2647" t="e">
        <f>D11/D6</f>
        <v>#DIV/0!</v>
      </c>
      <c r="F11" s="2643"/>
      <c r="G11" s="2644"/>
      <c r="H11" s="2600"/>
      <c r="I11" s="2601"/>
      <c r="J11" s="3411"/>
      <c r="K11" s="3413"/>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17" t="s">
        <v>2362</v>
      </c>
      <c r="C12" s="3418"/>
      <c r="D12" s="2649">
        <f>ROUND(D13*1.2%*(1-30%),0)</f>
        <v>0</v>
      </c>
      <c r="E12" s="2650">
        <v>1.2E-2</v>
      </c>
      <c r="F12" s="2643" t="s">
        <v>2363</v>
      </c>
      <c r="G12" s="2644"/>
      <c r="H12" s="2600"/>
      <c r="I12" s="2601"/>
      <c r="J12" s="3411"/>
      <c r="K12" s="3413"/>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11"/>
      <c r="K13" s="3413"/>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17" t="s">
        <v>2368</v>
      </c>
      <c r="C14" s="3418"/>
      <c r="D14" s="2649">
        <f>ROUND(E14*B5/10000,0)</f>
        <v>0</v>
      </c>
      <c r="E14" s="2638"/>
      <c r="F14" s="2643" t="s">
        <v>2369</v>
      </c>
      <c r="G14" s="2644"/>
      <c r="H14" s="2600"/>
      <c r="I14" s="2601"/>
      <c r="J14" s="3411"/>
      <c r="K14" s="3414"/>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17" t="s">
        <v>2372</v>
      </c>
      <c r="C15" s="3418"/>
      <c r="D15" s="2649">
        <f>ROUND(D6*E15,0)</f>
        <v>0</v>
      </c>
      <c r="E15" s="2650">
        <v>5.5E-2</v>
      </c>
      <c r="F15" s="2643" t="s">
        <v>2373</v>
      </c>
      <c r="G15" s="2625"/>
      <c r="H15" s="2600"/>
      <c r="I15" s="2601"/>
      <c r="J15" s="3411">
        <v>2</v>
      </c>
      <c r="K15" s="3412"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17" t="s">
        <v>2381</v>
      </c>
      <c r="C16" s="3418"/>
      <c r="D16" s="2660">
        <f>D6*E16</f>
        <v>0</v>
      </c>
      <c r="E16" s="2661"/>
      <c r="F16" s="2646" t="s">
        <v>2382</v>
      </c>
      <c r="G16" s="2625"/>
      <c r="H16" s="2600"/>
      <c r="I16" s="2601"/>
      <c r="J16" s="3411"/>
      <c r="K16" s="3413"/>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19" t="s">
        <v>2384</v>
      </c>
      <c r="C17" s="3420"/>
      <c r="D17" s="2663">
        <f>ROUND(D6*E17,0)</f>
        <v>0</v>
      </c>
      <c r="E17" s="2664"/>
      <c r="F17" s="2665" t="s">
        <v>2385</v>
      </c>
      <c r="G17" s="2625"/>
      <c r="H17" s="2600"/>
      <c r="I17" s="2601"/>
      <c r="J17" s="3411"/>
      <c r="K17" s="3413"/>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11"/>
      <c r="K18" s="3413"/>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11"/>
      <c r="K19" s="3414"/>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1">
        <v>3</v>
      </c>
      <c r="K20" s="3412"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11"/>
      <c r="K21" s="3413"/>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11"/>
      <c r="K22" s="3413"/>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11"/>
      <c r="K23" s="3413"/>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11"/>
      <c r="K24" s="3414"/>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21">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2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04" t="s">
        <v>2317</v>
      </c>
      <c r="K32" s="340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06" t="s">
        <v>2327</v>
      </c>
      <c r="K33" s="340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06" t="s">
        <v>2329</v>
      </c>
      <c r="K34" s="340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11">
        <v>1</v>
      </c>
      <c r="K36" s="3412"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11"/>
      <c r="K37" s="3413"/>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1"/>
      <c r="K38" s="3413"/>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11"/>
      <c r="K39" s="3413"/>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11"/>
      <c r="K40" s="3414"/>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1">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2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1657</v>
      </c>
      <c r="B1" s="1726"/>
      <c r="C1" s="1726"/>
      <c r="D1" s="1726"/>
      <c r="E1" s="1727"/>
      <c r="F1" s="2480"/>
      <c r="G1" s="459"/>
      <c r="H1" s="459"/>
      <c r="I1" s="459"/>
      <c r="J1" s="459"/>
      <c r="K1" s="459"/>
      <c r="L1" s="459"/>
      <c r="M1" s="459"/>
      <c r="N1" s="459"/>
      <c r="O1" s="459"/>
      <c r="P1" s="459"/>
      <c r="Q1" s="459"/>
      <c r="R1" s="459"/>
      <c r="S1" s="459"/>
    </row>
    <row r="2" spans="1:22" ht="15.75">
      <c r="A2" s="1728" t="s">
        <v>1461</v>
      </c>
      <c r="B2" s="811">
        <f ca="1">SUMIF(B6:B13,"&lt;&gt;#ref!",B6:B13)</f>
        <v>310.25810000000001</v>
      </c>
      <c r="C2" s="1729" t="s">
        <v>1650</v>
      </c>
      <c r="D2" s="1730" t="s">
        <v>1651</v>
      </c>
      <c r="E2" s="2393">
        <f>SUM(E6:E13)</f>
        <v>98.79</v>
      </c>
      <c r="F2" s="2480"/>
      <c r="G2" s="459"/>
      <c r="H2" s="459"/>
      <c r="I2" s="459"/>
      <c r="J2" s="459"/>
      <c r="K2" s="459"/>
      <c r="L2" s="459"/>
      <c r="M2" s="459"/>
      <c r="N2" s="459"/>
      <c r="O2" s="459"/>
      <c r="P2" s="459"/>
      <c r="Q2" s="459"/>
      <c r="R2" s="459"/>
      <c r="S2" s="459"/>
    </row>
    <row r="3" spans="1:22" ht="15.75">
      <c r="A3" s="1728" t="s">
        <v>686</v>
      </c>
      <c r="B3" s="2387">
        <f ca="1">ROUND(B2*10000/E2,0)</f>
        <v>31406</v>
      </c>
      <c r="C3" s="1729" t="s">
        <v>1658</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1652</v>
      </c>
      <c r="B5" s="3423" t="s">
        <v>1653</v>
      </c>
      <c r="C5" s="3424"/>
      <c r="D5" s="2481"/>
      <c r="E5" s="1731" t="s">
        <v>1654</v>
      </c>
      <c r="F5" s="129" t="s">
        <v>1655</v>
      </c>
      <c r="G5" s="459"/>
      <c r="H5" s="459"/>
      <c r="I5" s="459"/>
      <c r="J5" s="459"/>
      <c r="K5" s="459"/>
      <c r="L5" s="459"/>
      <c r="M5" s="459"/>
      <c r="N5" s="459"/>
      <c r="O5" s="459"/>
      <c r="P5" s="459"/>
      <c r="Q5" s="459"/>
      <c r="R5" s="459"/>
      <c r="S5" s="459"/>
    </row>
    <row r="6" spans="1:22">
      <c r="A6" s="2390" t="str">
        <f>'数据-取费表'!AN6</f>
        <v>收益法 (元)</v>
      </c>
      <c r="B6" s="2388">
        <f ca="1">IF(F6="是",'数据-取费表'!AO6,0)</f>
        <v>310.25810000000001</v>
      </c>
      <c r="C6" s="1729" t="s">
        <v>1650</v>
      </c>
      <c r="D6" s="2480"/>
      <c r="E6" s="2392">
        <f>IF(OR(A6=0,F6="否"),0,'数据-取费表'!K6+'数据-取费表'!S6)</f>
        <v>98.79</v>
      </c>
      <c r="F6" s="1732" t="s">
        <v>1656</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1650</v>
      </c>
      <c r="D7" s="2480"/>
      <c r="E7" s="2392">
        <f>IF(OR(A7=0,F7="否"),0,'数据-取费表'!K7+'数据-取费表'!S7)</f>
        <v>0</v>
      </c>
      <c r="F7" s="1732" t="s">
        <v>1656</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1650</v>
      </c>
      <c r="D8" s="2480"/>
      <c r="E8" s="2392">
        <f>IF(OR(A8=0,F8="否"),0,'数据-取费表'!K8+'数据-取费表'!S8)</f>
        <v>0</v>
      </c>
      <c r="F8" s="1732" t="s">
        <v>1656</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1650</v>
      </c>
      <c r="D9" s="2480"/>
      <c r="E9" s="2392">
        <f>IF(OR(A9=0,F9="否"),0,'数据-取费表'!K9+'数据-取费表'!S9)</f>
        <v>0</v>
      </c>
      <c r="F9" s="1732" t="s">
        <v>1656</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1650</v>
      </c>
      <c r="D10" s="2480"/>
      <c r="E10" s="2392">
        <f>IF(OR(A10=0,F10="否"),0,'数据-取费表'!K10+'数据-取费表'!S10)</f>
        <v>0</v>
      </c>
      <c r="F10" s="1732" t="s">
        <v>1656</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1650</v>
      </c>
      <c r="D11" s="2480"/>
      <c r="E11" s="2392">
        <f>IF(OR(A11=0,F11="否"),0,'数据-取费表'!K11+'数据-取费表'!S11)</f>
        <v>0</v>
      </c>
      <c r="F11" s="1732" t="s">
        <v>1656</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1650</v>
      </c>
      <c r="D12" s="2480"/>
      <c r="E12" s="2392">
        <f>IF(OR(A12=0,F12="否"),0,'数据-取费表'!K12+'数据-取费表'!S12)</f>
        <v>0</v>
      </c>
      <c r="F12" s="1732" t="s">
        <v>1656</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1650</v>
      </c>
      <c r="D13" s="2482"/>
      <c r="E13" s="2392">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1660</v>
      </c>
      <c r="C1" s="1155" t="s">
        <v>1661</v>
      </c>
      <c r="D1" s="1142"/>
      <c r="E1" s="3125"/>
      <c r="F1" s="1735"/>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1664</v>
      </c>
      <c r="D3" s="343">
        <f>IF(D1="",'数据-汇总表'!E3,SUMIF('数据-汇总表'!$C19:$C33,D1,'数据-汇总表'!$E19:$E33))</f>
        <v>1320.6699999999998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1665</v>
      </c>
      <c r="B4" s="346"/>
      <c r="C4" s="3370" t="s">
        <v>1666</v>
      </c>
      <c r="D4" s="3371"/>
      <c r="E4" s="3372" t="s">
        <v>1667</v>
      </c>
      <c r="F4" s="3373"/>
      <c r="G4" s="3370" t="s">
        <v>1668</v>
      </c>
      <c r="H4" s="3371"/>
      <c r="I4" s="3370" t="s">
        <v>1669</v>
      </c>
      <c r="J4" s="3371"/>
      <c r="K4" s="1744" t="s">
        <v>1670</v>
      </c>
      <c r="L4" s="2487"/>
      <c r="M4" s="2488"/>
      <c r="N4" s="2488"/>
      <c r="O4" s="2488"/>
      <c r="P4" s="3428" t="s">
        <v>1671</v>
      </c>
      <c r="Q4" s="3429"/>
      <c r="R4" s="3426" t="s">
        <v>1667</v>
      </c>
      <c r="S4" s="3427"/>
      <c r="T4" s="3426" t="s">
        <v>1668</v>
      </c>
      <c r="U4" s="3427"/>
      <c r="V4" s="3383" t="s">
        <v>1669</v>
      </c>
      <c r="W4" s="3383"/>
      <c r="X4" s="1265"/>
      <c r="Y4" s="3426" t="s">
        <v>1671</v>
      </c>
      <c r="Z4" s="3427"/>
      <c r="AA4" s="3425" t="s">
        <v>1667</v>
      </c>
      <c r="AB4" s="3425" t="s">
        <v>1668</v>
      </c>
      <c r="AC4" s="3425" t="s">
        <v>1669</v>
      </c>
    </row>
    <row r="5" spans="1:29" ht="15">
      <c r="A5" s="348"/>
      <c r="B5" s="349"/>
      <c r="C5" s="3359" t="s">
        <v>1672</v>
      </c>
      <c r="D5" s="3360"/>
      <c r="E5" s="3357" t="s">
        <v>1673</v>
      </c>
      <c r="F5" s="3358"/>
      <c r="G5" s="3359" t="s">
        <v>1674</v>
      </c>
      <c r="H5" s="3360"/>
      <c r="I5" s="3359" t="s">
        <v>1675</v>
      </c>
      <c r="J5" s="3360"/>
      <c r="K5" s="1745"/>
      <c r="L5" s="2487"/>
      <c r="M5" s="2488"/>
      <c r="N5" s="2488"/>
      <c r="O5" s="2488"/>
      <c r="P5" s="3430"/>
      <c r="Q5" s="3377"/>
      <c r="R5" s="3355"/>
      <c r="S5" s="3356"/>
      <c r="T5" s="3355"/>
      <c r="U5" s="3356"/>
      <c r="V5" s="3383"/>
      <c r="W5" s="3383"/>
      <c r="X5" s="1265"/>
      <c r="Y5" s="3355"/>
      <c r="Z5" s="3356"/>
      <c r="AA5" s="3349"/>
      <c r="AB5" s="3349"/>
      <c r="AC5" s="3349"/>
    </row>
    <row r="6" spans="1:29" ht="15.75" thickBot="1">
      <c r="A6" s="350"/>
      <c r="B6" s="351"/>
      <c r="C6" s="3361" t="s">
        <v>1676</v>
      </c>
      <c r="D6" s="3362"/>
      <c r="E6" s="3364" t="s">
        <v>1676</v>
      </c>
      <c r="F6" s="3365"/>
      <c r="G6" s="3361" t="s">
        <v>1676</v>
      </c>
      <c r="H6" s="3362"/>
      <c r="I6" s="3361" t="s">
        <v>1676</v>
      </c>
      <c r="J6" s="3362"/>
      <c r="K6" s="1745" t="s">
        <v>1677</v>
      </c>
      <c r="L6" s="2487"/>
      <c r="M6" s="2488"/>
      <c r="N6" s="2488"/>
      <c r="O6" s="2488"/>
      <c r="P6" s="3431"/>
      <c r="Q6" s="3379"/>
      <c r="R6" s="3355"/>
      <c r="S6" s="3356"/>
      <c r="T6" s="3380"/>
      <c r="U6" s="3381"/>
      <c r="V6" s="3383"/>
      <c r="W6" s="3383"/>
      <c r="X6" s="1265"/>
      <c r="Y6" s="3380"/>
      <c r="Z6" s="3381"/>
      <c r="AA6" s="3350"/>
      <c r="AB6" s="3350"/>
      <c r="AC6" s="3350"/>
    </row>
    <row r="7" spans="1:29" s="102" customFormat="1" ht="15.75" thickBot="1">
      <c r="A7" s="352" t="s">
        <v>1678</v>
      </c>
      <c r="B7" s="353"/>
      <c r="C7" s="354">
        <f>'数据-取费表'!B2</f>
        <v>45577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51" t="s">
        <v>1679</v>
      </c>
      <c r="Q7" s="3385"/>
      <c r="R7" s="664" t="s">
        <v>20</v>
      </c>
      <c r="S7" s="665">
        <f t="shared" ref="S7:S15" si="0">F7</f>
        <v>0</v>
      </c>
      <c r="T7" s="664" t="s">
        <v>20</v>
      </c>
      <c r="U7" s="665">
        <f t="shared" ref="U7:U15" si="1">H7</f>
        <v>0</v>
      </c>
      <c r="V7" s="664" t="s">
        <v>20</v>
      </c>
      <c r="W7" s="665">
        <f t="shared" ref="W7:W15" si="2">J7</f>
        <v>0</v>
      </c>
      <c r="X7" s="666"/>
      <c r="Y7" s="3351" t="s">
        <v>1679</v>
      </c>
      <c r="Z7" s="3352"/>
      <c r="AA7" s="50" t="e">
        <f>D7/F7</f>
        <v>#DIV/0!</v>
      </c>
      <c r="AB7" s="50" t="e">
        <f>D7/H7</f>
        <v>#DIV/0!</v>
      </c>
      <c r="AC7" s="50" t="e">
        <f>D7/J7</f>
        <v>#DIV/0!</v>
      </c>
    </row>
    <row r="8" spans="1:29" s="102" customFormat="1" ht="15.75" thickBot="1">
      <c r="A8" s="352" t="s">
        <v>1680</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51" t="s">
        <v>1682</v>
      </c>
      <c r="Q8" s="3352"/>
      <c r="R8" s="664" t="s">
        <v>20</v>
      </c>
      <c r="S8" s="665">
        <f t="shared" si="0"/>
        <v>100</v>
      </c>
      <c r="T8" s="664" t="s">
        <v>20</v>
      </c>
      <c r="U8" s="665">
        <f t="shared" si="1"/>
        <v>100</v>
      </c>
      <c r="V8" s="664" t="s">
        <v>20</v>
      </c>
      <c r="W8" s="665">
        <f t="shared" si="2"/>
        <v>100</v>
      </c>
      <c r="X8" s="666"/>
      <c r="Y8" s="3351" t="s">
        <v>1682</v>
      </c>
      <c r="Z8" s="3352"/>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6" t="s">
        <v>1685</v>
      </c>
      <c r="Q9" s="530" t="str">
        <f t="shared" ref="Q9:Q15" si="6">B9</f>
        <v>用途</v>
      </c>
      <c r="R9" s="664" t="s">
        <v>14</v>
      </c>
      <c r="S9" s="665">
        <f t="shared" si="0"/>
        <v>100</v>
      </c>
      <c r="T9" s="664" t="s">
        <v>14</v>
      </c>
      <c r="U9" s="665">
        <f t="shared" si="1"/>
        <v>100</v>
      </c>
      <c r="V9" s="664" t="s">
        <v>14</v>
      </c>
      <c r="W9" s="665">
        <f t="shared" si="2"/>
        <v>100</v>
      </c>
      <c r="X9" s="666"/>
      <c r="Y9" s="3321" t="s">
        <v>1686</v>
      </c>
      <c r="Z9" s="50" t="str">
        <f t="shared" ref="Z9:Z15" si="7">Q9</f>
        <v>用途</v>
      </c>
      <c r="AA9" s="50">
        <f t="shared" si="3"/>
        <v>1</v>
      </c>
      <c r="AB9" s="50">
        <f t="shared" si="4"/>
        <v>1</v>
      </c>
      <c r="AC9" s="50">
        <f t="shared" si="5"/>
        <v>1</v>
      </c>
    </row>
    <row r="10" spans="1:29" s="366" customFormat="1" ht="27">
      <c r="A10" s="363"/>
      <c r="B10" s="364" t="s">
        <v>1687</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6"/>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6"/>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6"/>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6"/>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6"/>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1689</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6" t="s">
        <v>1690</v>
      </c>
      <c r="Q15" s="1263" t="str">
        <f t="shared" si="6"/>
        <v>居住社区成熟度</v>
      </c>
      <c r="R15" s="667" t="s">
        <v>18</v>
      </c>
      <c r="S15" s="668">
        <f t="shared" si="0"/>
        <v>100</v>
      </c>
      <c r="T15" s="667" t="s">
        <v>18</v>
      </c>
      <c r="U15" s="668">
        <f t="shared" si="1"/>
        <v>100</v>
      </c>
      <c r="V15" s="667" t="s">
        <v>18</v>
      </c>
      <c r="W15" s="668">
        <f t="shared" si="2"/>
        <v>100</v>
      </c>
      <c r="X15" s="1265"/>
      <c r="Y15" s="3388" t="s">
        <v>1690</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7"/>
      <c r="Q16" s="1263"/>
      <c r="R16" s="667"/>
      <c r="S16" s="668"/>
      <c r="T16" s="667"/>
      <c r="U16" s="668"/>
      <c r="V16" s="667"/>
      <c r="W16" s="668"/>
      <c r="X16" s="1265"/>
      <c r="Y16" s="338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7"/>
      <c r="Q17" s="1263" t="str">
        <f>B17</f>
        <v>交通便捷度</v>
      </c>
      <c r="R17" s="667" t="s">
        <v>18</v>
      </c>
      <c r="S17" s="668">
        <f>F17</f>
        <v>100</v>
      </c>
      <c r="T17" s="667" t="s">
        <v>18</v>
      </c>
      <c r="U17" s="668">
        <f>H17</f>
        <v>100</v>
      </c>
      <c r="V17" s="667" t="s">
        <v>18</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7"/>
      <c r="Q18" s="1263"/>
      <c r="R18" s="667"/>
      <c r="S18" s="668"/>
      <c r="T18" s="667"/>
      <c r="U18" s="668"/>
      <c r="V18" s="667"/>
      <c r="W18" s="668"/>
      <c r="X18" s="1265"/>
      <c r="Y18" s="338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7"/>
      <c r="Q19" s="1263" t="str">
        <f>B19</f>
        <v>公共配套设施</v>
      </c>
      <c r="R19" s="667" t="s">
        <v>18</v>
      </c>
      <c r="S19" s="668">
        <f>F19</f>
        <v>100</v>
      </c>
      <c r="T19" s="667" t="s">
        <v>18</v>
      </c>
      <c r="U19" s="668">
        <f>H19</f>
        <v>100</v>
      </c>
      <c r="V19" s="667" t="s">
        <v>18</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7"/>
      <c r="Q20" s="1263"/>
      <c r="R20" s="667"/>
      <c r="S20" s="668"/>
      <c r="T20" s="667"/>
      <c r="U20" s="668"/>
      <c r="V20" s="667"/>
      <c r="W20" s="668"/>
      <c r="X20" s="1265"/>
      <c r="Y20" s="338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7"/>
      <c r="Q22" s="1263"/>
      <c r="R22" s="667"/>
      <c r="S22" s="668"/>
      <c r="T22" s="667"/>
      <c r="U22" s="668"/>
      <c r="V22" s="667"/>
      <c r="W22" s="668"/>
      <c r="X22" s="1265"/>
      <c r="Y22" s="338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7"/>
      <c r="Q23" s="1263" t="str">
        <f>B23</f>
        <v>自然及人文环境</v>
      </c>
      <c r="R23" s="667" t="s">
        <v>18</v>
      </c>
      <c r="S23" s="668">
        <f>F23</f>
        <v>100</v>
      </c>
      <c r="T23" s="667" t="s">
        <v>18</v>
      </c>
      <c r="U23" s="668">
        <f>H23</f>
        <v>100</v>
      </c>
      <c r="V23" s="667" t="s">
        <v>18</v>
      </c>
      <c r="W23" s="668">
        <f>J23</f>
        <v>100</v>
      </c>
      <c r="X23" s="1265"/>
      <c r="Y23" s="338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7"/>
      <c r="Q24" s="1263"/>
      <c r="R24" s="667"/>
      <c r="S24" s="668"/>
      <c r="T24" s="667"/>
      <c r="U24" s="668"/>
      <c r="V24" s="667"/>
      <c r="W24" s="668"/>
      <c r="X24" s="1265"/>
      <c r="Y24" s="3389"/>
      <c r="Z24" s="1264"/>
      <c r="AA24" s="1264">
        <v>1</v>
      </c>
      <c r="AB24" s="1264">
        <v>1</v>
      </c>
      <c r="AC24" s="1264">
        <v>1</v>
      </c>
    </row>
    <row r="25" spans="1:29" ht="15">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9"/>
      <c r="Z25" s="1264" t="str">
        <f>Q25</f>
        <v>楼层-1</v>
      </c>
      <c r="AA25" s="1264">
        <f t="shared" ref="AA25:AA46" si="15">D25/F25</f>
        <v>1</v>
      </c>
      <c r="AB25" s="1264">
        <f t="shared" ref="AB25:AB46" si="16">D25/H25</f>
        <v>1</v>
      </c>
      <c r="AC25" s="1264">
        <f t="shared" ref="AC25:AC46" si="17">D25/J25</f>
        <v>1</v>
      </c>
    </row>
    <row r="26" spans="1:29" ht="15">
      <c r="A26" s="367"/>
      <c r="B26" s="364" t="s">
        <v>1692</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7"/>
      <c r="Q26" s="1263" t="str">
        <f t="shared" si="11"/>
        <v>朝向</v>
      </c>
      <c r="R26" s="667" t="s">
        <v>18</v>
      </c>
      <c r="S26" s="668">
        <f t="shared" si="12"/>
        <v>100</v>
      </c>
      <c r="T26" s="667" t="s">
        <v>18</v>
      </c>
      <c r="U26" s="668">
        <f t="shared" si="13"/>
        <v>100</v>
      </c>
      <c r="V26" s="667" t="s">
        <v>18</v>
      </c>
      <c r="W26" s="668">
        <f t="shared" si="14"/>
        <v>100</v>
      </c>
      <c r="X26" s="1265"/>
      <c r="Y26" s="338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7"/>
      <c r="Q27" s="530">
        <f t="shared" si="11"/>
        <v>111</v>
      </c>
      <c r="R27" s="664" t="s">
        <v>18</v>
      </c>
      <c r="S27" s="665">
        <f t="shared" si="12"/>
        <v>100</v>
      </c>
      <c r="T27" s="664" t="s">
        <v>18</v>
      </c>
      <c r="U27" s="665">
        <f t="shared" si="13"/>
        <v>100</v>
      </c>
      <c r="V27" s="664" t="s">
        <v>18</v>
      </c>
      <c r="W27" s="665">
        <f t="shared" si="14"/>
        <v>100</v>
      </c>
      <c r="X27" s="666"/>
      <c r="Y27" s="338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7"/>
      <c r="Q28" s="1263">
        <f t="shared" si="11"/>
        <v>111</v>
      </c>
      <c r="R28" s="667" t="s">
        <v>18</v>
      </c>
      <c r="S28" s="668">
        <f t="shared" si="12"/>
        <v>100</v>
      </c>
      <c r="T28" s="667" t="s">
        <v>18</v>
      </c>
      <c r="U28" s="668">
        <f t="shared" si="13"/>
        <v>100</v>
      </c>
      <c r="V28" s="667" t="s">
        <v>18</v>
      </c>
      <c r="W28" s="668">
        <f t="shared" si="14"/>
        <v>100</v>
      </c>
      <c r="X28" s="1265"/>
      <c r="Y28" s="338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7"/>
      <c r="Q29" s="1263">
        <f t="shared" si="11"/>
        <v>111</v>
      </c>
      <c r="R29" s="667" t="s">
        <v>18</v>
      </c>
      <c r="S29" s="668">
        <f t="shared" si="12"/>
        <v>100</v>
      </c>
      <c r="T29" s="667" t="s">
        <v>18</v>
      </c>
      <c r="U29" s="668">
        <f t="shared" si="13"/>
        <v>100</v>
      </c>
      <c r="V29" s="667" t="s">
        <v>18</v>
      </c>
      <c r="W29" s="668">
        <f t="shared" si="14"/>
        <v>100</v>
      </c>
      <c r="X29" s="1265"/>
      <c r="Y29" s="338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7"/>
      <c r="Q30" s="1263">
        <f t="shared" si="11"/>
        <v>111</v>
      </c>
      <c r="R30" s="667" t="s">
        <v>18</v>
      </c>
      <c r="S30" s="668">
        <f t="shared" si="12"/>
        <v>100</v>
      </c>
      <c r="T30" s="667" t="s">
        <v>18</v>
      </c>
      <c r="U30" s="668">
        <f t="shared" si="13"/>
        <v>100</v>
      </c>
      <c r="V30" s="667" t="s">
        <v>18</v>
      </c>
      <c r="W30" s="668">
        <f t="shared" si="14"/>
        <v>100</v>
      </c>
      <c r="X30" s="1265"/>
      <c r="Y30" s="338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7"/>
      <c r="Q31" s="1263">
        <f t="shared" si="11"/>
        <v>111</v>
      </c>
      <c r="R31" s="667" t="s">
        <v>18</v>
      </c>
      <c r="S31" s="668">
        <f t="shared" si="12"/>
        <v>100</v>
      </c>
      <c r="T31" s="667" t="s">
        <v>18</v>
      </c>
      <c r="U31" s="668">
        <f t="shared" si="13"/>
        <v>100</v>
      </c>
      <c r="V31" s="667" t="s">
        <v>18</v>
      </c>
      <c r="W31" s="668">
        <f t="shared" si="14"/>
        <v>100</v>
      </c>
      <c r="X31" s="1265"/>
      <c r="Y31" s="3389"/>
      <c r="Z31" s="1264">
        <f t="shared" si="18"/>
        <v>111</v>
      </c>
      <c r="AA31" s="1264">
        <f t="shared" si="15"/>
        <v>1</v>
      </c>
      <c r="AB31" s="1264">
        <f t="shared" si="16"/>
        <v>1</v>
      </c>
      <c r="AC31" s="1264">
        <f t="shared" si="17"/>
        <v>1</v>
      </c>
    </row>
    <row r="32" spans="1:29" ht="15">
      <c r="A32" s="379" t="s">
        <v>1693</v>
      </c>
      <c r="B32" s="60" t="s">
        <v>1694</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0" t="s">
        <v>1695</v>
      </c>
      <c r="Q32" s="1263" t="str">
        <f t="shared" si="11"/>
        <v>建筑类型</v>
      </c>
      <c r="R32" s="667" t="s">
        <v>18</v>
      </c>
      <c r="S32" s="668">
        <f t="shared" si="12"/>
        <v>100</v>
      </c>
      <c r="T32" s="667" t="s">
        <v>18</v>
      </c>
      <c r="U32" s="668">
        <f t="shared" si="13"/>
        <v>100</v>
      </c>
      <c r="V32" s="667" t="s">
        <v>18</v>
      </c>
      <c r="W32" s="668">
        <f t="shared" si="14"/>
        <v>100</v>
      </c>
      <c r="X32" s="1265"/>
      <c r="Y32" s="3393" t="s">
        <v>1695</v>
      </c>
      <c r="Z32" s="1264" t="str">
        <f t="shared" si="18"/>
        <v>建筑类型</v>
      </c>
      <c r="AA32" s="1264">
        <f t="shared" si="15"/>
        <v>1</v>
      </c>
      <c r="AB32" s="1264">
        <f t="shared" si="16"/>
        <v>1</v>
      </c>
      <c r="AC32" s="1264">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1"/>
      <c r="Q33" s="531" t="str">
        <f t="shared" si="11"/>
        <v>项目建筑规模</v>
      </c>
      <c r="R33" s="669" t="s">
        <v>18</v>
      </c>
      <c r="S33" s="670" t="e">
        <f t="shared" si="12"/>
        <v>#N/A</v>
      </c>
      <c r="T33" s="669" t="s">
        <v>18</v>
      </c>
      <c r="U33" s="670" t="e">
        <f t="shared" si="13"/>
        <v>#N/A</v>
      </c>
      <c r="V33" s="669" t="s">
        <v>18</v>
      </c>
      <c r="W33" s="670" t="e">
        <f t="shared" si="14"/>
        <v>#N/A</v>
      </c>
      <c r="X33" s="671"/>
      <c r="Y33" s="3393"/>
      <c r="Z33" s="672" t="str">
        <f t="shared" si="18"/>
        <v>项目建筑规模</v>
      </c>
      <c r="AA33" s="1264" t="e">
        <f t="shared" si="15"/>
        <v>#N/A</v>
      </c>
      <c r="AB33" s="1264" t="e">
        <f t="shared" si="16"/>
        <v>#N/A</v>
      </c>
      <c r="AC33" s="1264" t="e">
        <f t="shared" si="17"/>
        <v>#N/A</v>
      </c>
    </row>
    <row r="34" spans="1:29" ht="15">
      <c r="A34" s="409"/>
      <c r="B34" s="364" t="s">
        <v>1697</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1"/>
      <c r="Q34" s="1263" t="str">
        <f t="shared" si="11"/>
        <v>建筑结构</v>
      </c>
      <c r="R34" s="667" t="s">
        <v>18</v>
      </c>
      <c r="S34" s="668">
        <f t="shared" si="12"/>
        <v>100</v>
      </c>
      <c r="T34" s="667" t="s">
        <v>18</v>
      </c>
      <c r="U34" s="668">
        <f t="shared" si="13"/>
        <v>100</v>
      </c>
      <c r="V34" s="667" t="s">
        <v>18</v>
      </c>
      <c r="W34" s="668">
        <f t="shared" si="14"/>
        <v>100</v>
      </c>
      <c r="X34" s="1265"/>
      <c r="Y34" s="3393"/>
      <c r="Z34" s="1264" t="str">
        <f t="shared" si="18"/>
        <v>建筑结构</v>
      </c>
      <c r="AA34" s="1264">
        <f t="shared" si="15"/>
        <v>1</v>
      </c>
      <c r="AB34" s="1264">
        <f t="shared" si="16"/>
        <v>1</v>
      </c>
      <c r="AC34" s="1264">
        <f t="shared" si="17"/>
        <v>1</v>
      </c>
    </row>
    <row r="35" spans="1:29" ht="15">
      <c r="A35" s="409"/>
      <c r="B35" s="364" t="s">
        <v>1698</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1"/>
      <c r="Q35" s="1263" t="str">
        <f t="shared" si="11"/>
        <v>建筑品质</v>
      </c>
      <c r="R35" s="667" t="s">
        <v>18</v>
      </c>
      <c r="S35" s="668">
        <f t="shared" si="12"/>
        <v>100</v>
      </c>
      <c r="T35" s="667" t="s">
        <v>18</v>
      </c>
      <c r="U35" s="668">
        <f t="shared" si="13"/>
        <v>100</v>
      </c>
      <c r="V35" s="667" t="s">
        <v>18</v>
      </c>
      <c r="W35" s="668">
        <f t="shared" si="14"/>
        <v>100</v>
      </c>
      <c r="X35" s="1265"/>
      <c r="Y35" s="3393"/>
      <c r="Z35" s="1264" t="str">
        <f t="shared" si="18"/>
        <v>建筑品质</v>
      </c>
      <c r="AA35" s="1264">
        <f t="shared" si="15"/>
        <v>1</v>
      </c>
      <c r="AB35" s="1264">
        <f t="shared" si="16"/>
        <v>1</v>
      </c>
      <c r="AC35" s="1264">
        <f t="shared" si="17"/>
        <v>1</v>
      </c>
    </row>
    <row r="36" spans="1:29" ht="15">
      <c r="A36" s="409"/>
      <c r="B36" s="364" t="s">
        <v>1699</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1"/>
      <c r="Q36" s="1263" t="str">
        <f t="shared" si="11"/>
        <v>公共部分装修</v>
      </c>
      <c r="R36" s="667" t="s">
        <v>18</v>
      </c>
      <c r="S36" s="668">
        <f t="shared" si="12"/>
        <v>100</v>
      </c>
      <c r="T36" s="667" t="s">
        <v>18</v>
      </c>
      <c r="U36" s="668">
        <f t="shared" si="13"/>
        <v>100</v>
      </c>
      <c r="V36" s="667" t="s">
        <v>18</v>
      </c>
      <c r="W36" s="668">
        <f t="shared" si="14"/>
        <v>100</v>
      </c>
      <c r="X36" s="1265"/>
      <c r="Y36" s="3393"/>
      <c r="Z36" s="1264" t="str">
        <f t="shared" si="18"/>
        <v>公共部分装修</v>
      </c>
      <c r="AA36" s="1264">
        <f t="shared" si="15"/>
        <v>1</v>
      </c>
      <c r="AB36" s="1264">
        <f t="shared" si="16"/>
        <v>1</v>
      </c>
      <c r="AC36" s="1264">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1"/>
      <c r="Q37" s="530" t="str">
        <f t="shared" si="11"/>
        <v>成新度</v>
      </c>
      <c r="R37" s="664" t="s">
        <v>18</v>
      </c>
      <c r="S37" s="665" t="e">
        <f t="shared" si="12"/>
        <v>#N/A</v>
      </c>
      <c r="T37" s="664" t="s">
        <v>18</v>
      </c>
      <c r="U37" s="665" t="e">
        <f t="shared" si="13"/>
        <v>#N/A</v>
      </c>
      <c r="V37" s="664" t="s">
        <v>18</v>
      </c>
      <c r="W37" s="665" t="e">
        <f t="shared" si="14"/>
        <v>#N/A</v>
      </c>
      <c r="X37" s="666"/>
      <c r="Y37" s="3393"/>
      <c r="Z37" s="50" t="str">
        <f t="shared" si="18"/>
        <v>成新度</v>
      </c>
      <c r="AA37" s="50" t="e">
        <f t="shared" si="15"/>
        <v>#N/A</v>
      </c>
      <c r="AB37" s="50" t="e">
        <f t="shared" si="16"/>
        <v>#N/A</v>
      </c>
      <c r="AC37" s="50" t="e">
        <f t="shared" si="17"/>
        <v>#N/A</v>
      </c>
    </row>
    <row r="38" spans="1:29" ht="15">
      <c r="A38" s="409"/>
      <c r="B38" s="364" t="s">
        <v>1701</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1" t="s">
        <v>1695</v>
      </c>
      <c r="Q38" s="1263" t="str">
        <f t="shared" si="11"/>
        <v>物业管理</v>
      </c>
      <c r="R38" s="667" t="s">
        <v>18</v>
      </c>
      <c r="S38" s="668">
        <f t="shared" si="12"/>
        <v>100</v>
      </c>
      <c r="T38" s="667" t="s">
        <v>18</v>
      </c>
      <c r="U38" s="668">
        <f t="shared" si="13"/>
        <v>100</v>
      </c>
      <c r="V38" s="667" t="s">
        <v>18</v>
      </c>
      <c r="W38" s="668">
        <f t="shared" si="14"/>
        <v>100</v>
      </c>
      <c r="X38" s="1265"/>
      <c r="Y38" s="3393" t="s">
        <v>1695</v>
      </c>
      <c r="Z38" s="1264" t="str">
        <f t="shared" si="18"/>
        <v>物业管理</v>
      </c>
      <c r="AA38" s="1264">
        <f t="shared" si="15"/>
        <v>1</v>
      </c>
      <c r="AB38" s="1264">
        <f t="shared" si="16"/>
        <v>1</v>
      </c>
      <c r="AC38" s="1264">
        <f t="shared" si="17"/>
        <v>1</v>
      </c>
    </row>
    <row r="39" spans="1:29" ht="15">
      <c r="A39" s="409"/>
      <c r="B39" s="364" t="s">
        <v>1702</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1"/>
      <c r="Q39" s="1263" t="str">
        <f t="shared" si="11"/>
        <v>市政基础设施</v>
      </c>
      <c r="R39" s="667" t="s">
        <v>18</v>
      </c>
      <c r="S39" s="668">
        <f t="shared" si="12"/>
        <v>100</v>
      </c>
      <c r="T39" s="667" t="s">
        <v>18</v>
      </c>
      <c r="U39" s="668">
        <f t="shared" si="13"/>
        <v>100</v>
      </c>
      <c r="V39" s="667" t="s">
        <v>18</v>
      </c>
      <c r="W39" s="668">
        <f t="shared" si="14"/>
        <v>100</v>
      </c>
      <c r="X39" s="1265"/>
      <c r="Y39" s="3393"/>
      <c r="Z39" s="1264" t="str">
        <f t="shared" si="18"/>
        <v>市政基础设施</v>
      </c>
      <c r="AA39" s="1264">
        <f t="shared" si="15"/>
        <v>1</v>
      </c>
      <c r="AB39" s="1264">
        <f t="shared" si="16"/>
        <v>1</v>
      </c>
      <c r="AC39" s="1264">
        <f t="shared" si="17"/>
        <v>1</v>
      </c>
    </row>
    <row r="40" spans="1:29" ht="15">
      <c r="A40" s="409"/>
      <c r="B40" s="364" t="s">
        <v>1703</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1"/>
      <c r="Q40" s="1263" t="str">
        <f t="shared" si="11"/>
        <v>房型</v>
      </c>
      <c r="R40" s="667" t="s">
        <v>18</v>
      </c>
      <c r="S40" s="668">
        <f t="shared" si="12"/>
        <v>100</v>
      </c>
      <c r="T40" s="667" t="s">
        <v>18</v>
      </c>
      <c r="U40" s="668">
        <f t="shared" si="13"/>
        <v>100</v>
      </c>
      <c r="V40" s="667" t="s">
        <v>18</v>
      </c>
      <c r="W40" s="668">
        <f t="shared" si="14"/>
        <v>100</v>
      </c>
      <c r="X40" s="1265"/>
      <c r="Y40" s="3393"/>
      <c r="Z40" s="1264" t="str">
        <f t="shared" si="18"/>
        <v>房型</v>
      </c>
      <c r="AA40" s="1264">
        <f t="shared" si="15"/>
        <v>1</v>
      </c>
      <c r="AB40" s="1264">
        <f t="shared" si="16"/>
        <v>1</v>
      </c>
      <c r="AC40" s="1264">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4">
        <f t="shared" si="15"/>
        <v>1</v>
      </c>
      <c r="AB41" s="1264">
        <f t="shared" si="16"/>
        <v>1</v>
      </c>
      <c r="AC41" s="1264">
        <f t="shared" si="17"/>
        <v>1</v>
      </c>
    </row>
    <row r="42" spans="1:29" ht="15">
      <c r="A42" s="409"/>
      <c r="B42" s="364" t="s">
        <v>1705</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1"/>
      <c r="Q42" s="1263" t="str">
        <f t="shared" si="11"/>
        <v>内部装修</v>
      </c>
      <c r="R42" s="667" t="s">
        <v>18</v>
      </c>
      <c r="S42" s="668">
        <f t="shared" si="12"/>
        <v>100</v>
      </c>
      <c r="T42" s="667" t="s">
        <v>18</v>
      </c>
      <c r="U42" s="668">
        <f t="shared" si="13"/>
        <v>100</v>
      </c>
      <c r="V42" s="667" t="s">
        <v>18</v>
      </c>
      <c r="W42" s="668">
        <f t="shared" si="14"/>
        <v>100</v>
      </c>
      <c r="X42" s="1265"/>
      <c r="Y42" s="3393"/>
      <c r="Z42" s="1264" t="str">
        <f t="shared" si="18"/>
        <v>内部装修</v>
      </c>
      <c r="AA42" s="1264">
        <f t="shared" si="15"/>
        <v>1</v>
      </c>
      <c r="AB42" s="1264">
        <f t="shared" si="16"/>
        <v>1</v>
      </c>
      <c r="AC42" s="1264">
        <f t="shared" si="17"/>
        <v>1</v>
      </c>
    </row>
    <row r="43" spans="1:29" ht="15">
      <c r="A43" s="409"/>
      <c r="B43" s="364" t="s">
        <v>1706</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1"/>
      <c r="Q43" s="1263" t="str">
        <f t="shared" si="11"/>
        <v>内部装修维护情况</v>
      </c>
      <c r="R43" s="667" t="s">
        <v>18</v>
      </c>
      <c r="S43" s="668">
        <f t="shared" si="12"/>
        <v>100</v>
      </c>
      <c r="T43" s="667" t="s">
        <v>18</v>
      </c>
      <c r="U43" s="668">
        <f t="shared" si="13"/>
        <v>100</v>
      </c>
      <c r="V43" s="667" t="s">
        <v>18</v>
      </c>
      <c r="W43" s="668">
        <f t="shared" si="14"/>
        <v>100</v>
      </c>
      <c r="X43" s="1265"/>
      <c r="Y43" s="339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1"/>
      <c r="Q44" s="530">
        <f t="shared" si="11"/>
        <v>111</v>
      </c>
      <c r="R44" s="664" t="s">
        <v>18</v>
      </c>
      <c r="S44" s="665">
        <f t="shared" si="12"/>
        <v>100</v>
      </c>
      <c r="T44" s="664" t="s">
        <v>18</v>
      </c>
      <c r="U44" s="665">
        <f t="shared" si="13"/>
        <v>100</v>
      </c>
      <c r="V44" s="664" t="s">
        <v>18</v>
      </c>
      <c r="W44" s="665">
        <f t="shared" si="14"/>
        <v>100</v>
      </c>
      <c r="X44" s="666"/>
      <c r="Y44" s="339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1"/>
      <c r="Q45" s="1263">
        <f t="shared" si="11"/>
        <v>111</v>
      </c>
      <c r="R45" s="667" t="s">
        <v>18</v>
      </c>
      <c r="S45" s="668">
        <f t="shared" si="12"/>
        <v>100</v>
      </c>
      <c r="T45" s="667" t="s">
        <v>18</v>
      </c>
      <c r="U45" s="668">
        <f t="shared" si="13"/>
        <v>100</v>
      </c>
      <c r="V45" s="667" t="s">
        <v>18</v>
      </c>
      <c r="W45" s="668">
        <f t="shared" si="14"/>
        <v>100</v>
      </c>
      <c r="X45" s="1265"/>
      <c r="Y45" s="339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2"/>
      <c r="Q46" s="1263">
        <f t="shared" si="11"/>
        <v>111</v>
      </c>
      <c r="R46" s="667" t="s">
        <v>17</v>
      </c>
      <c r="S46" s="668">
        <f t="shared" si="12"/>
        <v>100</v>
      </c>
      <c r="T46" s="667" t="s">
        <v>17</v>
      </c>
      <c r="U46" s="668">
        <f t="shared" si="13"/>
        <v>100</v>
      </c>
      <c r="V46" s="667" t="s">
        <v>17</v>
      </c>
      <c r="W46" s="668">
        <f t="shared" si="14"/>
        <v>100</v>
      </c>
      <c r="X46" s="1265"/>
      <c r="Y46" s="3394"/>
      <c r="Z46" s="1264">
        <f t="shared" si="18"/>
        <v>111</v>
      </c>
      <c r="AA46" s="1264">
        <f t="shared" si="15"/>
        <v>1</v>
      </c>
      <c r="AB46" s="1264">
        <f t="shared" si="16"/>
        <v>1</v>
      </c>
      <c r="AC46" s="1264">
        <f t="shared" si="17"/>
        <v>1</v>
      </c>
    </row>
    <row r="47" spans="1:29" ht="15">
      <c r="A47" s="416" t="s">
        <v>1707</v>
      </c>
      <c r="B47" s="417"/>
      <c r="C47" s="1081" t="s">
        <v>16</v>
      </c>
      <c r="D47" s="418"/>
      <c r="E47" s="419"/>
      <c r="F47" s="420"/>
      <c r="G47" s="421"/>
      <c r="H47" s="422"/>
      <c r="I47" s="419"/>
      <c r="J47" s="422"/>
      <c r="K47" s="1767"/>
      <c r="L47" s="2495"/>
      <c r="M47" s="2488"/>
      <c r="N47" s="2488"/>
      <c r="O47" s="2488"/>
      <c r="P47" s="3395" t="str">
        <f>A47</f>
        <v>成交单价（元/平方米）</v>
      </c>
      <c r="Q47" s="3395"/>
      <c r="R47" s="3383">
        <f>E47</f>
        <v>0</v>
      </c>
      <c r="S47" s="3383"/>
      <c r="T47" s="3383">
        <f>G47</f>
        <v>0</v>
      </c>
      <c r="U47" s="3383"/>
      <c r="V47" s="3383">
        <f>I47</f>
        <v>0</v>
      </c>
      <c r="W47" s="3383"/>
      <c r="X47" s="385"/>
      <c r="Y47" s="673"/>
      <c r="Z47" s="385"/>
      <c r="AA47" s="385"/>
      <c r="AB47" s="385"/>
      <c r="AC47" s="385"/>
    </row>
    <row r="48" spans="1:29" ht="15.75" thickBot="1">
      <c r="A48" s="423" t="s">
        <v>1708</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395" t="str">
        <f>A48</f>
        <v>比较价值（元/平方米）</v>
      </c>
      <c r="Q48" s="3395"/>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1709</v>
      </c>
      <c r="B49" s="428"/>
      <c r="C49" s="1084" t="e">
        <f>R49</f>
        <v>#DIV/0!</v>
      </c>
      <c r="D49" s="351"/>
      <c r="E49" s="351"/>
      <c r="F49" s="351"/>
      <c r="G49" s="351"/>
      <c r="H49" s="351"/>
      <c r="I49" s="351"/>
      <c r="J49" s="351"/>
      <c r="K49" s="1768"/>
      <c r="L49" s="2495"/>
      <c r="M49" s="2488"/>
      <c r="N49" s="2488"/>
      <c r="O49" s="2488"/>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1713</v>
      </c>
      <c r="B57" s="385"/>
      <c r="C57" s="659"/>
      <c r="D57" s="659"/>
      <c r="E57" s="659"/>
      <c r="F57" s="660"/>
      <c r="G57" s="660"/>
      <c r="H57" s="659"/>
      <c r="I57" s="659"/>
      <c r="J57" s="659"/>
      <c r="K57" s="887"/>
      <c r="L57" s="888"/>
      <c r="M57" s="886"/>
      <c r="N57" s="886"/>
      <c r="O57" s="886"/>
      <c r="P57" s="1771"/>
      <c r="Q57" s="439"/>
    </row>
    <row r="58" spans="1:29" s="442" customFormat="1" ht="15">
      <c r="A58" s="440" t="s">
        <v>1714</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1715</v>
      </c>
      <c r="B60" s="450"/>
      <c r="C60" s="451"/>
      <c r="D60" s="452"/>
      <c r="E60" s="452"/>
      <c r="F60" s="452"/>
      <c r="G60" s="452"/>
      <c r="H60" s="452"/>
      <c r="I60" s="452"/>
      <c r="J60" s="452"/>
      <c r="K60" s="452"/>
      <c r="L60" s="452"/>
      <c r="M60" s="453"/>
      <c r="N60" s="452"/>
      <c r="O60" s="453"/>
      <c r="P60" s="1773"/>
      <c r="Q60" s="439"/>
    </row>
    <row r="61" spans="1:29" s="102" customFormat="1" ht="15">
      <c r="A61" s="455" t="s">
        <v>1716</v>
      </c>
      <c r="B61" s="444"/>
      <c r="C61" s="456" t="s">
        <v>1717</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1718</v>
      </c>
      <c r="B63" s="460" t="s">
        <v>1684</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1687</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1727</v>
      </c>
      <c r="D82" s="470" t="s">
        <v>1728</v>
      </c>
      <c r="E82" s="470" t="s">
        <v>1729</v>
      </c>
      <c r="F82" s="470" t="s">
        <v>1730</v>
      </c>
      <c r="G82" s="470" t="s">
        <v>1731</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1733</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1734</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1693</v>
      </c>
      <c r="B100" s="460" t="s">
        <v>1735</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1737</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1738</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1739</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1740</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1741</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1742</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1704</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1743</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1745</v>
      </c>
    </row>
    <row r="137" spans="1:17" ht="15">
      <c r="B137" s="1782" t="s">
        <v>1746</v>
      </c>
      <c r="C137" s="1783"/>
      <c r="D137" s="1783"/>
      <c r="E137" s="1783"/>
      <c r="F137" s="1783"/>
      <c r="G137" s="1784"/>
      <c r="H137" s="1785"/>
      <c r="I137" s="1786" t="s">
        <v>1747</v>
      </c>
      <c r="J137" s="1783"/>
      <c r="K137" s="1787"/>
    </row>
    <row r="138" spans="1:17" ht="15">
      <c r="B138" s="1788"/>
      <c r="C138" s="129" t="s">
        <v>1748</v>
      </c>
      <c r="D138" s="129" t="s">
        <v>1749</v>
      </c>
      <c r="E138" s="1789" t="s">
        <v>1750</v>
      </c>
      <c r="F138" s="1790" t="s">
        <v>1751</v>
      </c>
      <c r="G138" s="129" t="s">
        <v>1749</v>
      </c>
      <c r="H138" s="130" t="s">
        <v>1750</v>
      </c>
      <c r="I138" s="1791"/>
      <c r="J138" s="129" t="s">
        <v>1752</v>
      </c>
      <c r="K138" s="130" t="s">
        <v>1753</v>
      </c>
    </row>
    <row r="139" spans="1:17" ht="15">
      <c r="B139" s="814">
        <v>6</v>
      </c>
      <c r="C139" s="815">
        <v>96</v>
      </c>
      <c r="D139" s="1792" t="s">
        <v>1754</v>
      </c>
      <c r="E139" s="816">
        <v>100</v>
      </c>
      <c r="F139" s="817">
        <v>102.5</v>
      </c>
      <c r="G139" s="1792" t="s">
        <v>1754</v>
      </c>
      <c r="H139" s="818">
        <v>105</v>
      </c>
      <c r="I139" s="1793" t="s">
        <v>1755</v>
      </c>
      <c r="J139" s="815">
        <v>20</v>
      </c>
      <c r="K139" s="819">
        <f>C145/(J139-2)</f>
        <v>4.0555555555555553E-3</v>
      </c>
    </row>
    <row r="140" spans="1:17" ht="15">
      <c r="B140" s="820">
        <v>5</v>
      </c>
      <c r="C140" s="821">
        <v>100</v>
      </c>
      <c r="D140" s="821"/>
      <c r="E140" s="822"/>
      <c r="F140" s="823">
        <v>102</v>
      </c>
      <c r="G140" s="821"/>
      <c r="H140" s="824"/>
      <c r="I140" s="1794" t="s">
        <v>1756</v>
      </c>
      <c r="J140" s="263">
        <f>ROUNDUP((J139-1)/2,0)</f>
        <v>10</v>
      </c>
      <c r="K140" s="825">
        <v>100</v>
      </c>
    </row>
    <row r="141" spans="1:17" ht="15">
      <c r="B141" s="820">
        <v>4</v>
      </c>
      <c r="C141" s="821">
        <v>102</v>
      </c>
      <c r="D141" s="821"/>
      <c r="E141" s="822"/>
      <c r="F141" s="823">
        <v>101.5</v>
      </c>
      <c r="G141" s="821"/>
      <c r="H141" s="824"/>
      <c r="I141" s="1794" t="s">
        <v>1757</v>
      </c>
      <c r="J141" s="263">
        <v>1</v>
      </c>
      <c r="K141" s="826">
        <f>ROUND(100+(J141-J140)*K139*100,1)</f>
        <v>96.4</v>
      </c>
    </row>
    <row r="142" spans="1:17" ht="15">
      <c r="B142" s="820">
        <v>3</v>
      </c>
      <c r="C142" s="821">
        <v>103</v>
      </c>
      <c r="D142" s="821"/>
      <c r="E142" s="822"/>
      <c r="F142" s="823">
        <v>101</v>
      </c>
      <c r="G142" s="821"/>
      <c r="H142" s="824"/>
      <c r="I142" s="1794" t="s">
        <v>1758</v>
      </c>
      <c r="J142" s="263">
        <f>J139</f>
        <v>20</v>
      </c>
      <c r="K142" s="827">
        <v>95</v>
      </c>
    </row>
    <row r="143" spans="1:17" ht="15">
      <c r="B143" s="820">
        <v>2</v>
      </c>
      <c r="C143" s="821">
        <v>100</v>
      </c>
      <c r="D143" s="821"/>
      <c r="E143" s="822"/>
      <c r="F143" s="823">
        <v>100.5</v>
      </c>
      <c r="G143" s="821"/>
      <c r="H143" s="824"/>
      <c r="I143" s="1794" t="s">
        <v>1759</v>
      </c>
      <c r="J143" s="821">
        <v>15</v>
      </c>
      <c r="K143" s="826">
        <f>ROUND(100+(J143-J140)*K139*100,1)</f>
        <v>102</v>
      </c>
    </row>
    <row r="144" spans="1:17" ht="15">
      <c r="B144" s="820">
        <v>1</v>
      </c>
      <c r="C144" s="821">
        <v>98</v>
      </c>
      <c r="D144" s="1795" t="s">
        <v>1760</v>
      </c>
      <c r="E144" s="822">
        <v>102</v>
      </c>
      <c r="F144" s="828">
        <v>100</v>
      </c>
      <c r="G144" s="1795" t="s">
        <v>1760</v>
      </c>
      <c r="H144" s="824">
        <v>105</v>
      </c>
      <c r="I144" s="1794" t="s">
        <v>1759</v>
      </c>
      <c r="J144" s="821">
        <v>18</v>
      </c>
      <c r="K144" s="826">
        <f>ROUND(100+(J144-J140)*K139*100,1)</f>
        <v>103.2</v>
      </c>
    </row>
    <row r="145" spans="2:11" ht="15.75" thickBot="1">
      <c r="B145" s="1796" t="s">
        <v>1761</v>
      </c>
      <c r="C145" s="829">
        <f>ROUND(MAX(C139:C144)/MIN(C139:C144)-1,3)</f>
        <v>7.2999999999999995E-2</v>
      </c>
      <c r="D145" s="830"/>
      <c r="E145" s="830"/>
      <c r="F145" s="1797" t="s">
        <v>1762</v>
      </c>
      <c r="G145" s="1798"/>
      <c r="H145" s="1799"/>
      <c r="I145" s="1800" t="s">
        <v>1759</v>
      </c>
      <c r="J145" s="831">
        <v>8</v>
      </c>
      <c r="K145" s="832">
        <f>ROUND(100+(J145-J140)*K139*100,1)</f>
        <v>99.2</v>
      </c>
    </row>
    <row r="147" spans="2:11">
      <c r="B147" s="1781" t="s">
        <v>1763</v>
      </c>
    </row>
    <row r="148" spans="2:11">
      <c r="B148" s="1781"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1765</v>
      </c>
      <c r="C1" s="1155" t="s">
        <v>1661</v>
      </c>
      <c r="D1" s="1142"/>
      <c r="E1" s="3125"/>
      <c r="F1" s="1735"/>
      <c r="G1" s="1152" t="s">
        <v>1766</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1463</v>
      </c>
      <c r="B3" s="536">
        <f>IF(C2="——",C49,ROUND(B2*10000/D3,0))</f>
        <v>0</v>
      </c>
      <c r="C3" s="344" t="s">
        <v>1767</v>
      </c>
      <c r="D3" s="343">
        <f>IF(D1="",'数据-汇总表'!E3,SUMIF('数据-汇总表'!$C19:$C33,D1,'数据-汇总表'!$E19:$E33))</f>
        <v>1320.6699999999998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1768</v>
      </c>
      <c r="B4" s="346"/>
      <c r="C4" s="3370" t="s">
        <v>1769</v>
      </c>
      <c r="D4" s="3371"/>
      <c r="E4" s="3372" t="s">
        <v>1770</v>
      </c>
      <c r="F4" s="3373"/>
      <c r="G4" s="3370" t="s">
        <v>1771</v>
      </c>
      <c r="H4" s="3371"/>
      <c r="I4" s="3370" t="s">
        <v>1772</v>
      </c>
      <c r="J4" s="3371"/>
      <c r="K4" s="537" t="s">
        <v>1773</v>
      </c>
      <c r="L4" s="2487"/>
      <c r="M4" s="2488"/>
      <c r="N4" s="2488"/>
      <c r="O4" s="2488"/>
      <c r="P4" s="3428" t="s">
        <v>1774</v>
      </c>
      <c r="Q4" s="3429"/>
      <c r="R4" s="3426" t="s">
        <v>1770</v>
      </c>
      <c r="S4" s="3427"/>
      <c r="T4" s="3426" t="s">
        <v>1771</v>
      </c>
      <c r="U4" s="3427"/>
      <c r="V4" s="3383" t="s">
        <v>1772</v>
      </c>
      <c r="W4" s="3383"/>
      <c r="X4" s="1265"/>
      <c r="Y4" s="3426" t="s">
        <v>1774</v>
      </c>
      <c r="Z4" s="3427"/>
      <c r="AA4" s="3425" t="s">
        <v>1770</v>
      </c>
      <c r="AB4" s="3383" t="s">
        <v>1771</v>
      </c>
      <c r="AC4" s="3425" t="s">
        <v>1772</v>
      </c>
    </row>
    <row r="5" spans="1:29" ht="15">
      <c r="A5" s="348"/>
      <c r="B5" s="349"/>
      <c r="C5" s="3359" t="s">
        <v>1672</v>
      </c>
      <c r="D5" s="3360"/>
      <c r="E5" s="3357" t="s">
        <v>1673</v>
      </c>
      <c r="F5" s="3358"/>
      <c r="G5" s="3359" t="s">
        <v>1674</v>
      </c>
      <c r="H5" s="3360"/>
      <c r="I5" s="3359" t="s">
        <v>1675</v>
      </c>
      <c r="J5" s="3360"/>
      <c r="K5" s="537"/>
      <c r="L5" s="2487"/>
      <c r="M5" s="2488"/>
      <c r="N5" s="2488"/>
      <c r="O5" s="2488"/>
      <c r="P5" s="3430"/>
      <c r="Q5" s="3377"/>
      <c r="R5" s="3355"/>
      <c r="S5" s="3356"/>
      <c r="T5" s="3355"/>
      <c r="U5" s="3356"/>
      <c r="V5" s="3383"/>
      <c r="W5" s="3383"/>
      <c r="X5" s="1265"/>
      <c r="Y5" s="3355"/>
      <c r="Z5" s="3356"/>
      <c r="AA5" s="3349"/>
      <c r="AB5" s="3383"/>
      <c r="AC5" s="3349"/>
    </row>
    <row r="6" spans="1:29" ht="15.75" thickBot="1">
      <c r="A6" s="350"/>
      <c r="B6" s="351"/>
      <c r="C6" s="3361" t="s">
        <v>1676</v>
      </c>
      <c r="D6" s="3362"/>
      <c r="E6" s="3364" t="s">
        <v>1676</v>
      </c>
      <c r="F6" s="3365"/>
      <c r="G6" s="3361" t="s">
        <v>1676</v>
      </c>
      <c r="H6" s="3362"/>
      <c r="I6" s="3361" t="s">
        <v>1676</v>
      </c>
      <c r="J6" s="3362"/>
      <c r="K6" s="537" t="s">
        <v>1677</v>
      </c>
      <c r="L6" s="2487"/>
      <c r="M6" s="2488"/>
      <c r="N6" s="2488"/>
      <c r="O6" s="2488"/>
      <c r="P6" s="3431"/>
      <c r="Q6" s="3379"/>
      <c r="R6" s="3355"/>
      <c r="S6" s="3356"/>
      <c r="T6" s="3380"/>
      <c r="U6" s="3381"/>
      <c r="V6" s="3383"/>
      <c r="W6" s="3383"/>
      <c r="X6" s="1265"/>
      <c r="Y6" s="3380"/>
      <c r="Z6" s="3381"/>
      <c r="AA6" s="3350"/>
      <c r="AB6" s="3383"/>
      <c r="AC6" s="3350"/>
    </row>
    <row r="7" spans="1:29" s="102" customFormat="1" ht="15.75" thickBot="1">
      <c r="A7" s="352" t="s">
        <v>1678</v>
      </c>
      <c r="B7" s="353"/>
      <c r="C7" s="354">
        <f>'数据-取费表'!B2</f>
        <v>45577</v>
      </c>
      <c r="D7" s="355">
        <v>100</v>
      </c>
      <c r="E7" s="356"/>
      <c r="F7" s="357">
        <f>SUMIF(58:58,YEAR(E7)&amp;"-"&amp;MONTH(E7),59:59)</f>
        <v>0</v>
      </c>
      <c r="G7" s="356"/>
      <c r="H7" s="355">
        <f>SUMIF(58:58,YEAR(G7)&amp;"-"&amp;MONTH(G7),59:59)</f>
        <v>0</v>
      </c>
      <c r="I7" s="356"/>
      <c r="J7" s="355">
        <f>SUMIF(58:58,YEAR(I7)&amp;"-"&amp;MONTH(I7),59:59)</f>
        <v>0</v>
      </c>
      <c r="K7" s="38"/>
      <c r="L7" s="2489"/>
      <c r="M7" s="2440"/>
      <c r="N7" s="2440"/>
      <c r="O7" s="2440"/>
      <c r="P7" s="3351" t="s">
        <v>1679</v>
      </c>
      <c r="Q7" s="3385"/>
      <c r="R7" s="664" t="s">
        <v>14</v>
      </c>
      <c r="S7" s="665">
        <f t="shared" ref="S7:S15" si="0">F7</f>
        <v>0</v>
      </c>
      <c r="T7" s="664" t="s">
        <v>14</v>
      </c>
      <c r="U7" s="665">
        <f t="shared" ref="U7:U15" si="1">H7</f>
        <v>0</v>
      </c>
      <c r="V7" s="664" t="s">
        <v>14</v>
      </c>
      <c r="W7" s="665">
        <f t="shared" ref="W7:W15" si="2">J7</f>
        <v>0</v>
      </c>
      <c r="X7" s="666"/>
      <c r="Y7" s="3351" t="s">
        <v>1679</v>
      </c>
      <c r="Z7" s="3352"/>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51" t="s">
        <v>1682</v>
      </c>
      <c r="Q8" s="3352"/>
      <c r="R8" s="664" t="s">
        <v>14</v>
      </c>
      <c r="S8" s="665">
        <f t="shared" si="0"/>
        <v>100</v>
      </c>
      <c r="T8" s="664" t="s">
        <v>14</v>
      </c>
      <c r="U8" s="665">
        <f t="shared" si="1"/>
        <v>100</v>
      </c>
      <c r="V8" s="664" t="s">
        <v>14</v>
      </c>
      <c r="W8" s="665">
        <f t="shared" si="2"/>
        <v>100</v>
      </c>
      <c r="X8" s="666"/>
      <c r="Y8" s="3351" t="s">
        <v>1682</v>
      </c>
      <c r="Z8" s="3352"/>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66" t="s">
        <v>1685</v>
      </c>
      <c r="Q9" s="530" t="str">
        <f t="shared" ref="Q9:Q15" si="6">B9</f>
        <v>用途</v>
      </c>
      <c r="R9" s="664" t="s">
        <v>14</v>
      </c>
      <c r="S9" s="665">
        <f t="shared" si="0"/>
        <v>100</v>
      </c>
      <c r="T9" s="664" t="s">
        <v>14</v>
      </c>
      <c r="U9" s="665">
        <f t="shared" si="1"/>
        <v>100</v>
      </c>
      <c r="V9" s="664" t="s">
        <v>14</v>
      </c>
      <c r="W9" s="665">
        <f t="shared" si="2"/>
        <v>100</v>
      </c>
      <c r="X9" s="666"/>
      <c r="Y9" s="3321" t="s">
        <v>1686</v>
      </c>
      <c r="Z9" s="50" t="str">
        <f t="shared" ref="Z9:Z15" si="7">Q9</f>
        <v>用途</v>
      </c>
      <c r="AA9" s="50">
        <f t="shared" si="3"/>
        <v>1</v>
      </c>
      <c r="AB9" s="50">
        <f t="shared" si="4"/>
        <v>1</v>
      </c>
      <c r="AC9" s="50">
        <f t="shared" si="5"/>
        <v>1</v>
      </c>
    </row>
    <row r="10" spans="1:29" s="366" customFormat="1" ht="27">
      <c r="A10" s="363"/>
      <c r="B10" s="364" t="s">
        <v>1687</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66"/>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66"/>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6"/>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6"/>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6"/>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1689</v>
      </c>
      <c r="B15" s="58" t="s">
        <v>1776</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6" t="s">
        <v>1690</v>
      </c>
      <c r="Q15" s="1263" t="str">
        <f t="shared" si="6"/>
        <v>商业繁华度</v>
      </c>
      <c r="R15" s="667" t="s">
        <v>14</v>
      </c>
      <c r="S15" s="668">
        <f t="shared" si="0"/>
        <v>100</v>
      </c>
      <c r="T15" s="667" t="s">
        <v>14</v>
      </c>
      <c r="U15" s="668">
        <f t="shared" si="1"/>
        <v>100</v>
      </c>
      <c r="V15" s="667" t="s">
        <v>14</v>
      </c>
      <c r="W15" s="668">
        <f t="shared" si="2"/>
        <v>100</v>
      </c>
      <c r="X15" s="1265"/>
      <c r="Y15" s="3388" t="s">
        <v>1690</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7"/>
      <c r="Q16" s="1263"/>
      <c r="R16" s="667"/>
      <c r="S16" s="668"/>
      <c r="T16" s="667"/>
      <c r="U16" s="668"/>
      <c r="V16" s="667"/>
      <c r="W16" s="668"/>
      <c r="X16" s="1265"/>
      <c r="Y16" s="338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7"/>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7"/>
      <c r="Q18" s="1263"/>
      <c r="R18" s="667"/>
      <c r="S18" s="668"/>
      <c r="T18" s="667"/>
      <c r="U18" s="668"/>
      <c r="V18" s="667"/>
      <c r="W18" s="668"/>
      <c r="X18" s="1265"/>
      <c r="Y18" s="3389"/>
      <c r="Z18" s="1264"/>
      <c r="AA18" s="1264">
        <v>1</v>
      </c>
      <c r="AB18" s="1264">
        <v>1</v>
      </c>
      <c r="AC18" s="1264">
        <v>1</v>
      </c>
    </row>
    <row r="19" spans="1:29" ht="42.75">
      <c r="A19" s="367"/>
      <c r="B19" s="390" t="s">
        <v>1777</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7"/>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7"/>
      <c r="Q20" s="1263"/>
      <c r="R20" s="667"/>
      <c r="S20" s="668"/>
      <c r="T20" s="667"/>
      <c r="U20" s="668"/>
      <c r="V20" s="667"/>
      <c r="W20" s="668"/>
      <c r="X20" s="1265"/>
      <c r="Y20" s="3389"/>
      <c r="Z20" s="1264"/>
      <c r="AA20" s="1264">
        <v>1</v>
      </c>
      <c r="AB20" s="1264">
        <v>1</v>
      </c>
      <c r="AC20" s="1264">
        <v>1</v>
      </c>
    </row>
    <row r="21" spans="1:29" ht="28.5">
      <c r="A21" s="367"/>
      <c r="B21" s="586" t="s">
        <v>1778</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7"/>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7"/>
      <c r="Q22" s="1263"/>
      <c r="R22" s="667"/>
      <c r="S22" s="668"/>
      <c r="T22" s="667"/>
      <c r="U22" s="668"/>
      <c r="V22" s="667"/>
      <c r="W22" s="668"/>
      <c r="X22" s="1265"/>
      <c r="Y22" s="338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7"/>
      <c r="Q23" s="1263" t="str">
        <f>B23</f>
        <v>自然及人文环境</v>
      </c>
      <c r="R23" s="667" t="s">
        <v>14</v>
      </c>
      <c r="S23" s="668">
        <f>F23</f>
        <v>100</v>
      </c>
      <c r="T23" s="667" t="s">
        <v>14</v>
      </c>
      <c r="U23" s="668">
        <f>H23</f>
        <v>100</v>
      </c>
      <c r="V23" s="667" t="s">
        <v>14</v>
      </c>
      <c r="W23" s="668">
        <f>J23</f>
        <v>100</v>
      </c>
      <c r="X23" s="1265"/>
      <c r="Y23" s="338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7"/>
      <c r="Q24" s="1263"/>
      <c r="R24" s="667"/>
      <c r="S24" s="668"/>
      <c r="T24" s="667"/>
      <c r="U24" s="668"/>
      <c r="V24" s="667"/>
      <c r="W24" s="668"/>
      <c r="X24" s="1265"/>
      <c r="Y24" s="3389"/>
      <c r="Z24" s="1264"/>
      <c r="AA24" s="1264">
        <v>1</v>
      </c>
      <c r="AB24" s="1264">
        <v>1</v>
      </c>
      <c r="AC24" s="1264">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7"/>
      <c r="Q25" s="1263" t="str">
        <f t="shared" ref="Q25:Q46" si="11">B25</f>
        <v>临街状况</v>
      </c>
      <c r="R25" s="667" t="s">
        <v>14</v>
      </c>
      <c r="S25" s="668">
        <f>F25</f>
        <v>100</v>
      </c>
      <c r="T25" s="667" t="s">
        <v>14</v>
      </c>
      <c r="U25" s="668">
        <f>H25</f>
        <v>100</v>
      </c>
      <c r="V25" s="667" t="s">
        <v>14</v>
      </c>
      <c r="W25" s="668">
        <f>J25</f>
        <v>100</v>
      </c>
      <c r="X25" s="1265"/>
      <c r="Y25" s="3389"/>
      <c r="Z25" s="1264" t="str">
        <f>Q25</f>
        <v>临街状况</v>
      </c>
      <c r="AA25" s="1264">
        <f t="shared" si="3"/>
        <v>1</v>
      </c>
      <c r="AB25" s="1264">
        <f t="shared" si="4"/>
        <v>1</v>
      </c>
      <c r="AC25" s="1264">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7"/>
      <c r="Q26" s="1263" t="str">
        <f t="shared" si="11"/>
        <v>平面位置/可视性</v>
      </c>
      <c r="R26" s="667" t="s">
        <v>14</v>
      </c>
      <c r="S26" s="668">
        <f>F26</f>
        <v>100</v>
      </c>
      <c r="T26" s="667" t="s">
        <v>14</v>
      </c>
      <c r="U26" s="668">
        <f>H26</f>
        <v>100</v>
      </c>
      <c r="V26" s="667" t="s">
        <v>14</v>
      </c>
      <c r="W26" s="668">
        <f>J26</f>
        <v>100</v>
      </c>
      <c r="X26" s="1265"/>
      <c r="Y26" s="3389"/>
      <c r="Z26" s="1264" t="str">
        <f>Q26</f>
        <v>平面位置/可视性</v>
      </c>
      <c r="AA26" s="1264">
        <f t="shared" si="3"/>
        <v>1</v>
      </c>
      <c r="AB26" s="1264">
        <f t="shared" si="4"/>
        <v>1</v>
      </c>
      <c r="AC26" s="1264">
        <f t="shared" si="5"/>
        <v>1</v>
      </c>
    </row>
    <row r="27" spans="1:29" s="102" customFormat="1" ht="15">
      <c r="A27" s="370"/>
      <c r="B27" s="390" t="s">
        <v>1781</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7"/>
      <c r="Q27" s="530" t="str">
        <f t="shared" si="11"/>
        <v>人流量</v>
      </c>
      <c r="R27" s="664" t="s">
        <v>14</v>
      </c>
      <c r="S27" s="665">
        <f>F27</f>
        <v>100</v>
      </c>
      <c r="T27" s="664" t="s">
        <v>14</v>
      </c>
      <c r="U27" s="665">
        <f>H27</f>
        <v>100</v>
      </c>
      <c r="V27" s="664" t="s">
        <v>14</v>
      </c>
      <c r="W27" s="665">
        <f>J27</f>
        <v>100</v>
      </c>
      <c r="X27" s="666"/>
      <c r="Y27" s="3389"/>
      <c r="Z27" s="50" t="str">
        <f>Q27</f>
        <v>人流量</v>
      </c>
      <c r="AA27" s="1264">
        <f>D27/F27</f>
        <v>1</v>
      </c>
      <c r="AB27" s="1264">
        <f>D27/H27</f>
        <v>1</v>
      </c>
      <c r="AC27" s="1264">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7"/>
      <c r="Q29" s="1263">
        <f t="shared" si="11"/>
        <v>111</v>
      </c>
      <c r="R29" s="667" t="s">
        <v>14</v>
      </c>
      <c r="S29" s="668">
        <f t="shared" si="12"/>
        <v>100</v>
      </c>
      <c r="T29" s="667" t="s">
        <v>14</v>
      </c>
      <c r="U29" s="668">
        <f t="shared" si="13"/>
        <v>100</v>
      </c>
      <c r="V29" s="667" t="s">
        <v>14</v>
      </c>
      <c r="W29" s="668">
        <f t="shared" si="14"/>
        <v>100</v>
      </c>
      <c r="X29" s="1265"/>
      <c r="Y29" s="338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7"/>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7"/>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264">
        <f t="shared" si="5"/>
        <v>1</v>
      </c>
    </row>
    <row r="32" spans="1:29" ht="1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0" t="s">
        <v>1695</v>
      </c>
      <c r="Q32" s="1263" t="str">
        <f t="shared" si="11"/>
        <v>商业类型</v>
      </c>
      <c r="R32" s="667" t="s">
        <v>14</v>
      </c>
      <c r="S32" s="668">
        <f t="shared" si="12"/>
        <v>100</v>
      </c>
      <c r="T32" s="667" t="s">
        <v>14</v>
      </c>
      <c r="U32" s="668">
        <f t="shared" si="13"/>
        <v>100</v>
      </c>
      <c r="V32" s="667" t="s">
        <v>14</v>
      </c>
      <c r="W32" s="668">
        <f t="shared" si="14"/>
        <v>100</v>
      </c>
      <c r="X32" s="1265"/>
      <c r="Y32" s="3393" t="s">
        <v>1695</v>
      </c>
      <c r="Z32" s="1264" t="str">
        <f t="shared" si="15"/>
        <v>商业类型</v>
      </c>
      <c r="AA32" s="1264">
        <f t="shared" si="3"/>
        <v>1</v>
      </c>
      <c r="AB32" s="1264">
        <f t="shared" si="4"/>
        <v>1</v>
      </c>
      <c r="AC32" s="1264">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1"/>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4" t="e">
        <f t="shared" si="3"/>
        <v>#N/A</v>
      </c>
      <c r="AB33" s="1264" t="e">
        <f t="shared" si="4"/>
        <v>#N/A</v>
      </c>
      <c r="AC33" s="1264"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1"/>
      <c r="Q34" s="1263" t="str">
        <f t="shared" si="11"/>
        <v>建筑结构</v>
      </c>
      <c r="R34" s="667" t="s">
        <v>14</v>
      </c>
      <c r="S34" s="668">
        <f t="shared" si="12"/>
        <v>100</v>
      </c>
      <c r="T34" s="667" t="s">
        <v>14</v>
      </c>
      <c r="U34" s="668">
        <f t="shared" si="13"/>
        <v>100</v>
      </c>
      <c r="V34" s="667" t="s">
        <v>14</v>
      </c>
      <c r="W34" s="668">
        <f t="shared" si="14"/>
        <v>100</v>
      </c>
      <c r="X34" s="1265"/>
      <c r="Y34" s="3393"/>
      <c r="Z34" s="1264" t="str">
        <f t="shared" si="15"/>
        <v>建筑结构</v>
      </c>
      <c r="AA34" s="1264">
        <f t="shared" si="3"/>
        <v>1</v>
      </c>
      <c r="AB34" s="1264">
        <f t="shared" si="4"/>
        <v>1</v>
      </c>
      <c r="AC34" s="1264">
        <f t="shared" si="5"/>
        <v>1</v>
      </c>
    </row>
    <row r="35" spans="1:29" ht="1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1"/>
      <c r="Q35" s="1263" t="str">
        <f t="shared" si="11"/>
        <v>公共部分装修</v>
      </c>
      <c r="R35" s="667" t="s">
        <v>14</v>
      </c>
      <c r="S35" s="668">
        <f t="shared" si="12"/>
        <v>100</v>
      </c>
      <c r="T35" s="667" t="s">
        <v>14</v>
      </c>
      <c r="U35" s="668">
        <f t="shared" si="13"/>
        <v>100</v>
      </c>
      <c r="V35" s="667" t="s">
        <v>14</v>
      </c>
      <c r="W35" s="668">
        <f t="shared" si="14"/>
        <v>100</v>
      </c>
      <c r="X35" s="1265"/>
      <c r="Y35" s="3393"/>
      <c r="Z35" s="1264" t="str">
        <f t="shared" si="15"/>
        <v>公共部分装修</v>
      </c>
      <c r="AA35" s="1264">
        <f t="shared" si="3"/>
        <v>1</v>
      </c>
      <c r="AB35" s="1264">
        <f t="shared" si="4"/>
        <v>1</v>
      </c>
      <c r="AC35" s="1264">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1"/>
      <c r="Q36" s="1263" t="str">
        <f t="shared" si="11"/>
        <v>成新度</v>
      </c>
      <c r="R36" s="667" t="s">
        <v>14</v>
      </c>
      <c r="S36" s="668" t="e">
        <f t="shared" si="12"/>
        <v>#N/A</v>
      </c>
      <c r="T36" s="667" t="s">
        <v>14</v>
      </c>
      <c r="U36" s="668" t="e">
        <f t="shared" si="13"/>
        <v>#N/A</v>
      </c>
      <c r="V36" s="667" t="s">
        <v>14</v>
      </c>
      <c r="W36" s="668" t="e">
        <f t="shared" si="14"/>
        <v>#N/A</v>
      </c>
      <c r="X36" s="1265"/>
      <c r="Y36" s="3393"/>
      <c r="Z36" s="1264" t="str">
        <f t="shared" si="15"/>
        <v>成新度</v>
      </c>
      <c r="AA36" s="1264" t="e">
        <f t="shared" si="3"/>
        <v>#N/A</v>
      </c>
      <c r="AB36" s="1264" t="e">
        <f t="shared" si="4"/>
        <v>#N/A</v>
      </c>
      <c r="AC36" s="1264" t="e">
        <f t="shared" si="5"/>
        <v>#N/A</v>
      </c>
    </row>
    <row r="37" spans="1:29" s="102" customFormat="1" ht="1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1" t="s">
        <v>1695</v>
      </c>
      <c r="Q38" s="1263" t="str">
        <f t="shared" si="11"/>
        <v>业态</v>
      </c>
      <c r="R38" s="667" t="s">
        <v>14</v>
      </c>
      <c r="S38" s="668">
        <f t="shared" si="12"/>
        <v>100</v>
      </c>
      <c r="T38" s="667" t="s">
        <v>14</v>
      </c>
      <c r="U38" s="668">
        <f t="shared" si="13"/>
        <v>100</v>
      </c>
      <c r="V38" s="667" t="s">
        <v>14</v>
      </c>
      <c r="W38" s="668">
        <f t="shared" si="14"/>
        <v>100</v>
      </c>
      <c r="X38" s="1265"/>
      <c r="Y38" s="3393" t="s">
        <v>1695</v>
      </c>
      <c r="Z38" s="1264" t="str">
        <f t="shared" si="15"/>
        <v>业态</v>
      </c>
      <c r="AA38" s="1264">
        <f t="shared" si="3"/>
        <v>1</v>
      </c>
      <c r="AB38" s="1264">
        <f t="shared" si="4"/>
        <v>1</v>
      </c>
      <c r="AC38" s="1264">
        <f t="shared" si="5"/>
        <v>1</v>
      </c>
    </row>
    <row r="39" spans="1:29" ht="1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1"/>
      <c r="Q39" s="1263" t="str">
        <f t="shared" si="11"/>
        <v>层高</v>
      </c>
      <c r="R39" s="667" t="s">
        <v>14</v>
      </c>
      <c r="S39" s="668">
        <f t="shared" si="12"/>
        <v>100</v>
      </c>
      <c r="T39" s="667" t="s">
        <v>14</v>
      </c>
      <c r="U39" s="668">
        <f t="shared" si="13"/>
        <v>100</v>
      </c>
      <c r="V39" s="667" t="s">
        <v>14</v>
      </c>
      <c r="W39" s="668">
        <f t="shared" si="14"/>
        <v>100</v>
      </c>
      <c r="X39" s="1265"/>
      <c r="Y39" s="3393"/>
      <c r="Z39" s="1264" t="str">
        <f t="shared" si="15"/>
        <v>层高</v>
      </c>
      <c r="AA39" s="1264">
        <f t="shared" si="3"/>
        <v>1</v>
      </c>
      <c r="AB39" s="1264">
        <f t="shared" si="4"/>
        <v>1</v>
      </c>
      <c r="AC39" s="1264">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1"/>
      <c r="Q40" s="1263" t="str">
        <f t="shared" si="11"/>
        <v>单套建筑面积</v>
      </c>
      <c r="R40" s="667" t="s">
        <v>14</v>
      </c>
      <c r="S40" s="668">
        <f t="shared" si="12"/>
        <v>100</v>
      </c>
      <c r="T40" s="667" t="s">
        <v>14</v>
      </c>
      <c r="U40" s="668">
        <f t="shared" si="13"/>
        <v>100</v>
      </c>
      <c r="V40" s="667" t="s">
        <v>14</v>
      </c>
      <c r="W40" s="668">
        <f t="shared" si="14"/>
        <v>100</v>
      </c>
      <c r="X40" s="1265"/>
      <c r="Y40" s="3393"/>
      <c r="Z40" s="1264" t="str">
        <f t="shared" si="15"/>
        <v>单套建筑面积</v>
      </c>
      <c r="AA40" s="1264">
        <f t="shared" si="3"/>
        <v>1</v>
      </c>
      <c r="AB40" s="1264">
        <f t="shared" si="4"/>
        <v>1</v>
      </c>
      <c r="AC40" s="1264">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4">
        <f t="shared" si="3"/>
        <v>1</v>
      </c>
      <c r="AB41" s="1264">
        <f t="shared" si="4"/>
        <v>1</v>
      </c>
      <c r="AC41" s="1264">
        <f t="shared" si="5"/>
        <v>1</v>
      </c>
    </row>
    <row r="42" spans="1:29" ht="1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1"/>
      <c r="Q42" s="1263" t="str">
        <f t="shared" si="11"/>
        <v>内部装修</v>
      </c>
      <c r="R42" s="667" t="s">
        <v>14</v>
      </c>
      <c r="S42" s="668">
        <f t="shared" si="12"/>
        <v>100</v>
      </c>
      <c r="T42" s="667" t="s">
        <v>14</v>
      </c>
      <c r="U42" s="668">
        <f t="shared" si="13"/>
        <v>100</v>
      </c>
      <c r="V42" s="667" t="s">
        <v>14</v>
      </c>
      <c r="W42" s="668">
        <f t="shared" si="14"/>
        <v>100</v>
      </c>
      <c r="X42" s="1265"/>
      <c r="Y42" s="3393"/>
      <c r="Z42" s="1264" t="str">
        <f t="shared" si="15"/>
        <v>内部装修</v>
      </c>
      <c r="AA42" s="1264">
        <f t="shared" si="3"/>
        <v>1</v>
      </c>
      <c r="AB42" s="1264">
        <f t="shared" si="4"/>
        <v>1</v>
      </c>
      <c r="AC42" s="1264">
        <f t="shared" si="5"/>
        <v>1</v>
      </c>
    </row>
    <row r="43" spans="1:29" ht="15">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1"/>
      <c r="Q43" s="1263" t="str">
        <f t="shared" si="11"/>
        <v>内部装修维护情况</v>
      </c>
      <c r="R43" s="667" t="s">
        <v>14</v>
      </c>
      <c r="S43" s="668">
        <f t="shared" si="12"/>
        <v>100</v>
      </c>
      <c r="T43" s="667" t="s">
        <v>14</v>
      </c>
      <c r="U43" s="668">
        <f t="shared" si="13"/>
        <v>100</v>
      </c>
      <c r="V43" s="667" t="s">
        <v>14</v>
      </c>
      <c r="W43" s="668">
        <f t="shared" si="14"/>
        <v>100</v>
      </c>
      <c r="X43" s="1265"/>
      <c r="Y43" s="339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1"/>
      <c r="Q45" s="1263">
        <f t="shared" si="11"/>
        <v>111</v>
      </c>
      <c r="R45" s="667" t="s">
        <v>14</v>
      </c>
      <c r="S45" s="668">
        <f t="shared" si="12"/>
        <v>100</v>
      </c>
      <c r="T45" s="667" t="s">
        <v>14</v>
      </c>
      <c r="U45" s="668">
        <f t="shared" si="13"/>
        <v>100</v>
      </c>
      <c r="V45" s="667" t="s">
        <v>14</v>
      </c>
      <c r="W45" s="668">
        <f t="shared" si="14"/>
        <v>100</v>
      </c>
      <c r="X45" s="1265"/>
      <c r="Y45" s="339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264">
        <f t="shared" si="5"/>
        <v>1</v>
      </c>
    </row>
    <row r="47" spans="1:29" ht="15">
      <c r="A47" s="416" t="s">
        <v>1707</v>
      </c>
      <c r="B47" s="417"/>
      <c r="C47" s="1081" t="s">
        <v>0</v>
      </c>
      <c r="D47" s="418"/>
      <c r="E47" s="419"/>
      <c r="F47" s="420"/>
      <c r="G47" s="421"/>
      <c r="H47" s="422"/>
      <c r="I47" s="419"/>
      <c r="J47" s="422"/>
      <c r="K47" s="674"/>
      <c r="L47" s="2495"/>
      <c r="M47" s="2488"/>
      <c r="N47" s="2488"/>
      <c r="O47" s="2488"/>
      <c r="P47" s="3395" t="str">
        <f>A47</f>
        <v>成交单价（元/平方米）</v>
      </c>
      <c r="Q47" s="3395"/>
      <c r="R47" s="3383">
        <f>E47</f>
        <v>0</v>
      </c>
      <c r="S47" s="3383"/>
      <c r="T47" s="3383">
        <f>G47</f>
        <v>0</v>
      </c>
      <c r="U47" s="3383"/>
      <c r="V47" s="3383">
        <f>I47</f>
        <v>0</v>
      </c>
      <c r="W47" s="3383"/>
      <c r="X47" s="385"/>
      <c r="Y47" s="673"/>
      <c r="Z47" s="385"/>
      <c r="AA47" s="385"/>
      <c r="AB47" s="385"/>
      <c r="AC47" s="385"/>
    </row>
    <row r="48" spans="1:29" ht="15.75" thickBot="1">
      <c r="A48" s="423" t="s">
        <v>1792</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395" t="str">
        <f>A48</f>
        <v>比较价值（元/平方米）</v>
      </c>
      <c r="Q48" s="3395"/>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95"/>
      <c r="M49" s="2488"/>
      <c r="N49" s="2488"/>
      <c r="O49" s="2488"/>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1797</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1678</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1715</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1680</v>
      </c>
      <c r="B61" s="444"/>
      <c r="C61" s="456" t="s">
        <v>1775</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1718</v>
      </c>
      <c r="B63" s="460" t="s">
        <v>1684</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1687</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1689</v>
      </c>
      <c r="B76" s="460" t="s">
        <v>1719</v>
      </c>
      <c r="C76" s="504" t="s">
        <v>1720</v>
      </c>
      <c r="D76" s="504" t="s">
        <v>1721</v>
      </c>
      <c r="E76" s="504" t="s">
        <v>1722</v>
      </c>
      <c r="F76" s="504" t="s">
        <v>1723</v>
      </c>
      <c r="G76" s="504" t="s">
        <v>1724</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1725</v>
      </c>
      <c r="C78" s="509" t="s">
        <v>1720</v>
      </c>
      <c r="D78" s="509" t="s">
        <v>1721</v>
      </c>
      <c r="E78" s="509" t="s">
        <v>1722</v>
      </c>
      <c r="F78" s="509" t="s">
        <v>1723</v>
      </c>
      <c r="G78" s="509" t="s">
        <v>1724</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1726</v>
      </c>
      <c r="C80" s="509" t="s">
        <v>1720</v>
      </c>
      <c r="D80" s="509" t="s">
        <v>1721</v>
      </c>
      <c r="E80" s="509" t="s">
        <v>1722</v>
      </c>
      <c r="F80" s="509" t="s">
        <v>1723</v>
      </c>
      <c r="G80" s="509" t="s">
        <v>1724</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1778</v>
      </c>
      <c r="C82" s="581" t="s">
        <v>1798</v>
      </c>
      <c r="D82" s="581" t="s">
        <v>1799</v>
      </c>
      <c r="E82" s="581" t="s">
        <v>1800</v>
      </c>
      <c r="F82" s="581" t="s">
        <v>1801</v>
      </c>
      <c r="G82" s="581" t="s">
        <v>1802</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1732</v>
      </c>
      <c r="C84" s="509" t="s">
        <v>1720</v>
      </c>
      <c r="D84" s="509" t="s">
        <v>1721</v>
      </c>
      <c r="E84" s="509" t="s">
        <v>1722</v>
      </c>
      <c r="F84" s="509" t="s">
        <v>1723</v>
      </c>
      <c r="G84" s="509" t="s">
        <v>1724</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1803</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1693</v>
      </c>
      <c r="B100" s="460" t="s">
        <v>1804</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1737</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1739</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1741</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1805</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1806</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1807</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1808</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1743</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8" t="s">
        <v>1825</v>
      </c>
      <c r="C1" s="1141" t="s">
        <v>1661</v>
      </c>
      <c r="D1" s="1142"/>
      <c r="E1" s="3132"/>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1320.6699999999998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1768</v>
      </c>
      <c r="B4" s="346"/>
      <c r="C4" s="3370" t="s">
        <v>1769</v>
      </c>
      <c r="D4" s="3371"/>
      <c r="E4" s="3372" t="s">
        <v>1770</v>
      </c>
      <c r="F4" s="3373"/>
      <c r="G4" s="3370" t="s">
        <v>1771</v>
      </c>
      <c r="H4" s="3371"/>
      <c r="I4" s="3370" t="s">
        <v>1772</v>
      </c>
      <c r="J4" s="3371"/>
      <c r="K4" s="537" t="s">
        <v>1773</v>
      </c>
      <c r="L4" s="860"/>
      <c r="M4" s="861"/>
      <c r="N4" s="861"/>
      <c r="O4" s="861"/>
      <c r="P4" s="3428" t="s">
        <v>1774</v>
      </c>
      <c r="Q4" s="3429"/>
      <c r="R4" s="3426" t="s">
        <v>1770</v>
      </c>
      <c r="S4" s="3427"/>
      <c r="T4" s="3426" t="s">
        <v>1771</v>
      </c>
      <c r="U4" s="3427"/>
      <c r="V4" s="3383" t="s">
        <v>1772</v>
      </c>
      <c r="W4" s="3383"/>
      <c r="X4" s="1265"/>
      <c r="Y4" s="3426" t="s">
        <v>1774</v>
      </c>
      <c r="Z4" s="3427"/>
      <c r="AA4" s="3425" t="s">
        <v>1770</v>
      </c>
      <c r="AB4" s="3349" t="s">
        <v>1771</v>
      </c>
      <c r="AC4" s="3425" t="s">
        <v>1772</v>
      </c>
    </row>
    <row r="5" spans="1:29" ht="15">
      <c r="A5" s="348"/>
      <c r="B5" s="349"/>
      <c r="C5" s="3359" t="s">
        <v>1672</v>
      </c>
      <c r="D5" s="3360"/>
      <c r="E5" s="3357" t="s">
        <v>1673</v>
      </c>
      <c r="F5" s="3358"/>
      <c r="G5" s="3359" t="s">
        <v>1674</v>
      </c>
      <c r="H5" s="3360"/>
      <c r="I5" s="3359" t="s">
        <v>1675</v>
      </c>
      <c r="J5" s="3360"/>
      <c r="K5" s="537"/>
      <c r="L5" s="860"/>
      <c r="M5" s="861"/>
      <c r="N5" s="861"/>
      <c r="O5" s="861"/>
      <c r="P5" s="3430"/>
      <c r="Q5" s="3377"/>
      <c r="R5" s="3355"/>
      <c r="S5" s="3356"/>
      <c r="T5" s="3355"/>
      <c r="U5" s="3356"/>
      <c r="V5" s="3383"/>
      <c r="W5" s="3383"/>
      <c r="X5" s="1265"/>
      <c r="Y5" s="3355"/>
      <c r="Z5" s="3356"/>
      <c r="AA5" s="3349"/>
      <c r="AB5" s="3349"/>
      <c r="AC5" s="3349"/>
    </row>
    <row r="6" spans="1:29" ht="15.75" thickBot="1">
      <c r="A6" s="350"/>
      <c r="B6" s="351"/>
      <c r="C6" s="3361" t="s">
        <v>1676</v>
      </c>
      <c r="D6" s="3362"/>
      <c r="E6" s="3364" t="s">
        <v>1676</v>
      </c>
      <c r="F6" s="3365"/>
      <c r="G6" s="3361" t="s">
        <v>1676</v>
      </c>
      <c r="H6" s="3362"/>
      <c r="I6" s="3361" t="s">
        <v>1676</v>
      </c>
      <c r="J6" s="3362"/>
      <c r="K6" s="537" t="s">
        <v>1677</v>
      </c>
      <c r="L6" s="860"/>
      <c r="M6" s="861"/>
      <c r="N6" s="861"/>
      <c r="O6" s="861"/>
      <c r="P6" s="3431"/>
      <c r="Q6" s="3379"/>
      <c r="R6" s="3355"/>
      <c r="S6" s="3356"/>
      <c r="T6" s="3380"/>
      <c r="U6" s="3381"/>
      <c r="V6" s="3383"/>
      <c r="W6" s="3383"/>
      <c r="X6" s="1265"/>
      <c r="Y6" s="3380"/>
      <c r="Z6" s="3381"/>
      <c r="AA6" s="3350"/>
      <c r="AB6" s="3350"/>
      <c r="AC6" s="3350"/>
    </row>
    <row r="7" spans="1:29" s="102" customFormat="1" ht="15.75" thickBot="1">
      <c r="A7" s="352" t="s">
        <v>1678</v>
      </c>
      <c r="B7" s="353"/>
      <c r="C7" s="354">
        <f>'数据-取费表'!B2</f>
        <v>45577</v>
      </c>
      <c r="D7" s="355">
        <v>100</v>
      </c>
      <c r="E7" s="356"/>
      <c r="F7" s="357">
        <f>SUMIF(52:52,YEAR(E7)&amp;"-"&amp;MONTH(E7),53:53)</f>
        <v>0</v>
      </c>
      <c r="G7" s="356"/>
      <c r="H7" s="355">
        <f>SUMIF(52:52,YEAR(G7)&amp;"-"&amp;MONTH(G7),53:53)</f>
        <v>0</v>
      </c>
      <c r="I7" s="356"/>
      <c r="J7" s="355">
        <f>SUMIF(52:52,YEAR(I7)&amp;"-"&amp;MONTH(I7),53:53)</f>
        <v>0</v>
      </c>
      <c r="K7" s="38"/>
      <c r="L7" s="862"/>
      <c r="M7" s="863"/>
      <c r="N7" s="863"/>
      <c r="O7" s="863"/>
      <c r="P7" s="3351" t="s">
        <v>1679</v>
      </c>
      <c r="Q7" s="3385"/>
      <c r="R7" s="664" t="s">
        <v>14</v>
      </c>
      <c r="S7" s="665">
        <f t="shared" ref="S7:S15" si="0">F7</f>
        <v>0</v>
      </c>
      <c r="T7" s="664" t="s">
        <v>14</v>
      </c>
      <c r="U7" s="665">
        <f t="shared" ref="U7:U15" si="1">H7</f>
        <v>0</v>
      </c>
      <c r="V7" s="664" t="s">
        <v>14</v>
      </c>
      <c r="W7" s="665">
        <f t="shared" ref="W7:W15" si="2">J7</f>
        <v>0</v>
      </c>
      <c r="X7" s="666"/>
      <c r="Y7" s="3351" t="s">
        <v>1679</v>
      </c>
      <c r="Z7" s="3352"/>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1" t="s">
        <v>1682</v>
      </c>
      <c r="Q8" s="3352"/>
      <c r="R8" s="664" t="s">
        <v>14</v>
      </c>
      <c r="S8" s="665">
        <f t="shared" si="0"/>
        <v>100</v>
      </c>
      <c r="T8" s="664" t="s">
        <v>14</v>
      </c>
      <c r="U8" s="665">
        <f t="shared" si="1"/>
        <v>100</v>
      </c>
      <c r="V8" s="664" t="s">
        <v>14</v>
      </c>
      <c r="W8" s="665">
        <f t="shared" si="2"/>
        <v>100</v>
      </c>
      <c r="X8" s="666"/>
      <c r="Y8" s="3351" t="s">
        <v>1682</v>
      </c>
      <c r="Z8" s="3352"/>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1685</v>
      </c>
      <c r="Q9" s="530" t="str">
        <f t="shared" ref="Q9:Q15" si="6">B9</f>
        <v>用途</v>
      </c>
      <c r="R9" s="664" t="s">
        <v>14</v>
      </c>
      <c r="S9" s="665">
        <f t="shared" si="0"/>
        <v>100</v>
      </c>
      <c r="T9" s="664" t="s">
        <v>14</v>
      </c>
      <c r="U9" s="665">
        <f t="shared" si="1"/>
        <v>100</v>
      </c>
      <c r="V9" s="664" t="s">
        <v>14</v>
      </c>
      <c r="W9" s="665">
        <f t="shared" si="2"/>
        <v>100</v>
      </c>
      <c r="X9" s="666"/>
      <c r="Y9" s="3321" t="s">
        <v>1686</v>
      </c>
      <c r="Z9" s="50" t="str">
        <f t="shared" ref="Z9:Z15" si="7">Q9</f>
        <v>用途</v>
      </c>
      <c r="AA9" s="50">
        <f t="shared" si="3"/>
        <v>1</v>
      </c>
      <c r="AB9" s="50">
        <f t="shared" si="4"/>
        <v>1</v>
      </c>
      <c r="AC9" s="50">
        <f t="shared" si="5"/>
        <v>1</v>
      </c>
    </row>
    <row r="10" spans="1:29" s="366" customFormat="1" ht="27">
      <c r="A10" s="363"/>
      <c r="B10" s="364" t="s">
        <v>1687</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1689</v>
      </c>
      <c r="B15" s="58" t="s">
        <v>1826</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1690</v>
      </c>
      <c r="Q15" s="1263" t="str">
        <f t="shared" si="6"/>
        <v>产业集聚程度</v>
      </c>
      <c r="R15" s="667" t="s">
        <v>14</v>
      </c>
      <c r="S15" s="668">
        <f t="shared" si="0"/>
        <v>100</v>
      </c>
      <c r="T15" s="667" t="s">
        <v>14</v>
      </c>
      <c r="U15" s="668">
        <f t="shared" si="1"/>
        <v>100</v>
      </c>
      <c r="V15" s="667" t="s">
        <v>14</v>
      </c>
      <c r="W15" s="668">
        <f t="shared" si="2"/>
        <v>100</v>
      </c>
      <c r="X15" s="1265"/>
      <c r="Y15" s="3388" t="s">
        <v>1690</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9"/>
      <c r="Q16" s="1263"/>
      <c r="R16" s="667"/>
      <c r="S16" s="668"/>
      <c r="T16" s="667"/>
      <c r="U16" s="668"/>
      <c r="V16" s="667"/>
      <c r="W16" s="668"/>
      <c r="X16" s="1265"/>
      <c r="Y16" s="338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9"/>
      <c r="Q18" s="1263"/>
      <c r="R18" s="667"/>
      <c r="S18" s="668"/>
      <c r="T18" s="667"/>
      <c r="U18" s="668"/>
      <c r="V18" s="667"/>
      <c r="W18" s="668"/>
      <c r="X18" s="1265"/>
      <c r="Y18" s="3389"/>
      <c r="Z18" s="1264"/>
      <c r="AA18" s="1264">
        <v>1</v>
      </c>
      <c r="AB18" s="1264">
        <v>1</v>
      </c>
      <c r="AC18" s="1264">
        <v>1</v>
      </c>
    </row>
    <row r="19" spans="1:29" ht="42.75">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9"/>
      <c r="Q20" s="1263"/>
      <c r="R20" s="667"/>
      <c r="S20" s="668"/>
      <c r="T20" s="667"/>
      <c r="U20" s="668"/>
      <c r="V20" s="667"/>
      <c r="W20" s="668"/>
      <c r="X20" s="1265"/>
      <c r="Y20" s="3389"/>
      <c r="Z20" s="1264"/>
      <c r="AA20" s="1264">
        <v>1</v>
      </c>
      <c r="AB20" s="1264">
        <v>1</v>
      </c>
      <c r="AC20" s="1264">
        <v>1</v>
      </c>
    </row>
    <row r="21" spans="1:29" ht="28.5">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9"/>
      <c r="Q22" s="1263"/>
      <c r="R22" s="667"/>
      <c r="S22" s="668"/>
      <c r="T22" s="667"/>
      <c r="U22" s="668"/>
      <c r="V22" s="667"/>
      <c r="W22" s="668"/>
      <c r="X22" s="1265"/>
      <c r="Y22" s="3389"/>
      <c r="Z22" s="1264"/>
      <c r="AA22" s="1264">
        <v>1</v>
      </c>
      <c r="AB22" s="1264">
        <v>1</v>
      </c>
      <c r="AC22" s="1264">
        <v>1</v>
      </c>
    </row>
    <row r="23" spans="1:29" ht="71.25">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9"/>
      <c r="Q24" s="1263"/>
      <c r="R24" s="667"/>
      <c r="S24" s="668"/>
      <c r="T24" s="667"/>
      <c r="U24" s="668"/>
      <c r="V24" s="667"/>
      <c r="W24" s="668"/>
      <c r="X24" s="1265"/>
      <c r="Y24" s="338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3">
        <f>B25</f>
        <v>111</v>
      </c>
      <c r="R25" s="667" t="s">
        <v>14</v>
      </c>
      <c r="S25" s="668">
        <f>F25</f>
        <v>100</v>
      </c>
      <c r="T25" s="667" t="s">
        <v>14</v>
      </c>
      <c r="U25" s="668">
        <f>H25</f>
        <v>100</v>
      </c>
      <c r="V25" s="667" t="s">
        <v>14</v>
      </c>
      <c r="W25" s="668">
        <f>J25</f>
        <v>100</v>
      </c>
      <c r="X25" s="1265"/>
      <c r="Y25" s="338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3">
        <f t="shared" ref="Q26:Q40" si="11">B26</f>
        <v>111</v>
      </c>
      <c r="R26" s="667" t="s">
        <v>14</v>
      </c>
      <c r="S26" s="668">
        <f>F26</f>
        <v>100</v>
      </c>
      <c r="T26" s="667" t="s">
        <v>14</v>
      </c>
      <c r="U26" s="668">
        <f>H26</f>
        <v>100</v>
      </c>
      <c r="V26" s="667" t="s">
        <v>14</v>
      </c>
      <c r="W26" s="668">
        <f>J26</f>
        <v>100</v>
      </c>
      <c r="X26" s="1265"/>
      <c r="Y26" s="338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3">
        <f t="shared" si="11"/>
        <v>111</v>
      </c>
      <c r="R28" s="667" t="s">
        <v>14</v>
      </c>
      <c r="S28" s="668">
        <f t="shared" ref="S28:S40" si="12">F28</f>
        <v>100</v>
      </c>
      <c r="T28" s="667" t="s">
        <v>14</v>
      </c>
      <c r="U28" s="668">
        <f t="shared" ref="U28:U40" si="13">H28</f>
        <v>100</v>
      </c>
      <c r="V28" s="667" t="s">
        <v>14</v>
      </c>
      <c r="W28" s="668">
        <f t="shared" ref="W28:W40" si="14">J28</f>
        <v>100</v>
      </c>
      <c r="X28" s="1265"/>
      <c r="Y28" s="3389"/>
      <c r="Z28" s="1264">
        <f t="shared" ref="Z28:Z40" si="15">Q28</f>
        <v>111</v>
      </c>
      <c r="AA28" s="1264">
        <f t="shared" si="3"/>
        <v>1</v>
      </c>
      <c r="AB28" s="1264">
        <f t="shared" si="4"/>
        <v>1</v>
      </c>
      <c r="AC28" s="1264">
        <f t="shared" si="5"/>
        <v>1</v>
      </c>
    </row>
    <row r="29" spans="1:29" ht="28.5">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1695</v>
      </c>
      <c r="Q29" s="1263" t="str">
        <f t="shared" si="11"/>
        <v>建筑类型</v>
      </c>
      <c r="R29" s="667" t="s">
        <v>14</v>
      </c>
      <c r="S29" s="668">
        <f t="shared" si="12"/>
        <v>100</v>
      </c>
      <c r="T29" s="667" t="s">
        <v>14</v>
      </c>
      <c r="U29" s="668">
        <f t="shared" si="13"/>
        <v>100</v>
      </c>
      <c r="V29" s="667" t="s">
        <v>14</v>
      </c>
      <c r="W29" s="668">
        <f t="shared" si="14"/>
        <v>100</v>
      </c>
      <c r="X29" s="1265"/>
      <c r="Y29" s="3393" t="s">
        <v>1695</v>
      </c>
      <c r="Z29" s="1264" t="str">
        <f t="shared" si="15"/>
        <v>建筑类型</v>
      </c>
      <c r="AA29" s="1264">
        <f t="shared" si="3"/>
        <v>1</v>
      </c>
      <c r="AB29" s="1264">
        <f t="shared" si="4"/>
        <v>1</v>
      </c>
      <c r="AC29" s="1264">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4" t="e">
        <f t="shared" si="3"/>
        <v>#N/A</v>
      </c>
      <c r="AB30" s="1264" t="e">
        <f t="shared" si="4"/>
        <v>#N/A</v>
      </c>
      <c r="AC30" s="1264"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3" t="str">
        <f t="shared" si="11"/>
        <v>建筑结构</v>
      </c>
      <c r="R31" s="667" t="s">
        <v>14</v>
      </c>
      <c r="S31" s="668">
        <f t="shared" si="12"/>
        <v>100</v>
      </c>
      <c r="T31" s="667" t="s">
        <v>14</v>
      </c>
      <c r="U31" s="668">
        <f t="shared" si="13"/>
        <v>100</v>
      </c>
      <c r="V31" s="667" t="s">
        <v>14</v>
      </c>
      <c r="W31" s="668">
        <f t="shared" si="14"/>
        <v>100</v>
      </c>
      <c r="X31" s="1265"/>
      <c r="Y31" s="3393"/>
      <c r="Z31" s="1264" t="str">
        <f t="shared" si="15"/>
        <v>建筑结构</v>
      </c>
      <c r="AA31" s="1264">
        <f t="shared" si="3"/>
        <v>1</v>
      </c>
      <c r="AB31" s="1264">
        <f t="shared" si="4"/>
        <v>1</v>
      </c>
      <c r="AC31" s="1264">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3" t="str">
        <f t="shared" si="11"/>
        <v>公共部分装修</v>
      </c>
      <c r="R32" s="667" t="s">
        <v>14</v>
      </c>
      <c r="S32" s="668">
        <f t="shared" si="12"/>
        <v>100</v>
      </c>
      <c r="T32" s="667" t="s">
        <v>14</v>
      </c>
      <c r="U32" s="668">
        <f t="shared" si="13"/>
        <v>100</v>
      </c>
      <c r="V32" s="667" t="s">
        <v>14</v>
      </c>
      <c r="W32" s="668">
        <f t="shared" si="14"/>
        <v>100</v>
      </c>
      <c r="X32" s="1265"/>
      <c r="Y32" s="3393"/>
      <c r="Z32" s="1264" t="str">
        <f t="shared" si="15"/>
        <v>公共部分装修</v>
      </c>
      <c r="AA32" s="1264">
        <f t="shared" si="3"/>
        <v>1</v>
      </c>
      <c r="AB32" s="1264">
        <f t="shared" si="4"/>
        <v>1</v>
      </c>
      <c r="AC32" s="1264">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3" t="str">
        <f t="shared" si="11"/>
        <v>成新度</v>
      </c>
      <c r="R33" s="667" t="s">
        <v>14</v>
      </c>
      <c r="S33" s="668" t="e">
        <f t="shared" si="12"/>
        <v>#N/A</v>
      </c>
      <c r="T33" s="667" t="s">
        <v>14</v>
      </c>
      <c r="U33" s="668" t="e">
        <f t="shared" si="13"/>
        <v>#N/A</v>
      </c>
      <c r="V33" s="667" t="s">
        <v>14</v>
      </c>
      <c r="W33" s="668" t="e">
        <f t="shared" si="14"/>
        <v>#N/A</v>
      </c>
      <c r="X33" s="1265"/>
      <c r="Y33" s="3393"/>
      <c r="Z33" s="1264" t="str">
        <f t="shared" si="15"/>
        <v>成新度</v>
      </c>
      <c r="AA33" s="1264" t="e">
        <f t="shared" si="3"/>
        <v>#N/A</v>
      </c>
      <c r="AB33" s="1264" t="e">
        <f t="shared" si="4"/>
        <v>#N/A</v>
      </c>
      <c r="AC33" s="1264"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1695</v>
      </c>
      <c r="Q35" s="1263" t="str">
        <f t="shared" si="11"/>
        <v>市政基础设施</v>
      </c>
      <c r="R35" s="667" t="s">
        <v>14</v>
      </c>
      <c r="S35" s="668">
        <f t="shared" si="12"/>
        <v>100</v>
      </c>
      <c r="T35" s="667" t="s">
        <v>14</v>
      </c>
      <c r="U35" s="668">
        <f t="shared" si="13"/>
        <v>100</v>
      </c>
      <c r="V35" s="667" t="s">
        <v>14</v>
      </c>
      <c r="W35" s="668">
        <f t="shared" si="14"/>
        <v>100</v>
      </c>
      <c r="X35" s="1265"/>
      <c r="Y35" s="3393" t="s">
        <v>1695</v>
      </c>
      <c r="Z35" s="1264" t="str">
        <f t="shared" si="15"/>
        <v>市政基础设施</v>
      </c>
      <c r="AA35" s="1264">
        <f t="shared" si="3"/>
        <v>1</v>
      </c>
      <c r="AB35" s="1264">
        <f t="shared" si="4"/>
        <v>1</v>
      </c>
      <c r="AC35" s="1264">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3" t="str">
        <f t="shared" si="11"/>
        <v>内部装修</v>
      </c>
      <c r="R36" s="667" t="s">
        <v>14</v>
      </c>
      <c r="S36" s="668">
        <f t="shared" si="12"/>
        <v>100</v>
      </c>
      <c r="T36" s="667" t="s">
        <v>14</v>
      </c>
      <c r="U36" s="668">
        <f t="shared" si="13"/>
        <v>100</v>
      </c>
      <c r="V36" s="667" t="s">
        <v>14</v>
      </c>
      <c r="W36" s="668">
        <f t="shared" si="14"/>
        <v>100</v>
      </c>
      <c r="X36" s="1265"/>
      <c r="Y36" s="3393"/>
      <c r="Z36" s="1264" t="str">
        <f t="shared" si="15"/>
        <v>内部装修</v>
      </c>
      <c r="AA36" s="1264">
        <f t="shared" si="3"/>
        <v>1</v>
      </c>
      <c r="AB36" s="1264">
        <f t="shared" si="4"/>
        <v>1</v>
      </c>
      <c r="AC36" s="1264">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3" t="str">
        <f t="shared" si="11"/>
        <v>内部装修状况</v>
      </c>
      <c r="R37" s="667" t="s">
        <v>14</v>
      </c>
      <c r="S37" s="668">
        <f t="shared" si="12"/>
        <v>100</v>
      </c>
      <c r="T37" s="667" t="s">
        <v>14</v>
      </c>
      <c r="U37" s="668">
        <f t="shared" si="13"/>
        <v>100</v>
      </c>
      <c r="V37" s="667" t="s">
        <v>14</v>
      </c>
      <c r="W37" s="668">
        <f t="shared" si="14"/>
        <v>100</v>
      </c>
      <c r="X37" s="1265"/>
      <c r="Y37" s="339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3">
        <f t="shared" si="11"/>
        <v>111</v>
      </c>
      <c r="R39" s="667" t="s">
        <v>14</v>
      </c>
      <c r="S39" s="668">
        <f t="shared" si="12"/>
        <v>100</v>
      </c>
      <c r="T39" s="667" t="s">
        <v>14</v>
      </c>
      <c r="U39" s="668">
        <f t="shared" si="13"/>
        <v>100</v>
      </c>
      <c r="V39" s="667" t="s">
        <v>14</v>
      </c>
      <c r="W39" s="668">
        <f t="shared" si="14"/>
        <v>100</v>
      </c>
      <c r="X39" s="1265"/>
      <c r="Y39" s="339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3">
        <f t="shared" si="11"/>
        <v>111</v>
      </c>
      <c r="R40" s="667" t="s">
        <v>14</v>
      </c>
      <c r="S40" s="668">
        <f t="shared" si="12"/>
        <v>100</v>
      </c>
      <c r="T40" s="667" t="s">
        <v>14</v>
      </c>
      <c r="U40" s="668">
        <f t="shared" si="13"/>
        <v>100</v>
      </c>
      <c r="V40" s="667" t="s">
        <v>14</v>
      </c>
      <c r="W40" s="668">
        <f t="shared" si="14"/>
        <v>100</v>
      </c>
      <c r="X40" s="1265"/>
      <c r="Y40" s="3394"/>
      <c r="Z40" s="1264">
        <f t="shared" si="15"/>
        <v>111</v>
      </c>
      <c r="AA40" s="1264">
        <f t="shared" si="3"/>
        <v>1</v>
      </c>
      <c r="AB40" s="1264">
        <f t="shared" si="4"/>
        <v>1</v>
      </c>
      <c r="AC40" s="1264">
        <f t="shared" si="5"/>
        <v>1</v>
      </c>
    </row>
    <row r="41" spans="1:29" ht="15">
      <c r="A41" s="416" t="s">
        <v>1707</v>
      </c>
      <c r="B41" s="417"/>
      <c r="C41" s="1081" t="s">
        <v>0</v>
      </c>
      <c r="D41" s="418"/>
      <c r="E41" s="419"/>
      <c r="F41" s="420"/>
      <c r="G41" s="421"/>
      <c r="H41" s="422"/>
      <c r="I41" s="419"/>
      <c r="J41" s="422"/>
      <c r="K41" s="674"/>
      <c r="L41" s="873"/>
      <c r="M41" s="861"/>
      <c r="N41" s="861"/>
      <c r="O41" s="861"/>
      <c r="P41" s="3395" t="str">
        <f>A41</f>
        <v>成交单价（元/平方米）</v>
      </c>
      <c r="Q41" s="3395"/>
      <c r="R41" s="3383">
        <f>E41</f>
        <v>0</v>
      </c>
      <c r="S41" s="3383"/>
      <c r="T41" s="3383">
        <f>G41</f>
        <v>0</v>
      </c>
      <c r="U41" s="3383"/>
      <c r="V41" s="3383">
        <f>I41</f>
        <v>0</v>
      </c>
      <c r="W41" s="3383"/>
      <c r="X41" s="385"/>
      <c r="Y41" s="673"/>
      <c r="Z41" s="385"/>
      <c r="AA41" s="385"/>
      <c r="AB41" s="385"/>
      <c r="AC41" s="385"/>
    </row>
    <row r="42" spans="1:29" ht="15.75" thickBot="1">
      <c r="A42" s="423" t="s">
        <v>1792</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95" t="str">
        <f>A42</f>
        <v>比较价值（元/平方米）</v>
      </c>
      <c r="Q42" s="3395"/>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3"/>
      <c r="M43" s="861"/>
      <c r="N43" s="861"/>
      <c r="O43" s="861"/>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1797</v>
      </c>
      <c r="B51" s="385"/>
      <c r="C51" s="659"/>
      <c r="D51" s="659"/>
      <c r="E51" s="659"/>
      <c r="F51" s="660"/>
      <c r="G51" s="660"/>
      <c r="H51" s="659"/>
      <c r="I51" s="659"/>
      <c r="J51" s="659"/>
      <c r="K51" s="887"/>
      <c r="L51" s="888"/>
      <c r="M51" s="886"/>
      <c r="N51" s="886"/>
      <c r="O51" s="886"/>
      <c r="P51" s="438"/>
      <c r="Q51" s="439"/>
    </row>
    <row r="52" spans="1:17" s="442" customFormat="1" ht="15">
      <c r="A52" s="440" t="s">
        <v>1678</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9"/>
      <c r="O54" s="2540"/>
      <c r="P54" s="439"/>
      <c r="Q54" s="439"/>
    </row>
    <row r="55" spans="1:17" s="102" customFormat="1" ht="15">
      <c r="A55" s="455" t="s">
        <v>1680</v>
      </c>
      <c r="B55" s="444"/>
      <c r="C55" s="456" t="s">
        <v>1775</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1687</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估价对象为北京市房地产，为所有。根据《国有土地使用证》[]，估价对象（分摊）出让国有建设用地使用权面积为166.46平方米，建筑面积为1320.67平方米。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估价对象为北京市房地产,属开发建设的，该项目尚在开发建设中。根据《国有土地使用证》[]，估价对象（分摊）出让国有建设用地使用权面积为166.46平方米，规划建筑面积为1320.67平方米。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2024年10月12日（评估专业人员实地查勘之日）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38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3333</v>
      </c>
      <c r="C1" s="1141" t="s">
        <v>1661</v>
      </c>
      <c r="D1" s="1142"/>
      <c r="E1" s="3132"/>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1768</v>
      </c>
      <c r="B4" s="346"/>
      <c r="C4" s="3370" t="s">
        <v>1769</v>
      </c>
      <c r="D4" s="3371"/>
      <c r="E4" s="3372" t="s">
        <v>1770</v>
      </c>
      <c r="F4" s="3373"/>
      <c r="G4" s="3370" t="s">
        <v>1771</v>
      </c>
      <c r="H4" s="3371"/>
      <c r="I4" s="3370" t="s">
        <v>1772</v>
      </c>
      <c r="J4" s="3371"/>
      <c r="K4" s="537" t="s">
        <v>1773</v>
      </c>
      <c r="L4" s="2487"/>
      <c r="M4" s="2488"/>
      <c r="N4" s="2488"/>
      <c r="O4" s="2488"/>
      <c r="P4" s="3428" t="s">
        <v>1774</v>
      </c>
      <c r="Q4" s="3429"/>
      <c r="R4" s="3426" t="s">
        <v>1770</v>
      </c>
      <c r="S4" s="3427"/>
      <c r="T4" s="3426" t="s">
        <v>1771</v>
      </c>
      <c r="U4" s="3427"/>
      <c r="V4" s="3383" t="s">
        <v>1772</v>
      </c>
      <c r="W4" s="3383"/>
      <c r="X4" s="1265"/>
      <c r="Y4" s="3426" t="s">
        <v>1774</v>
      </c>
      <c r="Z4" s="3427"/>
      <c r="AA4" s="3425" t="s">
        <v>1770</v>
      </c>
      <c r="AB4" s="3349" t="s">
        <v>1771</v>
      </c>
      <c r="AC4" s="3425" t="s">
        <v>1772</v>
      </c>
    </row>
    <row r="5" spans="1:29" ht="15">
      <c r="A5" s="348"/>
      <c r="B5" s="349"/>
      <c r="C5" s="3359" t="s">
        <v>1672</v>
      </c>
      <c r="D5" s="3360"/>
      <c r="E5" s="3357" t="s">
        <v>1673</v>
      </c>
      <c r="F5" s="3358"/>
      <c r="G5" s="3359" t="s">
        <v>1674</v>
      </c>
      <c r="H5" s="3360"/>
      <c r="I5" s="3359" t="s">
        <v>1675</v>
      </c>
      <c r="J5" s="3360"/>
      <c r="K5" s="537"/>
      <c r="L5" s="2487"/>
      <c r="M5" s="2488"/>
      <c r="N5" s="2488"/>
      <c r="O5" s="2488"/>
      <c r="P5" s="3430"/>
      <c r="Q5" s="3377"/>
      <c r="R5" s="3355"/>
      <c r="S5" s="3356"/>
      <c r="T5" s="3355"/>
      <c r="U5" s="3356"/>
      <c r="V5" s="3383"/>
      <c r="W5" s="3383"/>
      <c r="X5" s="1265"/>
      <c r="Y5" s="3355"/>
      <c r="Z5" s="3356"/>
      <c r="AA5" s="3349"/>
      <c r="AB5" s="3349"/>
      <c r="AC5" s="3349"/>
    </row>
    <row r="6" spans="1:29" ht="15.75" thickBot="1">
      <c r="A6" s="350"/>
      <c r="B6" s="351"/>
      <c r="C6" s="3361" t="s">
        <v>1676</v>
      </c>
      <c r="D6" s="3362"/>
      <c r="E6" s="3364" t="s">
        <v>1676</v>
      </c>
      <c r="F6" s="3365"/>
      <c r="G6" s="3361" t="s">
        <v>1676</v>
      </c>
      <c r="H6" s="3362"/>
      <c r="I6" s="3361" t="s">
        <v>1676</v>
      </c>
      <c r="J6" s="3362"/>
      <c r="K6" s="537" t="s">
        <v>1677</v>
      </c>
      <c r="L6" s="2487"/>
      <c r="M6" s="2488"/>
      <c r="N6" s="2488"/>
      <c r="O6" s="2488"/>
      <c r="P6" s="3431"/>
      <c r="Q6" s="3379"/>
      <c r="R6" s="3355"/>
      <c r="S6" s="3356"/>
      <c r="T6" s="3380"/>
      <c r="U6" s="3381"/>
      <c r="V6" s="3383"/>
      <c r="W6" s="3383"/>
      <c r="X6" s="1265"/>
      <c r="Y6" s="3380"/>
      <c r="Z6" s="3381"/>
      <c r="AA6" s="3350"/>
      <c r="AB6" s="3350"/>
      <c r="AC6" s="3350"/>
    </row>
    <row r="7" spans="1:29" s="102" customFormat="1" ht="15.75" thickBot="1">
      <c r="A7" s="352" t="s">
        <v>1678</v>
      </c>
      <c r="B7" s="353"/>
      <c r="C7" s="354">
        <f>'数据-取费表'!B2</f>
        <v>45577</v>
      </c>
      <c r="D7" s="355">
        <v>100</v>
      </c>
      <c r="E7" s="356"/>
      <c r="F7" s="357">
        <f>SUMIF(48:48,YEAR(E7)&amp;"-"&amp;MONTH(E7),49:49)</f>
        <v>0</v>
      </c>
      <c r="G7" s="356"/>
      <c r="H7" s="355">
        <f>SUMIF(48:48,YEAR(G7)&amp;"-"&amp;MONTH(G7),49:49)</f>
        <v>0</v>
      </c>
      <c r="I7" s="356"/>
      <c r="J7" s="355">
        <f>SUMIF(48:48,YEAR(I7)&amp;"-"&amp;MONTH(I7),49:49)</f>
        <v>0</v>
      </c>
      <c r="K7" s="38"/>
      <c r="L7" s="2489"/>
      <c r="M7" s="2440"/>
      <c r="N7" s="2440"/>
      <c r="O7" s="2440"/>
      <c r="P7" s="3351" t="s">
        <v>1679</v>
      </c>
      <c r="Q7" s="3385"/>
      <c r="R7" s="664" t="s">
        <v>14</v>
      </c>
      <c r="S7" s="665">
        <f t="shared" ref="S7:S14" si="0">F7</f>
        <v>0</v>
      </c>
      <c r="T7" s="664" t="s">
        <v>14</v>
      </c>
      <c r="U7" s="665">
        <f t="shared" ref="U7:U14" si="1">H7</f>
        <v>0</v>
      </c>
      <c r="V7" s="664" t="s">
        <v>14</v>
      </c>
      <c r="W7" s="665">
        <f t="shared" ref="W7:W14" si="2">J7</f>
        <v>0</v>
      </c>
      <c r="X7" s="666"/>
      <c r="Y7" s="3351" t="s">
        <v>1679</v>
      </c>
      <c r="Z7" s="3352"/>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51" t="s">
        <v>1682</v>
      </c>
      <c r="Q8" s="3352"/>
      <c r="R8" s="664" t="s">
        <v>14</v>
      </c>
      <c r="S8" s="665">
        <f t="shared" si="0"/>
        <v>100</v>
      </c>
      <c r="T8" s="664" t="s">
        <v>14</v>
      </c>
      <c r="U8" s="665">
        <f t="shared" si="1"/>
        <v>100</v>
      </c>
      <c r="V8" s="664" t="s">
        <v>14</v>
      </c>
      <c r="W8" s="665">
        <f t="shared" si="2"/>
        <v>100</v>
      </c>
      <c r="X8" s="666"/>
      <c r="Y8" s="3351" t="s">
        <v>1682</v>
      </c>
      <c r="Z8" s="3352"/>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5" t="s">
        <v>1685</v>
      </c>
      <c r="Q9" s="530" t="str">
        <f t="shared" ref="Q9:Q14" si="6">B9</f>
        <v>用途</v>
      </c>
      <c r="R9" s="664" t="s">
        <v>14</v>
      </c>
      <c r="S9" s="665">
        <f t="shared" si="0"/>
        <v>100</v>
      </c>
      <c r="T9" s="664" t="s">
        <v>14</v>
      </c>
      <c r="U9" s="665">
        <f t="shared" si="1"/>
        <v>100</v>
      </c>
      <c r="V9" s="664" t="s">
        <v>14</v>
      </c>
      <c r="W9" s="665">
        <f t="shared" si="2"/>
        <v>100</v>
      </c>
      <c r="X9" s="666"/>
      <c r="Y9" s="3321" t="s">
        <v>1686</v>
      </c>
      <c r="Z9" s="50" t="str">
        <f t="shared" ref="Z9:Z14" si="7">Q9</f>
        <v>用途</v>
      </c>
      <c r="AA9" s="50">
        <f t="shared" si="3"/>
        <v>1</v>
      </c>
      <c r="AB9" s="50">
        <f t="shared" si="4"/>
        <v>1</v>
      </c>
      <c r="AC9" s="50">
        <f t="shared" si="5"/>
        <v>1</v>
      </c>
    </row>
    <row r="10" spans="1:29" s="366" customFormat="1" ht="27">
      <c r="A10" s="565"/>
      <c r="B10" s="566" t="s">
        <v>1687</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5"/>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1689</v>
      </c>
      <c r="B14" s="554" t="s">
        <v>1832</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8" t="s">
        <v>1690</v>
      </c>
      <c r="Q14" s="1263" t="str">
        <f t="shared" si="6"/>
        <v>交通便捷度</v>
      </c>
      <c r="R14" s="667" t="s">
        <v>14</v>
      </c>
      <c r="S14" s="668">
        <f t="shared" si="0"/>
        <v>100</v>
      </c>
      <c r="T14" s="667" t="s">
        <v>14</v>
      </c>
      <c r="U14" s="668">
        <f t="shared" si="1"/>
        <v>100</v>
      </c>
      <c r="V14" s="667" t="s">
        <v>14</v>
      </c>
      <c r="W14" s="668">
        <f t="shared" si="2"/>
        <v>100</v>
      </c>
      <c r="X14" s="1265"/>
      <c r="Y14" s="3388" t="s">
        <v>1690</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9"/>
      <c r="Q15" s="1263"/>
      <c r="R15" s="667"/>
      <c r="S15" s="668"/>
      <c r="T15" s="667"/>
      <c r="U15" s="668"/>
      <c r="V15" s="667"/>
      <c r="W15" s="668"/>
      <c r="X15" s="1265"/>
      <c r="Y15" s="3389"/>
      <c r="Z15" s="1264"/>
      <c r="AA15" s="1264">
        <v>1</v>
      </c>
      <c r="AB15" s="1264">
        <v>1</v>
      </c>
      <c r="AC15" s="1264">
        <v>1</v>
      </c>
    </row>
    <row r="16" spans="1:29" ht="42.75">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9"/>
      <c r="Q17" s="1263"/>
      <c r="R17" s="667"/>
      <c r="S17" s="668"/>
      <c r="T17" s="667"/>
      <c r="U17" s="668"/>
      <c r="V17" s="667"/>
      <c r="W17" s="668"/>
      <c r="X17" s="1265"/>
      <c r="Y17" s="3389"/>
      <c r="Z17" s="1264"/>
      <c r="AA17" s="1264">
        <v>1</v>
      </c>
      <c r="AB17" s="1264">
        <v>1</v>
      </c>
      <c r="AC17" s="1264">
        <v>1</v>
      </c>
    </row>
    <row r="18" spans="1:29" ht="28.5">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9"/>
      <c r="Q19" s="1263"/>
      <c r="R19" s="667"/>
      <c r="S19" s="668"/>
      <c r="T19" s="667"/>
      <c r="U19" s="668"/>
      <c r="V19" s="667"/>
      <c r="W19" s="668"/>
      <c r="X19" s="1265"/>
      <c r="Y19" s="3389"/>
      <c r="Z19" s="1264"/>
      <c r="AA19" s="1264">
        <v>1</v>
      </c>
      <c r="AB19" s="1264">
        <v>1</v>
      </c>
      <c r="AC19" s="1264">
        <v>1</v>
      </c>
    </row>
    <row r="20" spans="1:29" ht="57">
      <c r="A20" s="348"/>
      <c r="B20" s="556" t="s">
        <v>1833</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9"/>
      <c r="Q21" s="1263"/>
      <c r="R21" s="667"/>
      <c r="S21" s="668"/>
      <c r="T21" s="667"/>
      <c r="U21" s="668"/>
      <c r="V21" s="667"/>
      <c r="W21" s="668"/>
      <c r="X21" s="1265"/>
      <c r="Y21" s="3389"/>
      <c r="Z21" s="1264"/>
      <c r="AA21" s="1264">
        <v>1</v>
      </c>
      <c r="AB21" s="1264">
        <v>1</v>
      </c>
      <c r="AC21" s="1264">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9"/>
      <c r="Q24" s="1263">
        <f t="shared" ref="Q24:Q36"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28.5">
      <c r="A26" s="574" t="s">
        <v>1693</v>
      </c>
      <c r="B26" s="59" t="s">
        <v>1835</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5"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3" t="s">
        <v>1695</v>
      </c>
      <c r="Z26" s="1264" t="str">
        <f t="shared" ref="Z26:Z36" si="15">Q26</f>
        <v>配套类型</v>
      </c>
      <c r="AA26" s="1264" t="e">
        <f t="shared" si="3"/>
        <v>#DIV/0!</v>
      </c>
      <c r="AB26" s="1264" t="e">
        <f t="shared" si="4"/>
        <v>#DIV/0!</v>
      </c>
      <c r="AC26" s="1264"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4">
        <f t="shared" si="3"/>
        <v>1</v>
      </c>
      <c r="AB27" s="1264">
        <f t="shared" si="4"/>
        <v>1</v>
      </c>
      <c r="AC27" s="1264">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3"/>
      <c r="Q28" s="1263" t="str">
        <f t="shared" si="11"/>
        <v>公共部分装修</v>
      </c>
      <c r="R28" s="667" t="s">
        <v>14</v>
      </c>
      <c r="S28" s="668">
        <f t="shared" si="12"/>
        <v>100</v>
      </c>
      <c r="T28" s="667" t="s">
        <v>14</v>
      </c>
      <c r="U28" s="668">
        <f t="shared" si="13"/>
        <v>100</v>
      </c>
      <c r="V28" s="667" t="s">
        <v>14</v>
      </c>
      <c r="W28" s="668">
        <f t="shared" si="14"/>
        <v>100</v>
      </c>
      <c r="X28" s="1265"/>
      <c r="Y28" s="3393"/>
      <c r="Z28" s="1264" t="str">
        <f t="shared" si="15"/>
        <v>公共部分装修</v>
      </c>
      <c r="AA28" s="1264">
        <f t="shared" si="3"/>
        <v>1</v>
      </c>
      <c r="AB28" s="1264">
        <f t="shared" si="4"/>
        <v>1</v>
      </c>
      <c r="AC28" s="1264">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3"/>
      <c r="Q29" s="1263" t="str">
        <f t="shared" si="11"/>
        <v>成新率</v>
      </c>
      <c r="R29" s="667" t="s">
        <v>14</v>
      </c>
      <c r="S29" s="668" t="e">
        <f t="shared" si="12"/>
        <v>#N/A</v>
      </c>
      <c r="T29" s="667" t="s">
        <v>14</v>
      </c>
      <c r="U29" s="668" t="e">
        <f t="shared" si="13"/>
        <v>#N/A</v>
      </c>
      <c r="V29" s="667" t="s">
        <v>14</v>
      </c>
      <c r="W29" s="668" t="e">
        <f t="shared" si="14"/>
        <v>#N/A</v>
      </c>
      <c r="X29" s="1265"/>
      <c r="Y29" s="3393"/>
      <c r="Z29" s="1264" t="str">
        <f t="shared" si="15"/>
        <v>成新率</v>
      </c>
      <c r="AA29" s="1264" t="e">
        <f t="shared" si="3"/>
        <v>#N/A</v>
      </c>
      <c r="AB29" s="1264" t="e">
        <f t="shared" si="4"/>
        <v>#N/A</v>
      </c>
      <c r="AC29" s="1264"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3"/>
      <c r="Q30" s="1263" t="str">
        <f t="shared" si="11"/>
        <v>物业等级</v>
      </c>
      <c r="R30" s="667" t="s">
        <v>14</v>
      </c>
      <c r="S30" s="668">
        <f t="shared" si="12"/>
        <v>100</v>
      </c>
      <c r="T30" s="667" t="s">
        <v>14</v>
      </c>
      <c r="U30" s="668">
        <f t="shared" si="13"/>
        <v>100</v>
      </c>
      <c r="V30" s="667" t="s">
        <v>14</v>
      </c>
      <c r="W30" s="668">
        <f t="shared" si="14"/>
        <v>100</v>
      </c>
      <c r="X30" s="1265"/>
      <c r="Y30" s="3393"/>
      <c r="Z30" s="1264" t="str">
        <f t="shared" si="15"/>
        <v>物业等级</v>
      </c>
      <c r="AA30" s="1264">
        <f t="shared" si="3"/>
        <v>1</v>
      </c>
      <c r="AB30" s="1264">
        <f t="shared" si="4"/>
        <v>1</v>
      </c>
      <c r="AC30" s="1264">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3" t="s">
        <v>1695</v>
      </c>
      <c r="Q32" s="1263" t="str">
        <f t="shared" si="11"/>
        <v>车位类型</v>
      </c>
      <c r="R32" s="667" t="s">
        <v>14</v>
      </c>
      <c r="S32" s="668">
        <f t="shared" si="12"/>
        <v>100</v>
      </c>
      <c r="T32" s="667" t="s">
        <v>14</v>
      </c>
      <c r="U32" s="668">
        <f t="shared" si="13"/>
        <v>100</v>
      </c>
      <c r="V32" s="667" t="s">
        <v>14</v>
      </c>
      <c r="W32" s="668">
        <f t="shared" si="14"/>
        <v>100</v>
      </c>
      <c r="X32" s="1265"/>
      <c r="Y32" s="3393" t="s">
        <v>1695</v>
      </c>
      <c r="Z32" s="1264" t="str">
        <f t="shared" si="15"/>
        <v>车位类型</v>
      </c>
      <c r="AA32" s="1264">
        <f t="shared" si="3"/>
        <v>1</v>
      </c>
      <c r="AB32" s="1264">
        <f t="shared" si="4"/>
        <v>1</v>
      </c>
      <c r="AC32" s="1264">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3"/>
      <c r="Q33" s="1263" t="str">
        <f t="shared" si="11"/>
        <v>是否直接入户</v>
      </c>
      <c r="R33" s="667" t="s">
        <v>14</v>
      </c>
      <c r="S33" s="668">
        <f t="shared" si="12"/>
        <v>100</v>
      </c>
      <c r="T33" s="667" t="s">
        <v>14</v>
      </c>
      <c r="U33" s="668">
        <f t="shared" si="13"/>
        <v>100</v>
      </c>
      <c r="V33" s="667" t="s">
        <v>14</v>
      </c>
      <c r="W33" s="668">
        <f t="shared" si="14"/>
        <v>100</v>
      </c>
      <c r="X33" s="1265"/>
      <c r="Y33" s="339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3"/>
      <c r="Q36" s="1263">
        <f t="shared" si="11"/>
        <v>111</v>
      </c>
      <c r="R36" s="667" t="s">
        <v>14</v>
      </c>
      <c r="S36" s="668">
        <f t="shared" si="12"/>
        <v>100</v>
      </c>
      <c r="T36" s="667" t="s">
        <v>14</v>
      </c>
      <c r="U36" s="668">
        <f t="shared" si="13"/>
        <v>100</v>
      </c>
      <c r="V36" s="667" t="s">
        <v>14</v>
      </c>
      <c r="W36" s="668">
        <f t="shared" si="14"/>
        <v>100</v>
      </c>
      <c r="X36" s="1265"/>
      <c r="Y36" s="3393"/>
      <c r="Z36" s="1264">
        <f t="shared" si="15"/>
        <v>111</v>
      </c>
      <c r="AA36" s="1264">
        <f t="shared" si="3"/>
        <v>1</v>
      </c>
      <c r="AB36" s="1264">
        <f t="shared" si="4"/>
        <v>1</v>
      </c>
      <c r="AC36" s="1264">
        <f t="shared" si="5"/>
        <v>1</v>
      </c>
    </row>
    <row r="37" spans="1:29" ht="15">
      <c r="A37" s="416" t="s">
        <v>1843</v>
      </c>
      <c r="B37" s="1821" t="s">
        <v>3354</v>
      </c>
      <c r="C37" s="1081" t="s">
        <v>0</v>
      </c>
      <c r="D37" s="418"/>
      <c r="E37" s="419"/>
      <c r="F37" s="420"/>
      <c r="G37" s="421"/>
      <c r="H37" s="422"/>
      <c r="I37" s="419"/>
      <c r="J37" s="422"/>
      <c r="K37" s="545"/>
      <c r="L37" s="2495"/>
      <c r="M37" s="2488"/>
      <c r="N37" s="2488"/>
      <c r="O37" s="2488"/>
      <c r="P37" s="3395" t="str">
        <f>A37</f>
        <v>成交单价</v>
      </c>
      <c r="Q37" s="3395"/>
      <c r="R37" s="3383">
        <f>E37</f>
        <v>0</v>
      </c>
      <c r="S37" s="3383"/>
      <c r="T37" s="3383">
        <f>G37</f>
        <v>0</v>
      </c>
      <c r="U37" s="3383"/>
      <c r="V37" s="3383">
        <f>I37</f>
        <v>0</v>
      </c>
      <c r="W37" s="3383"/>
      <c r="X37" s="385"/>
      <c r="Y37" s="673"/>
      <c r="Z37" s="385"/>
      <c r="AA37" s="385"/>
      <c r="AB37" s="385"/>
      <c r="AC37" s="385"/>
    </row>
    <row r="38" spans="1:29" ht="15.75" thickBot="1">
      <c r="A38" s="423" t="s">
        <v>1844</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395" t="str">
        <f>A38</f>
        <v>比较价值（元/平方米）</v>
      </c>
      <c r="Q38" s="3395"/>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95"/>
      <c r="M39" s="2488"/>
      <c r="N39" s="2488"/>
      <c r="O39" s="2488"/>
      <c r="P39" s="3432" t="str">
        <f>A39</f>
        <v>估价对象XX用房的比较价值（楼面单价，元/平方米）</v>
      </c>
      <c r="Q39" s="3433"/>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1849</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1850</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1715</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1680</v>
      </c>
      <c r="B51" s="444"/>
      <c r="C51" s="456" t="s">
        <v>1775</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1718</v>
      </c>
      <c r="B53" s="460" t="s">
        <v>1684</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1687</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1726</v>
      </c>
      <c r="C65" s="509" t="s">
        <v>1720</v>
      </c>
      <c r="D65" s="509" t="s">
        <v>1721</v>
      </c>
      <c r="E65" s="509" t="s">
        <v>1722</v>
      </c>
      <c r="F65" s="509" t="s">
        <v>1723</v>
      </c>
      <c r="G65" s="509" t="s">
        <v>1724</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1812</v>
      </c>
      <c r="C67" s="581" t="s">
        <v>1798</v>
      </c>
      <c r="D67" s="581" t="s">
        <v>1799</v>
      </c>
      <c r="E67" s="581" t="s">
        <v>1800</v>
      </c>
      <c r="F67" s="581" t="s">
        <v>1801</v>
      </c>
      <c r="G67" s="581" t="s">
        <v>1802</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1732</v>
      </c>
      <c r="C69" s="509" t="s">
        <v>1720</v>
      </c>
      <c r="D69" s="509" t="s">
        <v>1721</v>
      </c>
      <c r="E69" s="509" t="s">
        <v>1722</v>
      </c>
      <c r="F69" s="509" t="s">
        <v>1723</v>
      </c>
      <c r="G69" s="509" t="s">
        <v>1724</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1851</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1693</v>
      </c>
      <c r="B79" s="460" t="s">
        <v>1852</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1853</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1739</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1855</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1857</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1858</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3334</v>
      </c>
      <c r="C1" s="1141" t="s">
        <v>1661</v>
      </c>
      <c r="D1" s="1142"/>
      <c r="E1" s="3132"/>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1768</v>
      </c>
      <c r="B4" s="346"/>
      <c r="C4" s="3370" t="s">
        <v>1769</v>
      </c>
      <c r="D4" s="3371"/>
      <c r="E4" s="3372" t="s">
        <v>1770</v>
      </c>
      <c r="F4" s="3373"/>
      <c r="G4" s="3370" t="s">
        <v>1771</v>
      </c>
      <c r="H4" s="3371"/>
      <c r="I4" s="3370" t="s">
        <v>1772</v>
      </c>
      <c r="J4" s="3371"/>
      <c r="K4" s="537" t="s">
        <v>1773</v>
      </c>
      <c r="L4" s="2487"/>
      <c r="M4" s="2488"/>
      <c r="N4" s="2488"/>
      <c r="O4" s="2488"/>
      <c r="P4" s="3428" t="s">
        <v>1774</v>
      </c>
      <c r="Q4" s="3429"/>
      <c r="R4" s="3426" t="s">
        <v>1770</v>
      </c>
      <c r="S4" s="3427"/>
      <c r="T4" s="3426" t="s">
        <v>1771</v>
      </c>
      <c r="U4" s="3427"/>
      <c r="V4" s="3383" t="s">
        <v>1772</v>
      </c>
      <c r="W4" s="3383"/>
      <c r="X4" s="1265"/>
      <c r="Y4" s="3426" t="s">
        <v>1774</v>
      </c>
      <c r="Z4" s="3427"/>
      <c r="AA4" s="3425" t="s">
        <v>1770</v>
      </c>
      <c r="AB4" s="3349" t="s">
        <v>1771</v>
      </c>
      <c r="AC4" s="3425" t="s">
        <v>1772</v>
      </c>
    </row>
    <row r="5" spans="1:29" ht="15">
      <c r="A5" s="348"/>
      <c r="B5" s="349"/>
      <c r="C5" s="3359" t="s">
        <v>1672</v>
      </c>
      <c r="D5" s="3360"/>
      <c r="E5" s="3357" t="s">
        <v>1673</v>
      </c>
      <c r="F5" s="3358"/>
      <c r="G5" s="3359" t="s">
        <v>1674</v>
      </c>
      <c r="H5" s="3360"/>
      <c r="I5" s="3359" t="s">
        <v>1675</v>
      </c>
      <c r="J5" s="3360"/>
      <c r="K5" s="537"/>
      <c r="L5" s="2487"/>
      <c r="M5" s="2488"/>
      <c r="N5" s="2488"/>
      <c r="O5" s="2488"/>
      <c r="P5" s="3430"/>
      <c r="Q5" s="3377"/>
      <c r="R5" s="3355"/>
      <c r="S5" s="3356"/>
      <c r="T5" s="3355"/>
      <c r="U5" s="3356"/>
      <c r="V5" s="3383"/>
      <c r="W5" s="3383"/>
      <c r="X5" s="1265"/>
      <c r="Y5" s="3355"/>
      <c r="Z5" s="3356"/>
      <c r="AA5" s="3349"/>
      <c r="AB5" s="3349"/>
      <c r="AC5" s="3349"/>
    </row>
    <row r="6" spans="1:29" ht="15.75" thickBot="1">
      <c r="A6" s="350"/>
      <c r="B6" s="351"/>
      <c r="C6" s="3361" t="s">
        <v>1676</v>
      </c>
      <c r="D6" s="3362"/>
      <c r="E6" s="3364" t="s">
        <v>1676</v>
      </c>
      <c r="F6" s="3365"/>
      <c r="G6" s="3361" t="s">
        <v>1676</v>
      </c>
      <c r="H6" s="3362"/>
      <c r="I6" s="3361" t="s">
        <v>1676</v>
      </c>
      <c r="J6" s="3362"/>
      <c r="K6" s="537" t="s">
        <v>1677</v>
      </c>
      <c r="L6" s="2487"/>
      <c r="M6" s="2488"/>
      <c r="N6" s="2488"/>
      <c r="O6" s="2488"/>
      <c r="P6" s="3431"/>
      <c r="Q6" s="3379"/>
      <c r="R6" s="3355"/>
      <c r="S6" s="3356"/>
      <c r="T6" s="3380"/>
      <c r="U6" s="3381"/>
      <c r="V6" s="3383"/>
      <c r="W6" s="3383"/>
      <c r="X6" s="1265"/>
      <c r="Y6" s="3380"/>
      <c r="Z6" s="3381"/>
      <c r="AA6" s="3350"/>
      <c r="AB6" s="3350"/>
      <c r="AC6" s="3350"/>
    </row>
    <row r="7" spans="1:29" s="102" customFormat="1" ht="15.75" thickBot="1">
      <c r="A7" s="352" t="s">
        <v>1678</v>
      </c>
      <c r="B7" s="353"/>
      <c r="C7" s="354">
        <f>'数据-取费表'!B2</f>
        <v>45577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51" t="s">
        <v>1679</v>
      </c>
      <c r="Q7" s="3385"/>
      <c r="R7" s="664" t="s">
        <v>14</v>
      </c>
      <c r="S7" s="665">
        <f t="shared" ref="S7:S14" si="0">F7</f>
        <v>0</v>
      </c>
      <c r="T7" s="664" t="s">
        <v>14</v>
      </c>
      <c r="U7" s="665">
        <f t="shared" ref="U7:U14" si="1">H7</f>
        <v>0</v>
      </c>
      <c r="V7" s="664" t="s">
        <v>14</v>
      </c>
      <c r="W7" s="665">
        <f t="shared" ref="W7:W14" si="2">J7</f>
        <v>0</v>
      </c>
      <c r="X7" s="666"/>
      <c r="Y7" s="3351" t="s">
        <v>1679</v>
      </c>
      <c r="Z7" s="3352"/>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51" t="s">
        <v>1682</v>
      </c>
      <c r="Q8" s="3352"/>
      <c r="R8" s="664" t="s">
        <v>14</v>
      </c>
      <c r="S8" s="665">
        <f t="shared" si="0"/>
        <v>100</v>
      </c>
      <c r="T8" s="664" t="s">
        <v>14</v>
      </c>
      <c r="U8" s="665">
        <f t="shared" si="1"/>
        <v>100</v>
      </c>
      <c r="V8" s="664" t="s">
        <v>14</v>
      </c>
      <c r="W8" s="665">
        <f t="shared" si="2"/>
        <v>100</v>
      </c>
      <c r="X8" s="666"/>
      <c r="Y8" s="3351" t="s">
        <v>1682</v>
      </c>
      <c r="Z8" s="3352"/>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5" t="s">
        <v>1685</v>
      </c>
      <c r="Q9" s="530" t="str">
        <f t="shared" ref="Q9:Q14" si="6">B9</f>
        <v>用途</v>
      </c>
      <c r="R9" s="664" t="s">
        <v>14</v>
      </c>
      <c r="S9" s="665">
        <f t="shared" si="0"/>
        <v>100</v>
      </c>
      <c r="T9" s="664" t="s">
        <v>14</v>
      </c>
      <c r="U9" s="665">
        <f t="shared" si="1"/>
        <v>100</v>
      </c>
      <c r="V9" s="664" t="s">
        <v>14</v>
      </c>
      <c r="W9" s="665">
        <f t="shared" si="2"/>
        <v>100</v>
      </c>
      <c r="X9" s="666"/>
      <c r="Y9" s="3321" t="s">
        <v>1686</v>
      </c>
      <c r="Z9" s="50" t="str">
        <f t="shared" ref="Z9:Z14" si="7">Q9</f>
        <v>用途</v>
      </c>
      <c r="AA9" s="50">
        <f t="shared" si="3"/>
        <v>1</v>
      </c>
      <c r="AB9" s="50">
        <f t="shared" si="4"/>
        <v>1</v>
      </c>
      <c r="AC9" s="50">
        <f t="shared" si="5"/>
        <v>1</v>
      </c>
    </row>
    <row r="10" spans="1:29" s="366" customFormat="1" ht="27">
      <c r="A10" s="363"/>
      <c r="B10" s="364" t="s">
        <v>1687</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5"/>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5"/>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5"/>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1689</v>
      </c>
      <c r="B14" s="58" t="s">
        <v>1832</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8" t="s">
        <v>1690</v>
      </c>
      <c r="Q14" s="1263" t="str">
        <f t="shared" si="6"/>
        <v>交通便捷度</v>
      </c>
      <c r="R14" s="667" t="s">
        <v>14</v>
      </c>
      <c r="S14" s="668">
        <f t="shared" si="0"/>
        <v>100</v>
      </c>
      <c r="T14" s="667" t="s">
        <v>14</v>
      </c>
      <c r="U14" s="668">
        <f t="shared" si="1"/>
        <v>100</v>
      </c>
      <c r="V14" s="667" t="s">
        <v>14</v>
      </c>
      <c r="W14" s="668">
        <f t="shared" si="2"/>
        <v>100</v>
      </c>
      <c r="X14" s="1265"/>
      <c r="Y14" s="3388" t="s">
        <v>1690</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9"/>
      <c r="Q15" s="1263"/>
      <c r="R15" s="667"/>
      <c r="S15" s="668"/>
      <c r="T15" s="667"/>
      <c r="U15" s="668"/>
      <c r="V15" s="667"/>
      <c r="W15" s="668"/>
      <c r="X15" s="1265"/>
      <c r="Y15" s="3389"/>
      <c r="Z15" s="1264"/>
      <c r="AA15" s="1264">
        <v>1</v>
      </c>
      <c r="AB15" s="1264">
        <v>1</v>
      </c>
      <c r="AC15" s="1264">
        <v>1</v>
      </c>
    </row>
    <row r="16" spans="1:29" ht="42.75">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9"/>
      <c r="Q17" s="1263"/>
      <c r="R17" s="667"/>
      <c r="S17" s="668"/>
      <c r="T17" s="667"/>
      <c r="U17" s="668"/>
      <c r="V17" s="667"/>
      <c r="W17" s="668"/>
      <c r="X17" s="1265"/>
      <c r="Y17" s="3389"/>
      <c r="Z17" s="1264"/>
      <c r="AA17" s="1264">
        <v>1</v>
      </c>
      <c r="AB17" s="1264">
        <v>1</v>
      </c>
      <c r="AC17" s="1264">
        <v>1</v>
      </c>
    </row>
    <row r="18" spans="1:29" ht="28.5">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9"/>
      <c r="Q19" s="1263"/>
      <c r="R19" s="667"/>
      <c r="S19" s="668"/>
      <c r="T19" s="667"/>
      <c r="U19" s="668"/>
      <c r="V19" s="667"/>
      <c r="W19" s="668"/>
      <c r="X19" s="1265"/>
      <c r="Y19" s="3389"/>
      <c r="Z19" s="1264"/>
      <c r="AA19" s="1264">
        <v>1</v>
      </c>
      <c r="AB19" s="1264">
        <v>1</v>
      </c>
      <c r="AC19" s="1264">
        <v>1</v>
      </c>
    </row>
    <row r="20" spans="1:29" ht="57">
      <c r="A20" s="367"/>
      <c r="B20" s="390" t="s">
        <v>1833</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9"/>
      <c r="Q21" s="1263"/>
      <c r="R21" s="667"/>
      <c r="S21" s="668"/>
      <c r="T21" s="667"/>
      <c r="U21" s="668"/>
      <c r="V21" s="667"/>
      <c r="W21" s="668"/>
      <c r="X21" s="1265"/>
      <c r="Y21" s="3389"/>
      <c r="Z21" s="1264"/>
      <c r="AA21" s="1264">
        <v>1</v>
      </c>
      <c r="AB21" s="1264">
        <v>1</v>
      </c>
      <c r="AC21" s="1264">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9"/>
      <c r="Q24" s="1263">
        <f t="shared" ref="Q24:Q34"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28.5">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5"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3" t="s">
        <v>1695</v>
      </c>
      <c r="Z26" s="1264" t="str">
        <f t="shared" ref="Z26:Z34" si="15">Q26</f>
        <v>公共部分装修</v>
      </c>
      <c r="AA26" s="1264">
        <f t="shared" si="3"/>
        <v>1</v>
      </c>
      <c r="AB26" s="1264">
        <f t="shared" si="4"/>
        <v>1</v>
      </c>
      <c r="AC26" s="1264">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4" t="e">
        <f t="shared" si="3"/>
        <v>#N/A</v>
      </c>
      <c r="AB27" s="1264" t="e">
        <f t="shared" si="4"/>
        <v>#N/A</v>
      </c>
      <c r="AC27" s="1264"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3"/>
      <c r="Q28" s="1263" t="str">
        <f t="shared" si="11"/>
        <v>物业等级</v>
      </c>
      <c r="R28" s="667" t="s">
        <v>14</v>
      </c>
      <c r="S28" s="668">
        <f t="shared" si="12"/>
        <v>100</v>
      </c>
      <c r="T28" s="667" t="s">
        <v>14</v>
      </c>
      <c r="U28" s="668">
        <f t="shared" si="13"/>
        <v>100</v>
      </c>
      <c r="V28" s="667" t="s">
        <v>14</v>
      </c>
      <c r="W28" s="668">
        <f t="shared" si="14"/>
        <v>100</v>
      </c>
      <c r="X28" s="1265"/>
      <c r="Y28" s="3393"/>
      <c r="Z28" s="1264" t="str">
        <f t="shared" si="15"/>
        <v>物业等级</v>
      </c>
      <c r="AA28" s="1264">
        <f t="shared" si="3"/>
        <v>1</v>
      </c>
      <c r="AB28" s="1264">
        <f t="shared" si="4"/>
        <v>1</v>
      </c>
      <c r="AC28" s="1264">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3"/>
      <c r="Q29" s="1263" t="str">
        <f t="shared" si="11"/>
        <v>有无电梯</v>
      </c>
      <c r="R29" s="667" t="s">
        <v>14</v>
      </c>
      <c r="S29" s="668">
        <f t="shared" si="12"/>
        <v>100</v>
      </c>
      <c r="T29" s="667" t="s">
        <v>14</v>
      </c>
      <c r="U29" s="668">
        <f t="shared" si="13"/>
        <v>100</v>
      </c>
      <c r="V29" s="667" t="s">
        <v>14</v>
      </c>
      <c r="W29" s="668">
        <f t="shared" si="14"/>
        <v>100</v>
      </c>
      <c r="X29" s="1265"/>
      <c r="Y29" s="3393"/>
      <c r="Z29" s="1264" t="str">
        <f t="shared" si="15"/>
        <v>有无电梯</v>
      </c>
      <c r="AA29" s="1264">
        <f t="shared" si="3"/>
        <v>1</v>
      </c>
      <c r="AB29" s="1264">
        <f t="shared" si="4"/>
        <v>1</v>
      </c>
      <c r="AC29" s="1264">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3"/>
      <c r="Q30" s="1263" t="str">
        <f t="shared" si="11"/>
        <v>建筑面积</v>
      </c>
      <c r="R30" s="667" t="s">
        <v>14</v>
      </c>
      <c r="S30" s="668" t="e">
        <f t="shared" si="12"/>
        <v>#N/A</v>
      </c>
      <c r="T30" s="667" t="s">
        <v>14</v>
      </c>
      <c r="U30" s="668" t="e">
        <f t="shared" si="13"/>
        <v>#N/A</v>
      </c>
      <c r="V30" s="667" t="s">
        <v>14</v>
      </c>
      <c r="W30" s="668" t="e">
        <f t="shared" si="14"/>
        <v>#N/A</v>
      </c>
      <c r="X30" s="1265"/>
      <c r="Y30" s="3393"/>
      <c r="Z30" s="1264" t="str">
        <f t="shared" si="15"/>
        <v>建筑面积</v>
      </c>
      <c r="AA30" s="1264" t="e">
        <f t="shared" si="3"/>
        <v>#N/A</v>
      </c>
      <c r="AB30" s="1264" t="e">
        <f t="shared" si="4"/>
        <v>#N/A</v>
      </c>
      <c r="AC30" s="1264"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3" t="s">
        <v>1695</v>
      </c>
      <c r="Q32" s="1263">
        <f t="shared" si="11"/>
        <v>111</v>
      </c>
      <c r="R32" s="667" t="s">
        <v>14</v>
      </c>
      <c r="S32" s="668">
        <f t="shared" si="12"/>
        <v>100</v>
      </c>
      <c r="T32" s="667" t="s">
        <v>14</v>
      </c>
      <c r="U32" s="668">
        <f t="shared" si="13"/>
        <v>100</v>
      </c>
      <c r="V32" s="667" t="s">
        <v>14</v>
      </c>
      <c r="W32" s="668">
        <f t="shared" si="14"/>
        <v>100</v>
      </c>
      <c r="X32" s="1265"/>
      <c r="Y32" s="3393" t="s">
        <v>1695</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3"/>
      <c r="Q33" s="1263">
        <f t="shared" si="11"/>
        <v>111</v>
      </c>
      <c r="R33" s="667" t="s">
        <v>14</v>
      </c>
      <c r="S33" s="668">
        <f t="shared" si="12"/>
        <v>100</v>
      </c>
      <c r="T33" s="667" t="s">
        <v>14</v>
      </c>
      <c r="U33" s="668">
        <f t="shared" si="13"/>
        <v>100</v>
      </c>
      <c r="V33" s="667" t="s">
        <v>14</v>
      </c>
      <c r="W33" s="668">
        <f t="shared" si="14"/>
        <v>100</v>
      </c>
      <c r="X33" s="1265"/>
      <c r="Y33" s="339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30" ht="15">
      <c r="A35" s="416" t="s">
        <v>1707</v>
      </c>
      <c r="B35" s="417"/>
      <c r="C35" s="1081" t="s">
        <v>0</v>
      </c>
      <c r="D35" s="418"/>
      <c r="E35" s="419"/>
      <c r="F35" s="420"/>
      <c r="G35" s="421"/>
      <c r="H35" s="422"/>
      <c r="I35" s="419"/>
      <c r="J35" s="422"/>
      <c r="K35" s="674"/>
      <c r="L35" s="2495"/>
      <c r="M35" s="2488"/>
      <c r="N35" s="2488"/>
      <c r="O35" s="2488"/>
      <c r="P35" s="3395" t="str">
        <f>A35</f>
        <v>成交单价（元/平方米）</v>
      </c>
      <c r="Q35" s="3395"/>
      <c r="R35" s="3383">
        <f>E35</f>
        <v>0</v>
      </c>
      <c r="S35" s="3383"/>
      <c r="T35" s="3383">
        <f>G35</f>
        <v>0</v>
      </c>
      <c r="U35" s="3383"/>
      <c r="V35" s="3383">
        <f>I35</f>
        <v>0</v>
      </c>
      <c r="W35" s="3383"/>
      <c r="X35" s="385"/>
      <c r="Y35" s="673"/>
      <c r="Z35" s="385"/>
      <c r="AA35" s="385"/>
      <c r="AB35" s="385"/>
      <c r="AC35" s="385"/>
    </row>
    <row r="36" spans="1:30" ht="15.75" thickBot="1">
      <c r="A36" s="423" t="s">
        <v>1792</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395" t="str">
        <f>A36</f>
        <v>比较价值（元/平方米）</v>
      </c>
      <c r="Q36" s="3395"/>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95"/>
      <c r="M37" s="2488"/>
      <c r="N37" s="2488"/>
      <c r="O37" s="2488"/>
      <c r="P37" s="3432" t="str">
        <f>A37</f>
        <v>估价对象XX用房的比较价值（楼面单价，元/平方米）</v>
      </c>
      <c r="Q37" s="3433"/>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1797</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1678</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1715</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1680</v>
      </c>
      <c r="B49" s="444"/>
      <c r="C49" s="456" t="s">
        <v>1775</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1718</v>
      </c>
      <c r="B51" s="460" t="s">
        <v>1684</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1687</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1862</v>
      </c>
      <c r="C63" s="509" t="s">
        <v>1720</v>
      </c>
      <c r="D63" s="509" t="s">
        <v>1721</v>
      </c>
      <c r="E63" s="509" t="s">
        <v>1722</v>
      </c>
      <c r="F63" s="509" t="s">
        <v>1723</v>
      </c>
      <c r="G63" s="509" t="s">
        <v>1724</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1812</v>
      </c>
      <c r="C65" s="581" t="s">
        <v>1798</v>
      </c>
      <c r="D65" s="581" t="s">
        <v>1799</v>
      </c>
      <c r="E65" s="581" t="s">
        <v>1800</v>
      </c>
      <c r="F65" s="581" t="s">
        <v>1801</v>
      </c>
      <c r="G65" s="581" t="s">
        <v>1802</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1732</v>
      </c>
      <c r="C67" s="509" t="s">
        <v>1720</v>
      </c>
      <c r="D67" s="509" t="s">
        <v>1721</v>
      </c>
      <c r="E67" s="509" t="s">
        <v>1722</v>
      </c>
      <c r="F67" s="509" t="s">
        <v>1723</v>
      </c>
      <c r="G67" s="509" t="s">
        <v>1724</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1851</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1693</v>
      </c>
      <c r="B77" s="460" t="s">
        <v>1739</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1855</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1863</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1865</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1768</v>
      </c>
      <c r="B4" s="346"/>
      <c r="C4" s="3370" t="s">
        <v>1769</v>
      </c>
      <c r="D4" s="3371"/>
      <c r="E4" s="3372" t="s">
        <v>1770</v>
      </c>
      <c r="F4" s="3373"/>
      <c r="G4" s="3370" t="s">
        <v>1771</v>
      </c>
      <c r="H4" s="3371"/>
      <c r="I4" s="3370" t="s">
        <v>1772</v>
      </c>
      <c r="J4" s="3371"/>
      <c r="K4" s="537" t="s">
        <v>1773</v>
      </c>
      <c r="L4" s="2487"/>
      <c r="M4" s="2488"/>
      <c r="N4" s="2488"/>
      <c r="O4" s="2488"/>
      <c r="P4" s="3428" t="s">
        <v>1774</v>
      </c>
      <c r="Q4" s="3429"/>
      <c r="R4" s="3426" t="s">
        <v>1770</v>
      </c>
      <c r="S4" s="3427"/>
      <c r="T4" s="3426" t="s">
        <v>1771</v>
      </c>
      <c r="U4" s="3427"/>
      <c r="V4" s="3383" t="s">
        <v>1772</v>
      </c>
      <c r="W4" s="3383"/>
      <c r="X4" s="1265"/>
      <c r="Y4" s="3426" t="s">
        <v>1774</v>
      </c>
      <c r="Z4" s="3427"/>
      <c r="AA4" s="3425" t="s">
        <v>1770</v>
      </c>
      <c r="AB4" s="3349" t="s">
        <v>1771</v>
      </c>
      <c r="AC4" s="3425" t="s">
        <v>1772</v>
      </c>
    </row>
    <row r="5" spans="1:29" ht="15">
      <c r="A5" s="348"/>
      <c r="B5" s="349"/>
      <c r="C5" s="3359" t="s">
        <v>1672</v>
      </c>
      <c r="D5" s="3360"/>
      <c r="E5" s="3357" t="s">
        <v>1673</v>
      </c>
      <c r="F5" s="3358"/>
      <c r="G5" s="3359" t="s">
        <v>1674</v>
      </c>
      <c r="H5" s="3360"/>
      <c r="I5" s="3359" t="s">
        <v>1675</v>
      </c>
      <c r="J5" s="3360"/>
      <c r="K5" s="537"/>
      <c r="L5" s="2487"/>
      <c r="M5" s="2488"/>
      <c r="N5" s="2488"/>
      <c r="O5" s="2488"/>
      <c r="P5" s="3430"/>
      <c r="Q5" s="3377"/>
      <c r="R5" s="3355"/>
      <c r="S5" s="3356"/>
      <c r="T5" s="3355"/>
      <c r="U5" s="3356"/>
      <c r="V5" s="3383"/>
      <c r="W5" s="3383"/>
      <c r="X5" s="1265"/>
      <c r="Y5" s="3355"/>
      <c r="Z5" s="3356"/>
      <c r="AA5" s="3349"/>
      <c r="AB5" s="3349"/>
      <c r="AC5" s="3349"/>
    </row>
    <row r="6" spans="1:29" ht="15.75" thickBot="1">
      <c r="A6" s="350"/>
      <c r="B6" s="351"/>
      <c r="C6" s="3361" t="s">
        <v>1676</v>
      </c>
      <c r="D6" s="3362"/>
      <c r="E6" s="3364" t="s">
        <v>1676</v>
      </c>
      <c r="F6" s="3365"/>
      <c r="G6" s="3361" t="s">
        <v>1676</v>
      </c>
      <c r="H6" s="3362"/>
      <c r="I6" s="3361" t="s">
        <v>1676</v>
      </c>
      <c r="J6" s="3362"/>
      <c r="K6" s="537" t="s">
        <v>1677</v>
      </c>
      <c r="L6" s="2487"/>
      <c r="M6" s="2488"/>
      <c r="N6" s="2488"/>
      <c r="O6" s="2488"/>
      <c r="P6" s="3431"/>
      <c r="Q6" s="3379"/>
      <c r="R6" s="3355"/>
      <c r="S6" s="3356"/>
      <c r="T6" s="3380"/>
      <c r="U6" s="3381"/>
      <c r="V6" s="3383"/>
      <c r="W6" s="3383"/>
      <c r="X6" s="1265"/>
      <c r="Y6" s="3380"/>
      <c r="Z6" s="3381"/>
      <c r="AA6" s="3350"/>
      <c r="AB6" s="3350"/>
      <c r="AC6" s="3350"/>
    </row>
    <row r="7" spans="1:29" s="102" customFormat="1" ht="15.75" thickBot="1">
      <c r="A7" s="352" t="s">
        <v>1678</v>
      </c>
      <c r="B7" s="353"/>
      <c r="C7" s="354">
        <f>'数据-取费表'!B2</f>
        <v>45577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51" t="s">
        <v>1679</v>
      </c>
      <c r="Q7" s="3385"/>
      <c r="R7" s="664" t="s">
        <v>14</v>
      </c>
      <c r="S7" s="665">
        <f t="shared" ref="S7:S15" si="0">F7</f>
        <v>0</v>
      </c>
      <c r="T7" s="664" t="s">
        <v>14</v>
      </c>
      <c r="U7" s="665">
        <f t="shared" ref="U7:U15" si="1">H7</f>
        <v>0</v>
      </c>
      <c r="V7" s="664" t="s">
        <v>14</v>
      </c>
      <c r="W7" s="665">
        <f t="shared" ref="W7:W15" si="2">J7</f>
        <v>0</v>
      </c>
      <c r="X7" s="666"/>
      <c r="Y7" s="3351" t="s">
        <v>1679</v>
      </c>
      <c r="Z7" s="3352"/>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51" t="s">
        <v>1682</v>
      </c>
      <c r="Q8" s="3352"/>
      <c r="R8" s="664" t="s">
        <v>14</v>
      </c>
      <c r="S8" s="665">
        <f t="shared" si="0"/>
        <v>0</v>
      </c>
      <c r="T8" s="664" t="s">
        <v>14</v>
      </c>
      <c r="U8" s="665">
        <f t="shared" si="1"/>
        <v>0</v>
      </c>
      <c r="V8" s="664" t="s">
        <v>14</v>
      </c>
      <c r="W8" s="665">
        <f t="shared" si="2"/>
        <v>0</v>
      </c>
      <c r="X8" s="666"/>
      <c r="Y8" s="3351" t="s">
        <v>1682</v>
      </c>
      <c r="Z8" s="3352"/>
      <c r="AA8" s="50" t="e">
        <f t="shared" ref="AA8:AA45" si="3">D8/F8</f>
        <v>#DIV/0!</v>
      </c>
      <c r="AB8" s="50" t="e">
        <f t="shared" ref="AB8:AB45" si="4">D8/H8</f>
        <v>#DIV/0!</v>
      </c>
      <c r="AC8" s="50" t="e">
        <f t="shared" ref="AC8:AC45" si="5">D8/J8</f>
        <v>#DIV/0!</v>
      </c>
    </row>
    <row r="9" spans="1:29" s="102" customFormat="1">
      <c r="A9" s="359" t="s">
        <v>1683</v>
      </c>
      <c r="B9" s="60" t="s">
        <v>1684</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5" t="s">
        <v>1685</v>
      </c>
      <c r="Q9" s="530" t="str">
        <f t="shared" ref="Q9:Q15" si="6">B9</f>
        <v>用途</v>
      </c>
      <c r="R9" s="664" t="s">
        <v>14</v>
      </c>
      <c r="S9" s="665">
        <f t="shared" si="0"/>
        <v>100</v>
      </c>
      <c r="T9" s="664" t="s">
        <v>14</v>
      </c>
      <c r="U9" s="665">
        <f t="shared" si="1"/>
        <v>100</v>
      </c>
      <c r="V9" s="664" t="s">
        <v>14</v>
      </c>
      <c r="W9" s="665">
        <f t="shared" si="2"/>
        <v>100</v>
      </c>
      <c r="X9" s="666"/>
      <c r="Y9" s="3321"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119</v>
      </c>
      <c r="G10" s="402"/>
      <c r="H10" s="119">
        <f>ROUND(100/'数据-取费表'!G16,0)</f>
        <v>119</v>
      </c>
      <c r="I10" s="402"/>
      <c r="J10" s="119">
        <f>ROUND(100/'数据-取费表'!G16,0)</f>
        <v>119</v>
      </c>
      <c r="K10" s="592"/>
      <c r="L10" s="2490"/>
      <c r="M10" s="2491"/>
      <c r="N10" s="2491"/>
      <c r="O10" s="2542"/>
      <c r="P10" s="3395"/>
      <c r="Q10" s="530" t="str">
        <f t="shared" si="6"/>
        <v>土地使用年限（年）</v>
      </c>
      <c r="R10" s="664" t="s">
        <v>14</v>
      </c>
      <c r="S10" s="665">
        <f t="shared" si="0"/>
        <v>119</v>
      </c>
      <c r="T10" s="664" t="s">
        <v>14</v>
      </c>
      <c r="U10" s="665">
        <f t="shared" si="1"/>
        <v>119</v>
      </c>
      <c r="V10" s="664" t="s">
        <v>14</v>
      </c>
      <c r="W10" s="665">
        <f t="shared" si="2"/>
        <v>119</v>
      </c>
      <c r="X10" s="666"/>
      <c r="Y10" s="3321"/>
      <c r="Z10" s="50" t="str">
        <f t="shared" si="7"/>
        <v>土地使用年限（年）</v>
      </c>
      <c r="AA10" s="50">
        <f t="shared" si="3"/>
        <v>0.84033613445378152</v>
      </c>
      <c r="AB10" s="50">
        <f t="shared" si="4"/>
        <v>0.84033613445378152</v>
      </c>
      <c r="AC10" s="50">
        <f t="shared" si="5"/>
        <v>0.84033613445378152</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5"/>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5"/>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5"/>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1689</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8" t="s">
        <v>1690</v>
      </c>
      <c r="Q15" s="1263" t="str">
        <f t="shared" si="6"/>
        <v>居住社区成熟度</v>
      </c>
      <c r="R15" s="667" t="s">
        <v>14</v>
      </c>
      <c r="S15" s="668">
        <f t="shared" si="0"/>
        <v>100</v>
      </c>
      <c r="T15" s="667" t="s">
        <v>14</v>
      </c>
      <c r="U15" s="668">
        <f t="shared" si="1"/>
        <v>100</v>
      </c>
      <c r="V15" s="667" t="s">
        <v>14</v>
      </c>
      <c r="W15" s="668">
        <f t="shared" si="2"/>
        <v>100</v>
      </c>
      <c r="X15" s="1265"/>
      <c r="Y15" s="3388" t="s">
        <v>1690</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9"/>
      <c r="Q16" s="1263"/>
      <c r="R16" s="667"/>
      <c r="S16" s="668"/>
      <c r="T16" s="667"/>
      <c r="U16" s="668"/>
      <c r="V16" s="667"/>
      <c r="W16" s="668"/>
      <c r="X16" s="1265"/>
      <c r="Y16" s="3389"/>
      <c r="Z16" s="1264"/>
      <c r="AA16" s="1264">
        <v>1</v>
      </c>
      <c r="AB16" s="1264">
        <v>1</v>
      </c>
      <c r="AC16" s="1264">
        <v>1</v>
      </c>
    </row>
    <row r="17" spans="1:29" ht="71.25">
      <c r="A17" s="367"/>
      <c r="B17" s="390" t="s">
        <v>1776</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9"/>
      <c r="Q17" s="1263" t="str">
        <f>B17</f>
        <v>商业繁华度</v>
      </c>
      <c r="R17" s="667" t="s">
        <v>14</v>
      </c>
      <c r="S17" s="668">
        <f>F17</f>
        <v>100</v>
      </c>
      <c r="T17" s="667" t="s">
        <v>14</v>
      </c>
      <c r="U17" s="668">
        <f>H17</f>
        <v>100</v>
      </c>
      <c r="V17" s="667" t="s">
        <v>14</v>
      </c>
      <c r="W17" s="668">
        <f>J17</f>
        <v>100</v>
      </c>
      <c r="X17" s="1265"/>
      <c r="Y17" s="338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9"/>
      <c r="Q18" s="1263"/>
      <c r="R18" s="667"/>
      <c r="S18" s="668"/>
      <c r="T18" s="667"/>
      <c r="U18" s="668"/>
      <c r="V18" s="667"/>
      <c r="W18" s="668"/>
      <c r="X18" s="1265"/>
      <c r="Y18" s="3389"/>
      <c r="Z18" s="1264"/>
      <c r="AA18" s="1264">
        <v>1</v>
      </c>
      <c r="AB18" s="1264">
        <v>1</v>
      </c>
      <c r="AC18" s="1264">
        <v>1</v>
      </c>
    </row>
    <row r="19" spans="1:29" ht="71.25">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9"/>
      <c r="Q19" s="1263" t="str">
        <f>B19</f>
        <v>办公集聚程度</v>
      </c>
      <c r="R19" s="667" t="s">
        <v>14</v>
      </c>
      <c r="S19" s="668">
        <f>F19</f>
        <v>100</v>
      </c>
      <c r="T19" s="667" t="s">
        <v>14</v>
      </c>
      <c r="U19" s="668">
        <f>H19</f>
        <v>100</v>
      </c>
      <c r="V19" s="667" t="s">
        <v>14</v>
      </c>
      <c r="W19" s="668">
        <f>J19</f>
        <v>100</v>
      </c>
      <c r="X19" s="1265"/>
      <c r="Y19" s="338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9"/>
      <c r="Q20" s="1263"/>
      <c r="R20" s="667"/>
      <c r="S20" s="668"/>
      <c r="T20" s="667"/>
      <c r="U20" s="668"/>
      <c r="V20" s="667"/>
      <c r="W20" s="668"/>
      <c r="X20" s="1265"/>
      <c r="Y20" s="3389"/>
      <c r="Z20" s="1264"/>
      <c r="AA20" s="1264">
        <v>1</v>
      </c>
      <c r="AB20" s="1264">
        <v>1</v>
      </c>
      <c r="AC20" s="1264">
        <v>1</v>
      </c>
    </row>
    <row r="21" spans="1:29" ht="85.5">
      <c r="A21" s="367"/>
      <c r="B21" s="390" t="s">
        <v>1832</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9"/>
      <c r="Q21" s="1263" t="str">
        <f>B21</f>
        <v>交通便捷度</v>
      </c>
      <c r="R21" s="667" t="s">
        <v>14</v>
      </c>
      <c r="S21" s="668">
        <f>F21</f>
        <v>100</v>
      </c>
      <c r="T21" s="667" t="s">
        <v>14</v>
      </c>
      <c r="U21" s="668">
        <f>H21</f>
        <v>100</v>
      </c>
      <c r="V21" s="667" t="s">
        <v>14</v>
      </c>
      <c r="W21" s="668">
        <f>J21</f>
        <v>100</v>
      </c>
      <c r="X21" s="1265"/>
      <c r="Y21" s="338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9"/>
      <c r="Q22" s="1263"/>
      <c r="R22" s="667"/>
      <c r="S22" s="668"/>
      <c r="T22" s="667"/>
      <c r="U22" s="668"/>
      <c r="V22" s="667"/>
      <c r="W22" s="668"/>
      <c r="X22" s="1265"/>
      <c r="Y22" s="3389"/>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9"/>
      <c r="Q23" s="1263" t="str">
        <f t="shared" ref="Q23:Q37" si="8">B23</f>
        <v>区域土地利用方向</v>
      </c>
      <c r="R23" s="667" t="s">
        <v>14</v>
      </c>
      <c r="S23" s="668">
        <f>F23</f>
        <v>100</v>
      </c>
      <c r="T23" s="667" t="s">
        <v>14</v>
      </c>
      <c r="U23" s="668">
        <f>H23</f>
        <v>100</v>
      </c>
      <c r="V23" s="667" t="s">
        <v>14</v>
      </c>
      <c r="W23" s="668">
        <f>J23</f>
        <v>100</v>
      </c>
      <c r="X23" s="1265"/>
      <c r="Y23" s="338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9"/>
      <c r="Q24" s="1263"/>
      <c r="R24" s="667"/>
      <c r="S24" s="668"/>
      <c r="T24" s="667"/>
      <c r="U24" s="668"/>
      <c r="V24" s="667"/>
      <c r="W24" s="668"/>
      <c r="X24" s="1265"/>
      <c r="Y24" s="3389"/>
      <c r="Z24" s="1264"/>
      <c r="AA24" s="1264"/>
      <c r="AB24" s="1264"/>
      <c r="AC24" s="1264"/>
    </row>
    <row r="25" spans="1:29" ht="57">
      <c r="A25" s="348"/>
      <c r="B25" s="586" t="s">
        <v>1871</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9"/>
      <c r="Q25" s="1263" t="str">
        <f t="shared" si="8"/>
        <v>自然及人文环境状况</v>
      </c>
      <c r="R25" s="667" t="s">
        <v>14</v>
      </c>
      <c r="S25" s="668">
        <f>F25</f>
        <v>100</v>
      </c>
      <c r="T25" s="667" t="s">
        <v>14</v>
      </c>
      <c r="U25" s="668">
        <f>H25</f>
        <v>100</v>
      </c>
      <c r="V25" s="667" t="s">
        <v>14</v>
      </c>
      <c r="W25" s="668">
        <f>J25</f>
        <v>100</v>
      </c>
      <c r="X25" s="1265"/>
      <c r="Y25" s="338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9"/>
      <c r="Q26" s="1263"/>
      <c r="R26" s="667"/>
      <c r="S26" s="668"/>
      <c r="T26" s="667"/>
      <c r="U26" s="668"/>
      <c r="V26" s="667"/>
      <c r="W26" s="668"/>
      <c r="X26" s="1265"/>
      <c r="Y26" s="3389"/>
      <c r="Z26" s="1264"/>
      <c r="AA26" s="1264">
        <v>1</v>
      </c>
      <c r="AB26" s="1264">
        <v>1</v>
      </c>
      <c r="AC26" s="1264">
        <v>1</v>
      </c>
    </row>
    <row r="27" spans="1:29" s="102" customFormat="1" ht="42.75">
      <c r="A27" s="443"/>
      <c r="B27" s="586" t="s">
        <v>1777</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9"/>
      <c r="Q28" s="530"/>
      <c r="R28" s="664"/>
      <c r="S28" s="665"/>
      <c r="T28" s="664"/>
      <c r="U28" s="665"/>
      <c r="V28" s="664"/>
      <c r="W28" s="665"/>
      <c r="X28" s="666"/>
      <c r="Y28" s="3389"/>
      <c r="Z28" s="50"/>
      <c r="AA28" s="1264">
        <v>1</v>
      </c>
      <c r="AB28" s="1264">
        <v>1</v>
      </c>
      <c r="AC28" s="1264">
        <v>1</v>
      </c>
    </row>
    <row r="29" spans="1:29" s="102" customFormat="1" ht="28.5">
      <c r="A29" s="443"/>
      <c r="B29" s="586" t="s">
        <v>1778</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9"/>
      <c r="Q30" s="530"/>
      <c r="R30" s="664"/>
      <c r="S30" s="665"/>
      <c r="T30" s="664"/>
      <c r="U30" s="665"/>
      <c r="V30" s="664"/>
      <c r="W30" s="665"/>
      <c r="X30" s="666"/>
      <c r="Y30" s="3389"/>
      <c r="Z30" s="50"/>
      <c r="AA30" s="1264">
        <v>1</v>
      </c>
      <c r="AB30" s="1264">
        <v>1</v>
      </c>
      <c r="AC30" s="1264">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9"/>
      <c r="Z31" s="1264" t="str">
        <f t="shared" ref="Z31:Z45" si="13">Q31</f>
        <v>临街状况</v>
      </c>
      <c r="AA31" s="1264">
        <f t="shared" si="3"/>
        <v>1</v>
      </c>
      <c r="AB31" s="1264">
        <f t="shared" si="4"/>
        <v>1</v>
      </c>
      <c r="AC31" s="1264">
        <f t="shared" si="5"/>
        <v>1</v>
      </c>
    </row>
    <row r="32" spans="1:29" ht="27">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9"/>
      <c r="Q32" s="1263" t="str">
        <f t="shared" si="8"/>
        <v>毗邻道路的类型与等级</v>
      </c>
      <c r="R32" s="667" t="s">
        <v>14</v>
      </c>
      <c r="S32" s="668">
        <f t="shared" si="10"/>
        <v>100</v>
      </c>
      <c r="T32" s="667" t="s">
        <v>14</v>
      </c>
      <c r="U32" s="668">
        <f t="shared" si="11"/>
        <v>100</v>
      </c>
      <c r="V32" s="667" t="s">
        <v>14</v>
      </c>
      <c r="W32" s="668">
        <f t="shared" si="12"/>
        <v>100</v>
      </c>
      <c r="X32" s="1265"/>
      <c r="Y32" s="338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9"/>
      <c r="Q33" s="1263"/>
      <c r="R33" s="667"/>
      <c r="S33" s="668"/>
      <c r="T33" s="667"/>
      <c r="U33" s="668"/>
      <c r="V33" s="667"/>
      <c r="W33" s="668"/>
      <c r="X33" s="1265"/>
      <c r="Y33" s="3389"/>
      <c r="Z33" s="1264"/>
      <c r="AA33" s="1264">
        <v>1</v>
      </c>
      <c r="AB33" s="1264">
        <v>1</v>
      </c>
      <c r="AC33" s="1264">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9"/>
      <c r="Q34" s="1263" t="str">
        <f t="shared" si="8"/>
        <v>土地级别</v>
      </c>
      <c r="R34" s="667" t="s">
        <v>14</v>
      </c>
      <c r="S34" s="668">
        <f t="shared" si="10"/>
        <v>100</v>
      </c>
      <c r="T34" s="667" t="s">
        <v>14</v>
      </c>
      <c r="U34" s="668">
        <f t="shared" si="11"/>
        <v>100</v>
      </c>
      <c r="V34" s="667" t="s">
        <v>14</v>
      </c>
      <c r="W34" s="668">
        <f t="shared" si="12"/>
        <v>100</v>
      </c>
      <c r="X34" s="1265"/>
      <c r="Y34" s="338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9"/>
      <c r="Q35" s="1263">
        <f t="shared" si="8"/>
        <v>111</v>
      </c>
      <c r="R35" s="667" t="s">
        <v>14</v>
      </c>
      <c r="S35" s="668">
        <f t="shared" si="10"/>
        <v>100</v>
      </c>
      <c r="T35" s="667" t="s">
        <v>14</v>
      </c>
      <c r="U35" s="668">
        <f t="shared" si="11"/>
        <v>100</v>
      </c>
      <c r="V35" s="667" t="s">
        <v>14</v>
      </c>
      <c r="W35" s="668">
        <f t="shared" si="12"/>
        <v>100</v>
      </c>
      <c r="X35" s="1265"/>
      <c r="Y35" s="338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5" t="s">
        <v>1695</v>
      </c>
      <c r="Q36" s="1263">
        <f t="shared" si="8"/>
        <v>111</v>
      </c>
      <c r="R36" s="667" t="s">
        <v>14</v>
      </c>
      <c r="S36" s="668">
        <f t="shared" si="10"/>
        <v>100</v>
      </c>
      <c r="T36" s="667" t="s">
        <v>14</v>
      </c>
      <c r="U36" s="668">
        <f t="shared" si="11"/>
        <v>100</v>
      </c>
      <c r="V36" s="667" t="s">
        <v>14</v>
      </c>
      <c r="W36" s="668">
        <f t="shared" si="12"/>
        <v>100</v>
      </c>
      <c r="X36" s="1265"/>
      <c r="Y36" s="3393" t="s">
        <v>1695</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3"/>
      <c r="Q37" s="1263">
        <f t="shared" si="8"/>
        <v>111</v>
      </c>
      <c r="R37" s="669" t="s">
        <v>14</v>
      </c>
      <c r="S37" s="670">
        <f t="shared" si="10"/>
        <v>100</v>
      </c>
      <c r="T37" s="669" t="s">
        <v>14</v>
      </c>
      <c r="U37" s="670">
        <f t="shared" si="11"/>
        <v>100</v>
      </c>
      <c r="V37" s="669" t="s">
        <v>14</v>
      </c>
      <c r="W37" s="670">
        <f t="shared" si="12"/>
        <v>100</v>
      </c>
      <c r="X37" s="671"/>
      <c r="Y37" s="3393"/>
      <c r="Z37" s="672">
        <f t="shared" si="13"/>
        <v>111</v>
      </c>
      <c r="AA37" s="1264">
        <f t="shared" si="3"/>
        <v>1</v>
      </c>
      <c r="AB37" s="1264">
        <f t="shared" si="4"/>
        <v>1</v>
      </c>
      <c r="AC37" s="1264">
        <f t="shared" si="5"/>
        <v>1</v>
      </c>
    </row>
    <row r="38" spans="1:29" ht="1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3"/>
      <c r="Q38" s="1263" t="str">
        <f>B38</f>
        <v>宗地面积</v>
      </c>
      <c r="R38" s="667" t="s">
        <v>14</v>
      </c>
      <c r="S38" s="668" t="e">
        <f t="shared" si="10"/>
        <v>#N/A</v>
      </c>
      <c r="T38" s="667" t="s">
        <v>14</v>
      </c>
      <c r="U38" s="668" t="e">
        <f t="shared" si="11"/>
        <v>#N/A</v>
      </c>
      <c r="V38" s="667" t="s">
        <v>14</v>
      </c>
      <c r="W38" s="668" t="e">
        <f t="shared" si="12"/>
        <v>#N/A</v>
      </c>
      <c r="X38" s="1265"/>
      <c r="Y38" s="3393"/>
      <c r="Z38" s="1264" t="str">
        <f t="shared" si="13"/>
        <v>宗地面积</v>
      </c>
      <c r="AA38" s="1264" t="e">
        <f t="shared" si="3"/>
        <v>#N/A</v>
      </c>
      <c r="AB38" s="1264" t="e">
        <f t="shared" si="4"/>
        <v>#N/A</v>
      </c>
      <c r="AC38" s="1264" t="e">
        <f t="shared" si="5"/>
        <v>#N/A</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3"/>
      <c r="Q39" s="1263" t="str">
        <f t="shared" ref="Q39:Q45" si="14">B39</f>
        <v>宗地形状</v>
      </c>
      <c r="R39" s="667" t="s">
        <v>14</v>
      </c>
      <c r="S39" s="668">
        <f t="shared" si="10"/>
        <v>100</v>
      </c>
      <c r="T39" s="667" t="s">
        <v>14</v>
      </c>
      <c r="U39" s="668">
        <f t="shared" si="11"/>
        <v>100</v>
      </c>
      <c r="V39" s="667" t="s">
        <v>14</v>
      </c>
      <c r="W39" s="668">
        <f t="shared" si="12"/>
        <v>100</v>
      </c>
      <c r="X39" s="1265"/>
      <c r="Y39" s="3393"/>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3"/>
      <c r="Q40" s="1263" t="str">
        <f t="shared" si="14"/>
        <v>临街宽度及深度</v>
      </c>
      <c r="R40" s="667" t="s">
        <v>14</v>
      </c>
      <c r="S40" s="668">
        <f t="shared" si="10"/>
        <v>100</v>
      </c>
      <c r="T40" s="667" t="s">
        <v>14</v>
      </c>
      <c r="U40" s="668">
        <f t="shared" si="11"/>
        <v>100</v>
      </c>
      <c r="V40" s="667" t="s">
        <v>14</v>
      </c>
      <c r="W40" s="668">
        <f t="shared" si="12"/>
        <v>100</v>
      </c>
      <c r="X40" s="1265"/>
      <c r="Y40" s="3393"/>
      <c r="Z40" s="1264" t="str">
        <f t="shared" si="13"/>
        <v>临街宽度及深度</v>
      </c>
      <c r="AA40" s="1264">
        <f t="shared" si="3"/>
        <v>1</v>
      </c>
      <c r="AB40" s="1264">
        <f t="shared" si="4"/>
        <v>1</v>
      </c>
      <c r="AC40" s="1264">
        <f t="shared" si="5"/>
        <v>1</v>
      </c>
    </row>
    <row r="41" spans="1:29" s="102" customFormat="1" ht="15">
      <c r="A41" s="410"/>
      <c r="B41" s="364" t="s">
        <v>1876</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3"/>
      <c r="Q41" s="1263"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3" t="s">
        <v>1695</v>
      </c>
      <c r="Q42" s="1263" t="str">
        <f t="shared" si="14"/>
        <v>工程地质条件</v>
      </c>
      <c r="R42" s="667" t="s">
        <v>14</v>
      </c>
      <c r="S42" s="668">
        <f t="shared" si="10"/>
        <v>100</v>
      </c>
      <c r="T42" s="667" t="s">
        <v>14</v>
      </c>
      <c r="U42" s="668">
        <f t="shared" si="11"/>
        <v>100</v>
      </c>
      <c r="V42" s="667" t="s">
        <v>14</v>
      </c>
      <c r="W42" s="668">
        <f t="shared" si="12"/>
        <v>100</v>
      </c>
      <c r="X42" s="1265"/>
      <c r="Y42" s="3393" t="s">
        <v>1695</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3"/>
      <c r="Q43" s="1263">
        <f t="shared" si="14"/>
        <v>111</v>
      </c>
      <c r="R43" s="667" t="s">
        <v>14</v>
      </c>
      <c r="S43" s="668">
        <f t="shared" si="10"/>
        <v>100</v>
      </c>
      <c r="T43" s="667" t="s">
        <v>14</v>
      </c>
      <c r="U43" s="668">
        <f t="shared" si="11"/>
        <v>100</v>
      </c>
      <c r="V43" s="667" t="s">
        <v>14</v>
      </c>
      <c r="W43" s="668">
        <f t="shared" si="12"/>
        <v>100</v>
      </c>
      <c r="X43" s="1265"/>
      <c r="Y43" s="339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3"/>
      <c r="Q44" s="1263">
        <f t="shared" si="14"/>
        <v>111</v>
      </c>
      <c r="R44" s="667" t="s">
        <v>14</v>
      </c>
      <c r="S44" s="668">
        <f t="shared" si="10"/>
        <v>100</v>
      </c>
      <c r="T44" s="667" t="s">
        <v>14</v>
      </c>
      <c r="U44" s="668">
        <f t="shared" si="11"/>
        <v>100</v>
      </c>
      <c r="V44" s="667" t="s">
        <v>14</v>
      </c>
      <c r="W44" s="668">
        <f t="shared" si="12"/>
        <v>100</v>
      </c>
      <c r="X44" s="1265"/>
      <c r="Y44" s="339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3"/>
      <c r="Q45" s="1263">
        <f t="shared" si="14"/>
        <v>111</v>
      </c>
      <c r="R45" s="669" t="s">
        <v>14</v>
      </c>
      <c r="S45" s="670">
        <f t="shared" si="10"/>
        <v>100</v>
      </c>
      <c r="T45" s="669" t="s">
        <v>14</v>
      </c>
      <c r="U45" s="670">
        <f t="shared" si="11"/>
        <v>100</v>
      </c>
      <c r="V45" s="669" t="s">
        <v>14</v>
      </c>
      <c r="W45" s="670">
        <f t="shared" si="12"/>
        <v>100</v>
      </c>
      <c r="X45" s="671"/>
      <c r="Y45" s="3393"/>
      <c r="Z45" s="672">
        <f t="shared" si="13"/>
        <v>111</v>
      </c>
      <c r="AA45" s="1264">
        <f t="shared" si="3"/>
        <v>1</v>
      </c>
      <c r="AB45" s="1264">
        <f t="shared" si="4"/>
        <v>1</v>
      </c>
      <c r="AC45" s="1264">
        <f t="shared" si="5"/>
        <v>1</v>
      </c>
    </row>
    <row r="46" spans="1:29" ht="15">
      <c r="A46" s="416" t="s">
        <v>1843</v>
      </c>
      <c r="B46" s="1830" t="s">
        <v>1878</v>
      </c>
      <c r="C46" s="602" t="s">
        <v>0</v>
      </c>
      <c r="D46" s="418"/>
      <c r="E46" s="419"/>
      <c r="F46" s="420"/>
      <c r="G46" s="421"/>
      <c r="H46" s="422"/>
      <c r="I46" s="419"/>
      <c r="J46" s="422"/>
      <c r="K46" s="674"/>
      <c r="L46" s="2495"/>
      <c r="M46" s="2488"/>
      <c r="N46" s="2488"/>
      <c r="O46" s="2488"/>
      <c r="P46" s="3395" t="str">
        <f>A46</f>
        <v>成交单价</v>
      </c>
      <c r="Q46" s="3395"/>
      <c r="R46" s="3383">
        <f>E46</f>
        <v>0</v>
      </c>
      <c r="S46" s="3383"/>
      <c r="T46" s="3383">
        <f>G46</f>
        <v>0</v>
      </c>
      <c r="U46" s="3383"/>
      <c r="V46" s="3383">
        <f>I46</f>
        <v>0</v>
      </c>
      <c r="W46" s="3383"/>
      <c r="X46" s="385"/>
      <c r="Y46" s="673"/>
      <c r="Z46" s="385"/>
      <c r="AA46" s="385"/>
      <c r="AB46" s="385"/>
      <c r="AC46" s="385"/>
    </row>
    <row r="47" spans="1:29" ht="15.75" thickBot="1">
      <c r="A47" s="423" t="s">
        <v>1792</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395" t="str">
        <f>A47</f>
        <v>比较价值（元/平方米）</v>
      </c>
      <c r="Q47" s="3395"/>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75" thickBot="1">
      <c r="A48" s="427" t="s">
        <v>1879</v>
      </c>
      <c r="B48" s="428"/>
      <c r="C48" s="429" t="e">
        <f>R48</f>
        <v>#DIV/0!</v>
      </c>
      <c r="D48" s="429"/>
      <c r="E48" s="429"/>
      <c r="F48" s="429"/>
      <c r="G48" s="429"/>
      <c r="H48" s="429"/>
      <c r="I48" s="429"/>
      <c r="J48" s="429"/>
      <c r="K48" s="675"/>
      <c r="L48" s="2495"/>
      <c r="M48" s="2488"/>
      <c r="N48" s="2488"/>
      <c r="O48" s="2488"/>
      <c r="P48" s="3432" t="str">
        <f>A48</f>
        <v>估价对象XX用房的比较价值（楼面单价，元/平方米）</v>
      </c>
      <c r="Q48" s="3433"/>
      <c r="R48" s="3438" t="e">
        <f>ROUND(IF(D47="简单平均",AVERAGE(R47:W47),R47*F47+T47*H47+V47*J47),0)</f>
        <v>#DIV/0!</v>
      </c>
      <c r="S48" s="3438"/>
      <c r="T48" s="3438"/>
      <c r="U48" s="3438"/>
      <c r="V48" s="3438"/>
      <c r="W48" s="343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1880</v>
      </c>
      <c r="B55" s="605" t="s">
        <v>1881</v>
      </c>
      <c r="C55" s="1831" t="s">
        <v>1882</v>
      </c>
      <c r="D55" s="1832" t="s">
        <v>1883</v>
      </c>
      <c r="E55" s="606" t="s">
        <v>1884</v>
      </c>
      <c r="F55" s="837" t="s">
        <v>1885</v>
      </c>
      <c r="G55" s="3370" t="s">
        <v>1886</v>
      </c>
      <c r="H55" s="3439"/>
      <c r="I55" s="127" t="s">
        <v>1887</v>
      </c>
      <c r="J55" s="1833">
        <f>项目基本情况!F35</f>
        <v>0</v>
      </c>
      <c r="K55" s="1834" t="s">
        <v>1888</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1889</v>
      </c>
      <c r="B56" s="609" t="e">
        <f>C48</f>
        <v>#DIV/0!</v>
      </c>
      <c r="C56" s="610">
        <v>1</v>
      </c>
      <c r="D56" s="890">
        <v>1</v>
      </c>
      <c r="E56" s="610">
        <f>'数据-汇总表'!E8+'数据-汇总表'!E9</f>
        <v>1320.6699999999998</v>
      </c>
      <c r="F56" s="833" t="e">
        <f t="shared" ref="F56:F64" si="15">ROUND(B56*E56/10000,0)</f>
        <v>#DIV/0!</v>
      </c>
      <c r="G56" s="3366"/>
      <c r="H56" s="339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1890</v>
      </c>
      <c r="B57" s="210" t="e">
        <f>ROUND($C$48*C57*D57,0)</f>
        <v>#DIV/0!</v>
      </c>
      <c r="C57" s="163">
        <f t="shared" ref="C57:C64" si="16">IF($C$55="北京市系数",I57,J57)</f>
        <v>0</v>
      </c>
      <c r="D57" s="891">
        <v>0.25</v>
      </c>
      <c r="E57" s="614"/>
      <c r="F57" s="833" t="e">
        <f t="shared" si="15"/>
        <v>#DIV/0!</v>
      </c>
      <c r="G57" s="2751" t="s">
        <v>1891</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1892</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1893</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1894</v>
      </c>
      <c r="B60" s="210" t="e">
        <f t="shared" si="17"/>
        <v>#DIV/0!</v>
      </c>
      <c r="C60" s="163">
        <f t="shared" si="16"/>
        <v>0</v>
      </c>
      <c r="D60" s="891">
        <v>0.25</v>
      </c>
      <c r="E60" s="209">
        <f>'数据-汇总表'!E11</f>
        <v>0</v>
      </c>
      <c r="F60" s="833" t="e">
        <f t="shared" si="15"/>
        <v>#DIV/0!</v>
      </c>
      <c r="G60" s="1835" t="s">
        <v>1895</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1896</v>
      </c>
      <c r="B61" s="210" t="e">
        <f t="shared" si="17"/>
        <v>#DIV/0!</v>
      </c>
      <c r="C61" s="163">
        <f t="shared" si="16"/>
        <v>0</v>
      </c>
      <c r="D61" s="891">
        <v>0.25</v>
      </c>
      <c r="E61" s="209">
        <f>'数据-汇总表'!E12</f>
        <v>0</v>
      </c>
      <c r="F61" s="833" t="e">
        <f t="shared" si="15"/>
        <v>#DIV/0!</v>
      </c>
      <c r="G61" s="839" t="s">
        <v>1897</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1900</v>
      </c>
      <c r="B63" s="210" t="e">
        <f t="shared" si="17"/>
        <v>#DIV/0!</v>
      </c>
      <c r="C63" s="163">
        <f t="shared" si="16"/>
        <v>0</v>
      </c>
      <c r="D63" s="891">
        <v>0.25</v>
      </c>
      <c r="E63" s="209">
        <f>'数据-汇总表'!E14</f>
        <v>0</v>
      </c>
      <c r="F63" s="833" t="e">
        <f t="shared" si="15"/>
        <v>#DIV/0!</v>
      </c>
      <c r="G63" s="1835" t="s">
        <v>1891</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1901</v>
      </c>
      <c r="B64" s="210" t="e">
        <f t="shared" si="17"/>
        <v>#DIV/0!</v>
      </c>
      <c r="C64" s="163">
        <f t="shared" si="16"/>
        <v>0</v>
      </c>
      <c r="D64" s="891">
        <v>0.25</v>
      </c>
      <c r="E64" s="209">
        <f>'数据-汇总表'!E15</f>
        <v>0</v>
      </c>
      <c r="F64" s="833" t="e">
        <f t="shared" si="15"/>
        <v>#DIV/0!</v>
      </c>
      <c r="G64" s="1836" t="s">
        <v>1895</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1902</v>
      </c>
      <c r="B65" s="616" t="s">
        <v>22</v>
      </c>
      <c r="C65" s="616" t="s">
        <v>23</v>
      </c>
      <c r="D65" s="616" t="s">
        <v>392</v>
      </c>
      <c r="E65" s="616">
        <f>IF(B46="楼面地价",SUM(E56:E64),'数据-汇总表'!D3)</f>
        <v>1320.6699999999998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8"/>
      <c r="Q67" s="2488"/>
      <c r="R67" s="2488"/>
      <c r="S67" s="2488"/>
      <c r="T67" s="2488"/>
      <c r="U67" s="2488"/>
      <c r="V67" s="2488"/>
      <c r="W67" s="2488"/>
      <c r="X67" s="2488"/>
      <c r="Y67" s="2488"/>
      <c r="Z67" s="2488"/>
      <c r="AA67" s="2488"/>
      <c r="AB67" s="2488"/>
      <c r="AC67" s="2488"/>
    </row>
    <row r="68" spans="1:29" ht="21.75" thickBot="1">
      <c r="A68" s="658" t="s">
        <v>1797</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1903</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1715</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1680</v>
      </c>
      <c r="B72" s="444"/>
      <c r="C72" s="456" t="s">
        <v>1775</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1718</v>
      </c>
      <c r="B74" s="460" t="s">
        <v>1684</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1687</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1689</v>
      </c>
      <c r="B87" s="460" t="s">
        <v>1719</v>
      </c>
      <c r="C87" s="504" t="s">
        <v>1720</v>
      </c>
      <c r="D87" s="504" t="s">
        <v>1721</v>
      </c>
      <c r="E87" s="504" t="s">
        <v>1722</v>
      </c>
      <c r="F87" s="504" t="s">
        <v>1723</v>
      </c>
      <c r="G87" s="504" t="s">
        <v>1724</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1905</v>
      </c>
      <c r="C89" s="509" t="s">
        <v>1720</v>
      </c>
      <c r="D89" s="509" t="s">
        <v>1721</v>
      </c>
      <c r="E89" s="509" t="s">
        <v>1722</v>
      </c>
      <c r="F89" s="509" t="s">
        <v>1723</v>
      </c>
      <c r="G89" s="509" t="s">
        <v>1724</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1820</v>
      </c>
      <c r="C91" s="509" t="s">
        <v>1720</v>
      </c>
      <c r="D91" s="509" t="s">
        <v>1721</v>
      </c>
      <c r="E91" s="509" t="s">
        <v>1722</v>
      </c>
      <c r="F91" s="509" t="s">
        <v>1723</v>
      </c>
      <c r="G91" s="509" t="s">
        <v>1724</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1725</v>
      </c>
      <c r="C93" s="509" t="s">
        <v>1720</v>
      </c>
      <c r="D93" s="509" t="s">
        <v>1721</v>
      </c>
      <c r="E93" s="509" t="s">
        <v>1722</v>
      </c>
      <c r="F93" s="509" t="s">
        <v>1723</v>
      </c>
      <c r="G93" s="509" t="s">
        <v>1724</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1906</v>
      </c>
      <c r="C95" s="509" t="s">
        <v>1720</v>
      </c>
      <c r="D95" s="509" t="s">
        <v>1721</v>
      </c>
      <c r="E95" s="509" t="s">
        <v>1722</v>
      </c>
      <c r="F95" s="509" t="s">
        <v>1723</v>
      </c>
      <c r="G95" s="509" t="s">
        <v>1724</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1814</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1872</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1913</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1914</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1915</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1916</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1768</v>
      </c>
      <c r="B4" s="346"/>
      <c r="C4" s="3370" t="s">
        <v>1769</v>
      </c>
      <c r="D4" s="3371"/>
      <c r="E4" s="3372" t="s">
        <v>1770</v>
      </c>
      <c r="F4" s="3373"/>
      <c r="G4" s="3370" t="s">
        <v>1771</v>
      </c>
      <c r="H4" s="3371"/>
      <c r="I4" s="3370" t="s">
        <v>1772</v>
      </c>
      <c r="J4" s="3371"/>
      <c r="K4" s="537" t="s">
        <v>1773</v>
      </c>
      <c r="L4" s="2487"/>
      <c r="M4" s="2488"/>
      <c r="N4" s="2488"/>
      <c r="O4" s="2488"/>
      <c r="P4" s="3428" t="s">
        <v>1774</v>
      </c>
      <c r="Q4" s="3429"/>
      <c r="R4" s="3426" t="s">
        <v>1770</v>
      </c>
      <c r="S4" s="3427"/>
      <c r="T4" s="3426" t="s">
        <v>1771</v>
      </c>
      <c r="U4" s="3427"/>
      <c r="V4" s="3383" t="s">
        <v>1772</v>
      </c>
      <c r="W4" s="3383"/>
      <c r="X4" s="1265"/>
      <c r="Y4" s="3426" t="s">
        <v>1774</v>
      </c>
      <c r="Z4" s="3427"/>
      <c r="AA4" s="3425" t="s">
        <v>1770</v>
      </c>
      <c r="AB4" s="3349" t="s">
        <v>1771</v>
      </c>
      <c r="AC4" s="3425" t="s">
        <v>1772</v>
      </c>
    </row>
    <row r="5" spans="1:29" ht="15">
      <c r="A5" s="348"/>
      <c r="B5" s="349"/>
      <c r="C5" s="3359" t="s">
        <v>1672</v>
      </c>
      <c r="D5" s="3360"/>
      <c r="E5" s="3357" t="s">
        <v>1673</v>
      </c>
      <c r="F5" s="3358"/>
      <c r="G5" s="3359" t="s">
        <v>1674</v>
      </c>
      <c r="H5" s="3360"/>
      <c r="I5" s="3359" t="s">
        <v>1675</v>
      </c>
      <c r="J5" s="3360"/>
      <c r="K5" s="537"/>
      <c r="L5" s="2487"/>
      <c r="M5" s="2488"/>
      <c r="N5" s="2488"/>
      <c r="O5" s="2488"/>
      <c r="P5" s="3430"/>
      <c r="Q5" s="3377"/>
      <c r="R5" s="3355"/>
      <c r="S5" s="3356"/>
      <c r="T5" s="3355"/>
      <c r="U5" s="3356"/>
      <c r="V5" s="3383"/>
      <c r="W5" s="3383"/>
      <c r="X5" s="1265"/>
      <c r="Y5" s="3355"/>
      <c r="Z5" s="3356"/>
      <c r="AA5" s="3349"/>
      <c r="AB5" s="3349"/>
      <c r="AC5" s="3349"/>
    </row>
    <row r="6" spans="1:29" ht="15.75" thickBot="1">
      <c r="A6" s="350"/>
      <c r="B6" s="351"/>
      <c r="C6" s="3440" t="s">
        <v>1918</v>
      </c>
      <c r="D6" s="3441"/>
      <c r="E6" s="3442" t="s">
        <v>1918</v>
      </c>
      <c r="F6" s="3443"/>
      <c r="G6" s="3440" t="s">
        <v>1918</v>
      </c>
      <c r="H6" s="3441"/>
      <c r="I6" s="3440" t="s">
        <v>1918</v>
      </c>
      <c r="J6" s="3441"/>
      <c r="K6" s="537" t="s">
        <v>1677</v>
      </c>
      <c r="L6" s="2487"/>
      <c r="M6" s="2488"/>
      <c r="N6" s="2488"/>
      <c r="O6" s="2488"/>
      <c r="P6" s="3431"/>
      <c r="Q6" s="3379"/>
      <c r="R6" s="3355"/>
      <c r="S6" s="3356"/>
      <c r="T6" s="3380"/>
      <c r="U6" s="3381"/>
      <c r="V6" s="3383"/>
      <c r="W6" s="3383"/>
      <c r="X6" s="1265"/>
      <c r="Y6" s="3380"/>
      <c r="Z6" s="3381"/>
      <c r="AA6" s="3350"/>
      <c r="AB6" s="3350"/>
      <c r="AC6" s="3350"/>
    </row>
    <row r="7" spans="1:29" s="102" customFormat="1" ht="15.75" thickBot="1">
      <c r="A7" s="352" t="s">
        <v>1678</v>
      </c>
      <c r="B7" s="353"/>
      <c r="C7" s="354">
        <f>'数据-取费表'!B2</f>
        <v>45577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51" t="s">
        <v>1679</v>
      </c>
      <c r="Q7" s="3385"/>
      <c r="R7" s="664" t="s">
        <v>14</v>
      </c>
      <c r="S7" s="665">
        <f t="shared" ref="S7:S15" si="0">F7</f>
        <v>0</v>
      </c>
      <c r="T7" s="664" t="s">
        <v>14</v>
      </c>
      <c r="U7" s="665">
        <f t="shared" ref="U7:U15" si="1">H7</f>
        <v>0</v>
      </c>
      <c r="V7" s="664" t="s">
        <v>14</v>
      </c>
      <c r="W7" s="665">
        <f t="shared" ref="W7:W15" si="2">J7</f>
        <v>0</v>
      </c>
      <c r="X7" s="666"/>
      <c r="Y7" s="3351" t="s">
        <v>1679</v>
      </c>
      <c r="Z7" s="3352"/>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51" t="s">
        <v>1682</v>
      </c>
      <c r="Q8" s="3352"/>
      <c r="R8" s="664" t="s">
        <v>14</v>
      </c>
      <c r="S8" s="665">
        <f t="shared" si="0"/>
        <v>0</v>
      </c>
      <c r="T8" s="664" t="s">
        <v>14</v>
      </c>
      <c r="U8" s="665">
        <f t="shared" si="1"/>
        <v>0</v>
      </c>
      <c r="V8" s="664" t="s">
        <v>14</v>
      </c>
      <c r="W8" s="665">
        <f t="shared" si="2"/>
        <v>0</v>
      </c>
      <c r="X8" s="666"/>
      <c r="Y8" s="3351" t="s">
        <v>1682</v>
      </c>
      <c r="Z8" s="3352"/>
      <c r="AA8" s="50" t="e">
        <f t="shared" ref="AA8:AA40" si="3">D8/F8</f>
        <v>#DIV/0!</v>
      </c>
      <c r="AB8" s="50" t="e">
        <f t="shared" ref="AB8:AB40" si="4">D8/H8</f>
        <v>#DIV/0!</v>
      </c>
      <c r="AC8" s="50" t="e">
        <f t="shared" ref="AC8:AC40" si="5">D8/J8</f>
        <v>#DIV/0!</v>
      </c>
    </row>
    <row r="9" spans="1:29" s="102" customFormat="1">
      <c r="A9" s="359" t="s">
        <v>1683</v>
      </c>
      <c r="B9" s="60" t="s">
        <v>1684</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5" t="s">
        <v>1685</v>
      </c>
      <c r="Q9" s="530" t="str">
        <f t="shared" ref="Q9:Q15" si="6">B9</f>
        <v>用途</v>
      </c>
      <c r="R9" s="664" t="s">
        <v>14</v>
      </c>
      <c r="S9" s="665">
        <f t="shared" si="0"/>
        <v>100</v>
      </c>
      <c r="T9" s="664" t="s">
        <v>14</v>
      </c>
      <c r="U9" s="665">
        <f t="shared" si="1"/>
        <v>100</v>
      </c>
      <c r="V9" s="664" t="s">
        <v>14</v>
      </c>
      <c r="W9" s="665">
        <f t="shared" si="2"/>
        <v>100</v>
      </c>
      <c r="X9" s="666"/>
      <c r="Y9" s="3321"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119</v>
      </c>
      <c r="G10" s="371"/>
      <c r="H10" s="119">
        <f>ROUND(100/'数据-取费表'!G16,0)</f>
        <v>119</v>
      </c>
      <c r="I10" s="371"/>
      <c r="J10" s="119">
        <f>ROUND(100/'数据-取费表'!G16,0)</f>
        <v>119</v>
      </c>
      <c r="K10" s="592"/>
      <c r="L10" s="2490"/>
      <c r="M10" s="2491"/>
      <c r="N10" s="2491"/>
      <c r="O10" s="2542"/>
      <c r="P10" s="3395"/>
      <c r="Q10" s="530" t="str">
        <f t="shared" si="6"/>
        <v>土地使用年限（年）</v>
      </c>
      <c r="R10" s="664" t="s">
        <v>14</v>
      </c>
      <c r="S10" s="665">
        <f t="shared" si="0"/>
        <v>119</v>
      </c>
      <c r="T10" s="664" t="s">
        <v>14</v>
      </c>
      <c r="U10" s="665">
        <f t="shared" si="1"/>
        <v>119</v>
      </c>
      <c r="V10" s="664" t="s">
        <v>14</v>
      </c>
      <c r="W10" s="665">
        <f t="shared" si="2"/>
        <v>119</v>
      </c>
      <c r="X10" s="666"/>
      <c r="Y10" s="3321"/>
      <c r="Z10" s="50" t="str">
        <f t="shared" si="7"/>
        <v>土地使用年限（年）</v>
      </c>
      <c r="AA10" s="50">
        <f t="shared" si="3"/>
        <v>0.84033613445378152</v>
      </c>
      <c r="AB10" s="50">
        <f t="shared" si="4"/>
        <v>0.84033613445378152</v>
      </c>
      <c r="AC10" s="50">
        <f t="shared" si="5"/>
        <v>0.84033613445378152</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5"/>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5"/>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5"/>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1689</v>
      </c>
      <c r="B15" s="554" t="s">
        <v>1919</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8" t="s">
        <v>1690</v>
      </c>
      <c r="Q15" s="1263" t="str">
        <f t="shared" si="6"/>
        <v>产业集聚程度</v>
      </c>
      <c r="R15" s="667" t="s">
        <v>14</v>
      </c>
      <c r="S15" s="668">
        <f t="shared" si="0"/>
        <v>100</v>
      </c>
      <c r="T15" s="667" t="s">
        <v>14</v>
      </c>
      <c r="U15" s="668">
        <f t="shared" si="1"/>
        <v>100</v>
      </c>
      <c r="V15" s="667" t="s">
        <v>14</v>
      </c>
      <c r="W15" s="668">
        <f t="shared" si="2"/>
        <v>100</v>
      </c>
      <c r="X15" s="1265"/>
      <c r="Y15" s="3388" t="s">
        <v>1690</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9"/>
      <c r="Q16" s="1263"/>
      <c r="R16" s="667"/>
      <c r="S16" s="668"/>
      <c r="T16" s="667"/>
      <c r="U16" s="668"/>
      <c r="V16" s="667"/>
      <c r="W16" s="668"/>
      <c r="X16" s="1265"/>
      <c r="Y16" s="3389"/>
      <c r="Z16" s="1264"/>
      <c r="AA16" s="1264">
        <v>1</v>
      </c>
      <c r="AB16" s="1264">
        <v>1</v>
      </c>
      <c r="AC16" s="1264">
        <v>1</v>
      </c>
    </row>
    <row r="17" spans="1:29" ht="85.5">
      <c r="A17" s="367"/>
      <c r="B17" s="556" t="s">
        <v>1832</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9"/>
      <c r="Q18" s="1263"/>
      <c r="R18" s="667"/>
      <c r="S18" s="668"/>
      <c r="T18" s="667"/>
      <c r="U18" s="668"/>
      <c r="V18" s="667"/>
      <c r="W18" s="668"/>
      <c r="X18" s="1265"/>
      <c r="Y18" s="3389"/>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9"/>
      <c r="Q19" s="1263" t="str">
        <f t="shared" ref="Q19:Q33" si="8">B19</f>
        <v>区域土地利用方向</v>
      </c>
      <c r="R19" s="667" t="s">
        <v>14</v>
      </c>
      <c r="S19" s="668">
        <f>F19</f>
        <v>100</v>
      </c>
      <c r="T19" s="667" t="s">
        <v>14</v>
      </c>
      <c r="U19" s="668">
        <f>H19</f>
        <v>100</v>
      </c>
      <c r="V19" s="667" t="s">
        <v>14</v>
      </c>
      <c r="W19" s="668">
        <f>J19</f>
        <v>100</v>
      </c>
      <c r="X19" s="1265"/>
      <c r="Y19" s="338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9"/>
      <c r="Q20" s="1263"/>
      <c r="R20" s="667"/>
      <c r="S20" s="668"/>
      <c r="T20" s="667"/>
      <c r="U20" s="668"/>
      <c r="V20" s="667"/>
      <c r="W20" s="668"/>
      <c r="X20" s="1265"/>
      <c r="Y20" s="3389"/>
      <c r="Z20" s="1264"/>
      <c r="AA20" s="1264"/>
      <c r="AB20" s="1264"/>
      <c r="AC20" s="1264"/>
    </row>
    <row r="21" spans="1:29" ht="71.25">
      <c r="A21" s="348"/>
      <c r="B21" s="556" t="s">
        <v>1920</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9"/>
      <c r="Q21" s="1263" t="str">
        <f t="shared" si="8"/>
        <v>环境状况</v>
      </c>
      <c r="R21" s="667" t="s">
        <v>14</v>
      </c>
      <c r="S21" s="668">
        <f>F21</f>
        <v>100</v>
      </c>
      <c r="T21" s="667" t="s">
        <v>14</v>
      </c>
      <c r="U21" s="668">
        <f>H21</f>
        <v>100</v>
      </c>
      <c r="V21" s="667" t="s">
        <v>14</v>
      </c>
      <c r="W21" s="668">
        <f>J21</f>
        <v>100</v>
      </c>
      <c r="X21" s="1265"/>
      <c r="Y21" s="338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9"/>
      <c r="Q22" s="1263"/>
      <c r="R22" s="667"/>
      <c r="S22" s="668"/>
      <c r="T22" s="667"/>
      <c r="U22" s="668"/>
      <c r="V22" s="667"/>
      <c r="W22" s="668"/>
      <c r="X22" s="1265"/>
      <c r="Y22" s="3389"/>
      <c r="Z22" s="1264"/>
      <c r="AA22" s="1264">
        <v>1</v>
      </c>
      <c r="AB22" s="1264">
        <v>1</v>
      </c>
      <c r="AC22" s="1264">
        <v>1</v>
      </c>
    </row>
    <row r="23" spans="1:29" s="102" customFormat="1" ht="42.75">
      <c r="A23" s="443"/>
      <c r="B23" s="557" t="s">
        <v>1777</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9"/>
      <c r="Q24" s="530"/>
      <c r="R24" s="664"/>
      <c r="S24" s="665"/>
      <c r="T24" s="664"/>
      <c r="U24" s="665"/>
      <c r="V24" s="664"/>
      <c r="W24" s="665"/>
      <c r="X24" s="666"/>
      <c r="Y24" s="3389"/>
      <c r="Z24" s="50"/>
      <c r="AA24" s="50">
        <v>1</v>
      </c>
      <c r="AB24" s="50">
        <v>1</v>
      </c>
      <c r="AC24" s="50">
        <v>1</v>
      </c>
    </row>
    <row r="25" spans="1:29" s="102" customFormat="1" ht="28.5">
      <c r="A25" s="443"/>
      <c r="B25" s="557" t="s">
        <v>1778</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9"/>
      <c r="Q26" s="530"/>
      <c r="R26" s="664"/>
      <c r="S26" s="665"/>
      <c r="T26" s="664"/>
      <c r="U26" s="665"/>
      <c r="V26" s="664"/>
      <c r="W26" s="665"/>
      <c r="X26" s="666"/>
      <c r="Y26" s="3389"/>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9"/>
      <c r="Z27" s="1264" t="str">
        <f t="shared" ref="Z27:Z40" si="13">Q27</f>
        <v>临街状况</v>
      </c>
      <c r="AA27" s="1264">
        <f t="shared" si="3"/>
        <v>1</v>
      </c>
      <c r="AB27" s="1264">
        <f t="shared" si="4"/>
        <v>1</v>
      </c>
      <c r="AC27" s="1264">
        <f t="shared" si="5"/>
        <v>1</v>
      </c>
    </row>
    <row r="28" spans="1:29" ht="27">
      <c r="A28" s="367"/>
      <c r="B28" s="557" t="s">
        <v>1814</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9"/>
      <c r="Q28" s="1263" t="str">
        <f t="shared" si="8"/>
        <v>毗邻道路的类型与等级</v>
      </c>
      <c r="R28" s="667" t="s">
        <v>14</v>
      </c>
      <c r="S28" s="668">
        <f t="shared" si="10"/>
        <v>100</v>
      </c>
      <c r="T28" s="667" t="s">
        <v>14</v>
      </c>
      <c r="U28" s="668">
        <f t="shared" si="11"/>
        <v>100</v>
      </c>
      <c r="V28" s="667" t="s">
        <v>14</v>
      </c>
      <c r="W28" s="668">
        <f t="shared" si="12"/>
        <v>100</v>
      </c>
      <c r="X28" s="1265"/>
      <c r="Y28" s="338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9"/>
      <c r="Q29" s="1263"/>
      <c r="R29" s="667"/>
      <c r="S29" s="668"/>
      <c r="T29" s="667"/>
      <c r="U29" s="668"/>
      <c r="V29" s="667"/>
      <c r="W29" s="668"/>
      <c r="X29" s="1265"/>
      <c r="Y29" s="3389"/>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9"/>
      <c r="Q30" s="1263" t="str">
        <f t="shared" si="8"/>
        <v>土地级别</v>
      </c>
      <c r="R30" s="667" t="s">
        <v>14</v>
      </c>
      <c r="S30" s="668">
        <f t="shared" si="10"/>
        <v>100</v>
      </c>
      <c r="T30" s="667" t="s">
        <v>14</v>
      </c>
      <c r="U30" s="668">
        <f t="shared" si="11"/>
        <v>100</v>
      </c>
      <c r="V30" s="667" t="s">
        <v>14</v>
      </c>
      <c r="W30" s="668">
        <f t="shared" si="12"/>
        <v>100</v>
      </c>
      <c r="X30" s="1265"/>
      <c r="Y30" s="338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9"/>
      <c r="Q31" s="1263">
        <f t="shared" si="8"/>
        <v>111</v>
      </c>
      <c r="R31" s="667" t="s">
        <v>14</v>
      </c>
      <c r="S31" s="668">
        <f t="shared" si="10"/>
        <v>100</v>
      </c>
      <c r="T31" s="667" t="s">
        <v>14</v>
      </c>
      <c r="U31" s="668">
        <f t="shared" si="11"/>
        <v>100</v>
      </c>
      <c r="V31" s="667" t="s">
        <v>14</v>
      </c>
      <c r="W31" s="668">
        <f t="shared" si="12"/>
        <v>100</v>
      </c>
      <c r="X31" s="1265"/>
      <c r="Y31" s="338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5" t="s">
        <v>1695</v>
      </c>
      <c r="Q32" s="1263">
        <f t="shared" si="8"/>
        <v>111</v>
      </c>
      <c r="R32" s="667" t="s">
        <v>14</v>
      </c>
      <c r="S32" s="668">
        <f t="shared" si="10"/>
        <v>100</v>
      </c>
      <c r="T32" s="667" t="s">
        <v>14</v>
      </c>
      <c r="U32" s="668">
        <f t="shared" si="11"/>
        <v>100</v>
      </c>
      <c r="V32" s="667" t="s">
        <v>14</v>
      </c>
      <c r="W32" s="668">
        <f t="shared" si="12"/>
        <v>100</v>
      </c>
      <c r="X32" s="1265"/>
      <c r="Y32" s="3393" t="s">
        <v>1695</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3"/>
      <c r="Q33" s="1263">
        <f t="shared" si="8"/>
        <v>111</v>
      </c>
      <c r="R33" s="669" t="s">
        <v>14</v>
      </c>
      <c r="S33" s="670">
        <f t="shared" si="10"/>
        <v>100</v>
      </c>
      <c r="T33" s="669" t="s">
        <v>14</v>
      </c>
      <c r="U33" s="670">
        <f t="shared" si="11"/>
        <v>100</v>
      </c>
      <c r="V33" s="669" t="s">
        <v>14</v>
      </c>
      <c r="W33" s="670">
        <f t="shared" si="12"/>
        <v>100</v>
      </c>
      <c r="X33" s="671"/>
      <c r="Y33" s="3393"/>
      <c r="Z33" s="672">
        <f t="shared" si="13"/>
        <v>111</v>
      </c>
      <c r="AA33" s="1264">
        <f t="shared" si="3"/>
        <v>1</v>
      </c>
      <c r="AB33" s="1264">
        <f t="shared" si="4"/>
        <v>1</v>
      </c>
      <c r="AC33" s="1264">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3"/>
      <c r="Q34" s="1263" t="str">
        <f>B34</f>
        <v>宗地面积</v>
      </c>
      <c r="R34" s="667" t="s">
        <v>14</v>
      </c>
      <c r="S34" s="668" t="e">
        <f t="shared" si="10"/>
        <v>#N/A</v>
      </c>
      <c r="T34" s="667" t="s">
        <v>14</v>
      </c>
      <c r="U34" s="668" t="e">
        <f t="shared" si="11"/>
        <v>#N/A</v>
      </c>
      <c r="V34" s="667" t="s">
        <v>14</v>
      </c>
      <c r="W34" s="668" t="e">
        <f t="shared" si="12"/>
        <v>#N/A</v>
      </c>
      <c r="X34" s="1265"/>
      <c r="Y34" s="3393"/>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3"/>
      <c r="Q35" s="1263" t="str">
        <f t="shared" ref="Q35:Q40" si="14">B35</f>
        <v>宗地形状</v>
      </c>
      <c r="R35" s="667" t="s">
        <v>14</v>
      </c>
      <c r="S35" s="668">
        <f t="shared" si="10"/>
        <v>100</v>
      </c>
      <c r="T35" s="667" t="s">
        <v>14</v>
      </c>
      <c r="U35" s="668">
        <f t="shared" si="11"/>
        <v>100</v>
      </c>
      <c r="V35" s="667" t="s">
        <v>14</v>
      </c>
      <c r="W35" s="668">
        <f t="shared" si="12"/>
        <v>100</v>
      </c>
      <c r="X35" s="1265"/>
      <c r="Y35" s="3393"/>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3"/>
      <c r="Q36" s="1263"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3" t="s">
        <v>1695</v>
      </c>
      <c r="Q37" s="1263" t="str">
        <f t="shared" si="14"/>
        <v>工程地质条件</v>
      </c>
      <c r="R37" s="667" t="s">
        <v>14</v>
      </c>
      <c r="S37" s="668">
        <f t="shared" si="10"/>
        <v>100</v>
      </c>
      <c r="T37" s="667" t="s">
        <v>14</v>
      </c>
      <c r="U37" s="668">
        <f t="shared" si="11"/>
        <v>100</v>
      </c>
      <c r="V37" s="667" t="s">
        <v>14</v>
      </c>
      <c r="W37" s="668">
        <f t="shared" si="12"/>
        <v>100</v>
      </c>
      <c r="X37" s="1265"/>
      <c r="Y37" s="3393" t="s">
        <v>1695</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3"/>
      <c r="Q38" s="1263">
        <f t="shared" si="14"/>
        <v>111</v>
      </c>
      <c r="R38" s="667" t="s">
        <v>14</v>
      </c>
      <c r="S38" s="668">
        <f t="shared" si="10"/>
        <v>100</v>
      </c>
      <c r="T38" s="667" t="s">
        <v>14</v>
      </c>
      <c r="U38" s="668">
        <f t="shared" si="11"/>
        <v>100</v>
      </c>
      <c r="V38" s="667" t="s">
        <v>14</v>
      </c>
      <c r="W38" s="668">
        <f t="shared" si="12"/>
        <v>100</v>
      </c>
      <c r="X38" s="1265"/>
      <c r="Y38" s="339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3"/>
      <c r="Q39" s="1263">
        <f t="shared" si="14"/>
        <v>111</v>
      </c>
      <c r="R39" s="667" t="s">
        <v>14</v>
      </c>
      <c r="S39" s="668">
        <f t="shared" si="10"/>
        <v>100</v>
      </c>
      <c r="T39" s="667" t="s">
        <v>14</v>
      </c>
      <c r="U39" s="668">
        <f t="shared" si="11"/>
        <v>100</v>
      </c>
      <c r="V39" s="667" t="s">
        <v>14</v>
      </c>
      <c r="W39" s="668">
        <f t="shared" si="12"/>
        <v>100</v>
      </c>
      <c r="X39" s="1265"/>
      <c r="Y39" s="339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3"/>
      <c r="Q40" s="1263">
        <f t="shared" si="14"/>
        <v>111</v>
      </c>
      <c r="R40" s="669" t="s">
        <v>14</v>
      </c>
      <c r="S40" s="670">
        <f t="shared" si="10"/>
        <v>100</v>
      </c>
      <c r="T40" s="669" t="s">
        <v>14</v>
      </c>
      <c r="U40" s="670">
        <f t="shared" si="11"/>
        <v>100</v>
      </c>
      <c r="V40" s="669" t="s">
        <v>14</v>
      </c>
      <c r="W40" s="670">
        <f t="shared" si="12"/>
        <v>100</v>
      </c>
      <c r="X40" s="671"/>
      <c r="Y40" s="3393"/>
      <c r="Z40" s="672">
        <f t="shared" si="13"/>
        <v>111</v>
      </c>
      <c r="AA40" s="1264">
        <f t="shared" si="3"/>
        <v>1</v>
      </c>
      <c r="AB40" s="1264">
        <f t="shared" si="4"/>
        <v>1</v>
      </c>
      <c r="AC40" s="1264">
        <f t="shared" si="5"/>
        <v>1</v>
      </c>
    </row>
    <row r="41" spans="1:31" ht="15">
      <c r="A41" s="416" t="s">
        <v>1843</v>
      </c>
      <c r="B41" s="1830" t="s">
        <v>1921</v>
      </c>
      <c r="C41" s="602" t="s">
        <v>0</v>
      </c>
      <c r="D41" s="418"/>
      <c r="E41" s="419"/>
      <c r="F41" s="420"/>
      <c r="G41" s="421"/>
      <c r="H41" s="422"/>
      <c r="I41" s="419"/>
      <c r="J41" s="422"/>
      <c r="K41" s="674"/>
      <c r="L41" s="2495"/>
      <c r="M41" s="2488"/>
      <c r="N41" s="2488"/>
      <c r="O41" s="2488"/>
      <c r="P41" s="3395" t="str">
        <f>A41</f>
        <v>成交单价</v>
      </c>
      <c r="Q41" s="3395"/>
      <c r="R41" s="3383">
        <f>E41</f>
        <v>0</v>
      </c>
      <c r="S41" s="3383"/>
      <c r="T41" s="3383">
        <f>G41</f>
        <v>0</v>
      </c>
      <c r="U41" s="3383"/>
      <c r="V41" s="3383">
        <f>I41</f>
        <v>0</v>
      </c>
      <c r="W41" s="3383"/>
      <c r="X41" s="385"/>
      <c r="Y41" s="673"/>
      <c r="Z41" s="385"/>
      <c r="AA41" s="385"/>
      <c r="AB41" s="385"/>
      <c r="AC41" s="385"/>
    </row>
    <row r="42" spans="1:31" ht="15.75" thickBot="1">
      <c r="A42" s="423" t="s">
        <v>1792</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395" t="str">
        <f>A42</f>
        <v>比较价值（元/平方米）</v>
      </c>
      <c r="Q42" s="3395"/>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95"/>
      <c r="M43" s="2488"/>
      <c r="N43" s="2488"/>
      <c r="O43" s="2488"/>
      <c r="P43" s="3432" t="str">
        <f>A43</f>
        <v>估价对象XX用房的比较价值（楼面单价，元/平方米）</v>
      </c>
      <c r="Q43" s="3433"/>
      <c r="R43" s="3438" t="e">
        <f>ROUND(IF(D42="简单平均",AVERAGE(R42:W42),R42*F42+T42*H42+V42*J42),0)</f>
        <v>#DIV/0!</v>
      </c>
      <c r="S43" s="3438"/>
      <c r="T43" s="3438"/>
      <c r="U43" s="3438"/>
      <c r="V43" s="3438"/>
      <c r="W43" s="343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1880</v>
      </c>
      <c r="B50" s="605" t="s">
        <v>1881</v>
      </c>
      <c r="C50" s="1831" t="s">
        <v>1882</v>
      </c>
      <c r="D50" s="1832" t="s">
        <v>1883</v>
      </c>
      <c r="E50" s="606" t="s">
        <v>1884</v>
      </c>
      <c r="F50" s="607" t="s">
        <v>1885</v>
      </c>
      <c r="G50" s="3370" t="s">
        <v>1886</v>
      </c>
      <c r="H50" s="3439"/>
      <c r="I50" s="1264" t="s">
        <v>1922</v>
      </c>
      <c r="J50" s="1264">
        <f>项目基本情况!F35</f>
        <v>0</v>
      </c>
      <c r="K50" s="1834" t="s">
        <v>1888</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1889</v>
      </c>
      <c r="B51" s="609" t="e">
        <f>C43</f>
        <v>#DIV/0!</v>
      </c>
      <c r="C51" s="610">
        <v>1</v>
      </c>
      <c r="D51" s="890">
        <v>1</v>
      </c>
      <c r="E51" s="610">
        <f>'数据-汇总表'!E8+'数据-汇总表'!E9</f>
        <v>1320.6699999999998</v>
      </c>
      <c r="F51" s="611" t="e">
        <f t="shared" ref="F51:F60" si="15">ROUND(B51*E51/10000,0)</f>
        <v>#DIV/0!</v>
      </c>
      <c r="G51" s="3366"/>
      <c r="H51" s="339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1890</v>
      </c>
      <c r="B52" s="210" t="e">
        <f>ROUND($C$43*C52*D52,0)</f>
        <v>#DIV/0!</v>
      </c>
      <c r="C52" s="163">
        <f t="shared" ref="C52:C60" si="16">IF($C$50="北京市系数",I52,J52)</f>
        <v>0</v>
      </c>
      <c r="D52" s="891">
        <v>0.25</v>
      </c>
      <c r="E52" s="614"/>
      <c r="F52" s="611" t="e">
        <f t="shared" si="15"/>
        <v>#DIV/0!</v>
      </c>
      <c r="G52" s="2751" t="s">
        <v>1891</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1892</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1893</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1894</v>
      </c>
      <c r="B56" s="210" t="e">
        <f t="shared" si="17"/>
        <v>#DIV/0!</v>
      </c>
      <c r="C56" s="163">
        <f t="shared" si="16"/>
        <v>0</v>
      </c>
      <c r="D56" s="891">
        <v>0.25</v>
      </c>
      <c r="E56" s="209">
        <f>'数据-汇总表'!E11</f>
        <v>0</v>
      </c>
      <c r="F56" s="611" t="e">
        <f t="shared" si="15"/>
        <v>#DIV/0!</v>
      </c>
      <c r="G56" s="1835" t="s">
        <v>1895</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1901</v>
      </c>
      <c r="B60" s="210" t="e">
        <f t="shared" si="17"/>
        <v>#DIV/0!</v>
      </c>
      <c r="C60" s="163">
        <f t="shared" si="16"/>
        <v>0</v>
      </c>
      <c r="D60" s="891">
        <v>0.25</v>
      </c>
      <c r="E60" s="209">
        <f>'数据-汇总表'!E15</f>
        <v>0</v>
      </c>
      <c r="F60" s="611" t="e">
        <f t="shared" si="15"/>
        <v>#DIV/0!</v>
      </c>
      <c r="G60" s="1836" t="s">
        <v>1895</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1902</v>
      </c>
      <c r="B61" s="616" t="s">
        <v>22</v>
      </c>
      <c r="C61" s="616" t="s">
        <v>23</v>
      </c>
      <c r="D61" s="616" t="s">
        <v>392</v>
      </c>
      <c r="E61" s="616">
        <f>IF(B41="楼面地价",SUM(E51:E60),'数据-汇总表'!D3)</f>
        <v>166.46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8"/>
      <c r="Q63" s="2488"/>
      <c r="R63" s="2488"/>
      <c r="S63" s="2488"/>
      <c r="T63" s="2488"/>
      <c r="U63" s="2488"/>
      <c r="V63" s="2488"/>
      <c r="W63" s="2488"/>
      <c r="X63" s="2488"/>
      <c r="Y63" s="2488"/>
      <c r="Z63" s="2488"/>
      <c r="AA63" s="2488"/>
      <c r="AB63" s="2488"/>
      <c r="AC63" s="2488"/>
      <c r="AD63" s="2488"/>
      <c r="AE63" s="2488"/>
    </row>
    <row r="64" spans="1:31" ht="21.75" thickBot="1">
      <c r="A64" s="658" t="s">
        <v>1797</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1903</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1715</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1680</v>
      </c>
      <c r="B68" s="444"/>
      <c r="C68" s="456" t="s">
        <v>1775</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1718</v>
      </c>
      <c r="B70" s="460" t="s">
        <v>1684</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1687</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1689</v>
      </c>
      <c r="B83" s="460" t="s">
        <v>1828</v>
      </c>
      <c r="C83" s="504" t="s">
        <v>1720</v>
      </c>
      <c r="D83" s="504" t="s">
        <v>1721</v>
      </c>
      <c r="E83" s="504" t="s">
        <v>1722</v>
      </c>
      <c r="F83" s="504" t="s">
        <v>1723</v>
      </c>
      <c r="G83" s="504" t="s">
        <v>1724</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1725</v>
      </c>
      <c r="C85" s="509" t="s">
        <v>1720</v>
      </c>
      <c r="D85" s="509" t="s">
        <v>1721</v>
      </c>
      <c r="E85" s="509" t="s">
        <v>1722</v>
      </c>
      <c r="F85" s="509" t="s">
        <v>1723</v>
      </c>
      <c r="G85" s="509" t="s">
        <v>1724</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1906</v>
      </c>
      <c r="C87" s="504" t="s">
        <v>1720</v>
      </c>
      <c r="D87" s="504" t="s">
        <v>1721</v>
      </c>
      <c r="E87" s="504" t="s">
        <v>1722</v>
      </c>
      <c r="F87" s="504" t="s">
        <v>1723</v>
      </c>
      <c r="G87" s="504" t="s">
        <v>1724</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1924</v>
      </c>
      <c r="C93" s="581" t="s">
        <v>1798</v>
      </c>
      <c r="D93" s="581" t="s">
        <v>1799</v>
      </c>
      <c r="E93" s="581" t="s">
        <v>1800</v>
      </c>
      <c r="F93" s="581" t="s">
        <v>1801</v>
      </c>
      <c r="G93" s="581" t="s">
        <v>1802</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1814</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1872</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1913</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1915</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1916</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6" sqref="I6:I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3458</v>
      </c>
      <c r="D1" s="1271" t="s">
        <v>43</v>
      </c>
      <c r="E1" s="1272" t="s">
        <v>678</v>
      </c>
      <c r="F1" s="999">
        <f ca="1">J53</f>
        <v>29.9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312</v>
      </c>
      <c r="C2" s="1289" t="s">
        <v>805</v>
      </c>
      <c r="D2" s="1289"/>
      <c r="E2" s="1295"/>
      <c r="F2" s="1296"/>
      <c r="G2" s="2479"/>
      <c r="H2" s="2469"/>
      <c r="I2" s="2469"/>
      <c r="J2" s="2469"/>
      <c r="K2" s="2470"/>
      <c r="L2" s="2469"/>
      <c r="M2" s="2469"/>
    </row>
    <row r="3" spans="1:37" ht="18" customHeight="1" thickBot="1">
      <c r="A3" s="1297" t="s">
        <v>806</v>
      </c>
      <c r="B3" s="1298">
        <f ca="1">IF(ISERROR(B2*10000/F43),0,ROUND(B2*10000/F43,0))</f>
        <v>31582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21</v>
      </c>
      <c r="D5" s="1273" t="s">
        <v>693</v>
      </c>
      <c r="E5" s="1008"/>
      <c r="F5" s="1009"/>
      <c r="G5" s="1292"/>
      <c r="H5" s="291">
        <v>1</v>
      </c>
      <c r="I5" s="292" t="s">
        <v>692</v>
      </c>
      <c r="J5" s="1007">
        <f ca="1">J6+J10+J12</f>
        <v>0</v>
      </c>
      <c r="K5" s="1273" t="s">
        <v>693</v>
      </c>
      <c r="L5" s="1008"/>
      <c r="M5" s="1009"/>
    </row>
    <row r="6" spans="1:37" ht="18" customHeight="1">
      <c r="A6" s="1006" t="s">
        <v>398</v>
      </c>
      <c r="B6" s="3399" t="s">
        <v>694</v>
      </c>
      <c r="C6" s="1011">
        <f ca="1">ROUND(F6*F8*F7*(1-F9)/10000,0)</f>
        <v>21</v>
      </c>
      <c r="D6" s="147" t="s">
        <v>2107</v>
      </c>
      <c r="E6" s="294" t="s">
        <v>696</v>
      </c>
      <c r="F6" s="295">
        <f ca="1">INDIRECT("'数据-取费表'!u"&amp;$G$1)</f>
        <v>6.4</v>
      </c>
      <c r="G6" s="1292"/>
      <c r="H6" s="1006" t="s">
        <v>398</v>
      </c>
      <c r="I6" s="3399" t="s">
        <v>694</v>
      </c>
      <c r="J6" s="293">
        <f ca="1">ROUND(M6*M8*M7*(1-M9)/10000,0)</f>
        <v>0</v>
      </c>
      <c r="K6" s="147" t="s">
        <v>2106</v>
      </c>
      <c r="L6" s="294" t="s">
        <v>696</v>
      </c>
      <c r="M6" s="295">
        <f ca="1">INDIRECT("'数据-取费表'!z"&amp;$G$1)</f>
        <v>0</v>
      </c>
    </row>
    <row r="7" spans="1:37" ht="18" customHeight="1">
      <c r="A7" s="1010"/>
      <c r="B7" s="3400"/>
      <c r="C7" s="1012"/>
      <c r="D7" s="299"/>
      <c r="E7" s="1013" t="s">
        <v>697</v>
      </c>
      <c r="F7" s="295">
        <f ca="1">IF(INDIRECT("'数据-取费表'!ah"&amp;$G$1)="",INDIRECT("'数据-取费表'!k"&amp;$G$1),INDIRECT("'数据-取费表'!ah"&amp;$G$1))</f>
        <v>98.79</v>
      </c>
      <c r="G7" s="1292"/>
      <c r="H7" s="296"/>
      <c r="I7" s="3400"/>
      <c r="J7" s="298"/>
      <c r="K7" s="299"/>
      <c r="L7" s="294" t="s">
        <v>697</v>
      </c>
      <c r="M7" s="295">
        <f ca="1">F7</f>
        <v>98.79</v>
      </c>
    </row>
    <row r="8" spans="1:37" ht="18" customHeight="1">
      <c r="A8" s="296"/>
      <c r="B8" s="3400"/>
      <c r="C8" s="298"/>
      <c r="D8" s="299"/>
      <c r="E8" s="294" t="s">
        <v>698</v>
      </c>
      <c r="F8" s="295">
        <f ca="1">INDIRECT("'数据-取费表'!ai"&amp;$G$1)</f>
        <v>365</v>
      </c>
      <c r="G8" s="1292"/>
      <c r="H8" s="296"/>
      <c r="I8" s="3400"/>
      <c r="J8" s="298"/>
      <c r="K8" s="299"/>
      <c r="L8" s="294" t="s">
        <v>698</v>
      </c>
      <c r="M8" s="295">
        <f ca="1">INDIRECT("'数据-取费表'!ai"&amp;$G$1)</f>
        <v>365</v>
      </c>
    </row>
    <row r="9" spans="1:37" ht="18" customHeight="1">
      <c r="A9" s="296"/>
      <c r="B9" s="3401"/>
      <c r="C9" s="298"/>
      <c r="D9" s="299"/>
      <c r="E9" s="294" t="s">
        <v>699</v>
      </c>
      <c r="F9" s="304">
        <f ca="1">INDIRECT("'数据-取费表'!w"&amp;$G$1)</f>
        <v>0.1</v>
      </c>
      <c r="G9" s="1292"/>
      <c r="H9" s="296"/>
      <c r="I9" s="34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3412</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53</v>
      </c>
      <c r="D14" s="1257" t="s">
        <v>708</v>
      </c>
      <c r="E14" s="1255"/>
      <c r="F14" s="311"/>
      <c r="G14" s="1292"/>
      <c r="H14" s="928" t="s">
        <v>398</v>
      </c>
      <c r="I14" s="294" t="s">
        <v>709</v>
      </c>
      <c r="J14" s="21">
        <f ca="1">C29</f>
        <v>76</v>
      </c>
      <c r="K14" s="12"/>
      <c r="L14" s="759"/>
      <c r="M14" s="760"/>
    </row>
    <row r="15" spans="1:37" s="1304" customFormat="1" ht="18" customHeight="1" thickBot="1">
      <c r="A15" s="928" t="s">
        <v>399</v>
      </c>
      <c r="B15" s="294" t="s">
        <v>710</v>
      </c>
      <c r="C15" s="21">
        <f ca="1">ROUND(C14*F15,0)</f>
        <v>2</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2</v>
      </c>
      <c r="D17" s="294" t="s">
        <v>717</v>
      </c>
      <c r="E17" s="294" t="s">
        <v>718</v>
      </c>
      <c r="F17" s="23">
        <f>'数据-取费表'!B35</f>
        <v>200</v>
      </c>
      <c r="G17" s="1303"/>
      <c r="H17" s="928" t="s">
        <v>398</v>
      </c>
      <c r="I17" s="294" t="s">
        <v>719</v>
      </c>
      <c r="J17" s="2140">
        <f ca="1">ROUND(IF(AND(项目基本情况!B11="自然人",项目基本情况!B10="北京市"),J6*M17/(1+'数据-取费表'!C42),J18+J19+J20),2)</f>
        <v>0.02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58</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v>
      </c>
      <c r="D20" s="315" t="s">
        <v>729</v>
      </c>
      <c r="E20" s="294" t="s">
        <v>712</v>
      </c>
      <c r="F20" s="314">
        <f>'数据-取费表'!B37</f>
        <v>0.02</v>
      </c>
      <c r="G20" s="1303"/>
      <c r="H20" s="928" t="s">
        <v>680</v>
      </c>
      <c r="I20" s="147" t="s">
        <v>730</v>
      </c>
      <c r="J20" s="22">
        <f ca="1">ROUND(M20*M21/10000,2)</f>
        <v>0.02</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12.45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0.23</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76</v>
      </c>
      <c r="D29" s="1029"/>
      <c r="E29" s="1027"/>
      <c r="F29" s="1030"/>
      <c r="G29" s="1303"/>
      <c r="H29" s="325" t="s">
        <v>396</v>
      </c>
      <c r="I29" s="326" t="s">
        <v>768</v>
      </c>
      <c r="J29" s="327">
        <f ca="1">ROUND(J26/(1+F40)^F41,0)</f>
        <v>0</v>
      </c>
      <c r="K29" s="328" t="s">
        <v>769</v>
      </c>
      <c r="L29" s="329"/>
      <c r="M29" s="330">
        <f ca="1">INDIRECT("'数据-取费表'!k"&amp;$G$1)</f>
        <v>98.79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3.54</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1.1200000000000001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2.4</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0.02</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12.45</v>
      </c>
      <c r="G35" s="1292"/>
      <c r="H35" s="2471"/>
      <c r="I35" s="1305"/>
      <c r="J35" s="1306"/>
      <c r="K35" s="2475"/>
      <c r="L35" s="2474"/>
      <c r="M35" s="2474"/>
    </row>
    <row r="36" spans="1:18" ht="18" customHeight="1">
      <c r="A36" s="1039" t="s">
        <v>402</v>
      </c>
      <c r="B36" s="294" t="s">
        <v>738</v>
      </c>
      <c r="C36" s="21">
        <f ca="1">ROUND(C29*F36,2)</f>
        <v>0.23</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ROUND(C13*F37,2)</f>
        <v>0.06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0.11</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17</v>
      </c>
      <c r="D39" s="1032" t="s">
        <v>773</v>
      </c>
      <c r="E39" s="1033"/>
      <c r="F39" s="1034"/>
      <c r="G39" s="1292"/>
      <c r="H39" s="2474"/>
      <c r="I39" s="1305"/>
      <c r="J39" s="1306"/>
      <c r="K39" s="2472"/>
      <c r="L39" s="2474"/>
      <c r="M39" s="2474"/>
    </row>
    <row r="40" spans="1:18" ht="18" customHeight="1">
      <c r="A40" s="291" t="s">
        <v>395</v>
      </c>
      <c r="B40" s="292" t="s">
        <v>774</v>
      </c>
      <c r="C40" s="293">
        <f ca="1">ROUND(C39*(1-((1+F42)/(1+F40))^F41)/(F40-F42),0)</f>
        <v>309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31278</v>
      </c>
      <c r="D43" s="328" t="s">
        <v>777</v>
      </c>
      <c r="E43" s="329" t="s">
        <v>778</v>
      </c>
      <c r="F43" s="330">
        <f ca="1">INDIRECT("'数据-取费表'!k"&amp;$G$1)</f>
        <v>98.79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-309</v>
      </c>
      <c r="D46" s="1313" t="str">
        <f>C2</f>
        <v>万元</v>
      </c>
      <c r="E46" s="1307"/>
      <c r="F46" s="1307"/>
      <c r="I46" s="1314" t="s">
        <v>810</v>
      </c>
      <c r="J46" s="1315"/>
      <c r="K46" s="1316"/>
      <c r="L46" s="1317">
        <f ca="1">IF(M47="住宅",0,IF(L48&gt;J51,L60,J60))</f>
        <v>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3413</v>
      </c>
      <c r="K47" s="1323" t="s">
        <v>816</v>
      </c>
      <c r="L47" s="1324">
        <f ca="1">INDIRECT("'数据-取费表'!d"&amp;$G$1)</f>
        <v>50</v>
      </c>
      <c r="M47" s="1288" t="str">
        <f>IF(ISNUMBER(FIND("住宅",C1)),"住宅","非住宅")</f>
        <v>非住宅</v>
      </c>
      <c r="O47" s="1325" t="s">
        <v>403</v>
      </c>
      <c r="P47" s="1326" t="s">
        <v>817</v>
      </c>
      <c r="Q47" s="1327">
        <f ca="1">C40+J29</f>
        <v>309</v>
      </c>
      <c r="R47" s="1327" t="s">
        <v>818</v>
      </c>
    </row>
    <row r="48" spans="1:18" s="1292" customFormat="1" ht="28.5" thickBot="1">
      <c r="A48" s="1047" t="s">
        <v>438</v>
      </c>
      <c r="B48" s="292" t="s">
        <v>692</v>
      </c>
      <c r="C48" s="1268">
        <f ca="1">C49+C53+C55</f>
        <v>0</v>
      </c>
      <c r="D48" s="1049"/>
      <c r="E48" s="1050"/>
      <c r="F48" s="908"/>
      <c r="G48" s="681"/>
      <c r="H48" s="682"/>
      <c r="I48" s="1328" t="s">
        <v>819</v>
      </c>
      <c r="J48" s="1329" t="s">
        <v>3414</v>
      </c>
      <c r="K48" s="1330" t="s">
        <v>820</v>
      </c>
      <c r="L48" s="1331">
        <f ca="1">INDIRECT("'数据-取费表'!f"&amp;$G$1)</f>
        <v>29.9</v>
      </c>
      <c r="O48" s="1325" t="s">
        <v>404</v>
      </c>
      <c r="P48" s="1326" t="s">
        <v>821</v>
      </c>
      <c r="Q48" s="1327">
        <f ca="1">J60</f>
        <v>3</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2012</v>
      </c>
      <c r="K49" s="1330" t="s">
        <v>824</v>
      </c>
      <c r="L49" s="1333"/>
      <c r="O49" s="1334" t="s">
        <v>405</v>
      </c>
      <c r="P49" s="1326" t="s">
        <v>825</v>
      </c>
      <c r="Q49" s="1327">
        <f ca="1">C29</f>
        <v>76</v>
      </c>
      <c r="R49" s="1327" t="s">
        <v>818</v>
      </c>
    </row>
    <row r="50" spans="1:18" s="1292" customFormat="1" ht="13.5" thickBot="1">
      <c r="A50" s="922"/>
      <c r="B50" s="925"/>
      <c r="C50" s="1055"/>
      <c r="D50" s="899"/>
      <c r="E50" s="993" t="s">
        <v>697</v>
      </c>
      <c r="F50" s="994">
        <f ca="1">F7</f>
        <v>98.79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230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29.9</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29.9</v>
      </c>
      <c r="K53" s="3402" t="s">
        <v>837</v>
      </c>
      <c r="L53" s="3403"/>
      <c r="O53" s="1325" t="s">
        <v>409</v>
      </c>
      <c r="P53" s="1326" t="s">
        <v>838</v>
      </c>
      <c r="Q53" s="1327">
        <f ca="1">Q47+Q48</f>
        <v>312</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0.30199999999999999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61</v>
      </c>
      <c r="D56" s="1352"/>
      <c r="E56" s="1353"/>
      <c r="F56" s="1345"/>
      <c r="I56" s="1354" t="s">
        <v>842</v>
      </c>
      <c r="J56" s="1355"/>
      <c r="K56" s="1328" t="s">
        <v>843</v>
      </c>
      <c r="L56" s="1331" t="str">
        <f ca="1">IF(L48&lt;J51,"——",L48-J53)</f>
        <v>——</v>
      </c>
      <c r="O56" s="1325" t="s">
        <v>403</v>
      </c>
      <c r="P56" s="1326" t="s">
        <v>817</v>
      </c>
      <c r="Q56" s="1327">
        <f ca="1">C40+J29</f>
        <v>309</v>
      </c>
      <c r="R56" s="1327" t="s">
        <v>818</v>
      </c>
    </row>
    <row r="57" spans="1:18" s="1292" customFormat="1" ht="24.75" thickBot="1">
      <c r="A57" s="1356"/>
      <c r="B57" s="896" t="s">
        <v>767</v>
      </c>
      <c r="C57" s="230">
        <f ca="1">C29</f>
        <v>76</v>
      </c>
      <c r="D57" s="1357"/>
      <c r="E57" s="1358"/>
      <c r="F57" s="1359"/>
      <c r="I57" s="1360" t="s">
        <v>844</v>
      </c>
      <c r="J57" s="1361">
        <f ca="1">IF(OR(M47="住宅",J51&lt;L48,J56="是"),"——",J51-L48)</f>
        <v>18.100000000000001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0.02</v>
      </c>
      <c r="D62" s="911" t="s">
        <v>786</v>
      </c>
      <c r="E62" s="896" t="s">
        <v>787</v>
      </c>
      <c r="F62" s="317">
        <f t="shared" si="0"/>
        <v>18</v>
      </c>
      <c r="I62" s="1367" t="s">
        <v>858</v>
      </c>
      <c r="J62" s="610" t="s">
        <v>859</v>
      </c>
      <c r="K62" s="610" t="s">
        <v>860</v>
      </c>
      <c r="L62" s="610" t="s">
        <v>861</v>
      </c>
      <c r="M62" s="1368" t="s">
        <v>862</v>
      </c>
      <c r="O62" s="1325" t="s">
        <v>409</v>
      </c>
      <c r="P62" s="1326" t="s">
        <v>863</v>
      </c>
      <c r="Q62" s="1327">
        <f ca="1">Q56+Q57</f>
        <v>309</v>
      </c>
      <c r="R62" s="1327" t="s">
        <v>410</v>
      </c>
    </row>
    <row r="63" spans="1:18" s="1292" customFormat="1" ht="13.5" thickBot="1">
      <c r="A63" s="318"/>
      <c r="B63" s="902"/>
      <c r="C63" s="26"/>
      <c r="D63" s="912"/>
      <c r="E63" s="896" t="s">
        <v>788</v>
      </c>
      <c r="F63" s="295">
        <f t="shared" ca="1" si="0"/>
        <v>12.45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0.23</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0.06</v>
      </c>
      <c r="D65" s="910" t="s">
        <v>743</v>
      </c>
      <c r="E65" s="896" t="s">
        <v>744</v>
      </c>
      <c r="F65" s="321">
        <f t="shared" ca="1" si="0"/>
        <v>1E-3</v>
      </c>
      <c r="I65" s="1367" t="s">
        <v>867</v>
      </c>
      <c r="J65" s="610">
        <v>40</v>
      </c>
      <c r="K65" s="610">
        <v>30</v>
      </c>
      <c r="L65" s="610">
        <v>50</v>
      </c>
      <c r="M65" s="1369">
        <v>0.02</v>
      </c>
      <c r="O65" s="1325" t="s">
        <v>403</v>
      </c>
      <c r="P65" s="1326" t="s">
        <v>868</v>
      </c>
      <c r="Q65" s="1327">
        <f ca="1">C40+J29</f>
        <v>309</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230</v>
      </c>
      <c r="R67" s="1327" t="s">
        <v>870</v>
      </c>
    </row>
    <row r="68" spans="1:18" s="1292" customFormat="1" ht="16.5" thickBot="1">
      <c r="A68" s="893" t="s">
        <v>395</v>
      </c>
      <c r="B68" s="894" t="s">
        <v>774</v>
      </c>
      <c r="C68" s="293">
        <f ca="1">ROUND(C67*(1-((1+F70)/(1+F68))^F69)/(F68-F70),0)</f>
        <v>0</v>
      </c>
      <c r="D68" s="911" t="s">
        <v>758</v>
      </c>
      <c r="E68" s="896" t="s">
        <v>759</v>
      </c>
      <c r="F68" s="304">
        <f ca="1">F40</f>
        <v>5.5E-2</v>
      </c>
      <c r="O68" s="1334" t="s">
        <v>406</v>
      </c>
      <c r="P68" s="1371" t="s">
        <v>871</v>
      </c>
      <c r="Q68" s="1327">
        <f ca="1">ROUND(Q69-Q70*Q71,0)</f>
        <v>13</v>
      </c>
      <c r="R68" s="1327" t="s">
        <v>414</v>
      </c>
    </row>
    <row r="69" spans="1:18" s="1292" customFormat="1" ht="13.5" thickBot="1">
      <c r="A69" s="897"/>
      <c r="B69" s="898"/>
      <c r="C69" s="298"/>
      <c r="D69" s="916" t="s">
        <v>762</v>
      </c>
      <c r="E69" s="896" t="s">
        <v>763</v>
      </c>
      <c r="F69" s="324">
        <f ca="1">F41</f>
        <v>29.9</v>
      </c>
      <c r="O69" s="1334" t="s">
        <v>411</v>
      </c>
      <c r="P69" s="1371" t="s">
        <v>872</v>
      </c>
      <c r="Q69" s="1327">
        <f ca="1">C39</f>
        <v>17</v>
      </c>
      <c r="R69" s="1327" t="s">
        <v>818</v>
      </c>
    </row>
    <row r="70" spans="1:18" s="1292" customFormat="1" ht="13.5" thickBot="1">
      <c r="A70" s="900"/>
      <c r="B70" s="901"/>
      <c r="C70" s="302"/>
      <c r="D70" s="912"/>
      <c r="E70" s="896" t="s">
        <v>766</v>
      </c>
      <c r="F70" s="991"/>
      <c r="O70" s="1334" t="s">
        <v>412</v>
      </c>
      <c r="P70" s="1371" t="s">
        <v>873</v>
      </c>
      <c r="Q70" s="1327">
        <f ca="1">C13</f>
        <v>61</v>
      </c>
      <c r="R70" s="1327" t="s">
        <v>818</v>
      </c>
    </row>
    <row r="71" spans="1:18" s="1292" customFormat="1" ht="13.5" thickBot="1">
      <c r="A71" s="917" t="s">
        <v>396</v>
      </c>
      <c r="B71" s="918" t="s">
        <v>776</v>
      </c>
      <c r="C71" s="327">
        <f ca="1">ROUND(C68*10000/F71,0)</f>
        <v>0</v>
      </c>
      <c r="D71" s="919" t="s">
        <v>777</v>
      </c>
      <c r="E71" s="920" t="s">
        <v>778</v>
      </c>
      <c r="F71" s="330">
        <f ca="1">F43</f>
        <v>98.79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v>
      </c>
      <c r="D75" s="1292"/>
      <c r="E75" s="1292"/>
      <c r="F75" s="1292"/>
      <c r="K75" s="1309"/>
      <c r="L75" s="1292"/>
      <c r="O75" s="1325" t="s">
        <v>409</v>
      </c>
      <c r="P75" s="1326" t="s">
        <v>838</v>
      </c>
      <c r="Q75" s="1327">
        <f ca="1">Q65+Q66</f>
        <v>309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0.76500000000000001</v>
      </c>
    </row>
    <row r="80" spans="1:18">
      <c r="B80" s="331" t="s">
        <v>800</v>
      </c>
      <c r="C80" s="266">
        <f ca="1">ROUND(C75/C39,3)</f>
        <v>0.23499999999999999</v>
      </c>
    </row>
    <row r="81" spans="2:3">
      <c r="B81" s="262" t="s">
        <v>801</v>
      </c>
      <c r="C81" s="230"/>
    </row>
    <row r="82" spans="2:3">
      <c r="B82" s="265" t="s">
        <v>802</v>
      </c>
      <c r="C82" s="267">
        <f ca="1">1-C83</f>
        <v>0.80299999999999994</v>
      </c>
    </row>
    <row r="83" spans="2:3">
      <c r="B83" s="265" t="s">
        <v>803</v>
      </c>
      <c r="C83" s="266">
        <f ca="1">ROUND(C13/C40,3)</f>
        <v>0.19700000000000001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 priority="3">
      <formula>$F$10="自定义"</formula>
    </cfRule>
  </conditionalFormatting>
  <conditionalFormatting sqref="C54">
    <cfRule type="expression" dxfId="10" priority="1">
      <formula>$F$53="自定义"</formula>
    </cfRule>
  </conditionalFormatting>
  <conditionalFormatting sqref="I55 I60">
    <cfRule type="expression" dxfId="9" priority="57">
      <formula>$J$51&gt;$L$48</formula>
    </cfRule>
  </conditionalFormatting>
  <conditionalFormatting sqref="J11">
    <cfRule type="expression" dxfId="8" priority="2">
      <formula>$M$10="自定义"</formula>
    </cfRule>
  </conditionalFormatting>
  <conditionalFormatting sqref="K55 K60">
    <cfRule type="expression" dxfId="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
  <sheetViews>
    <sheetView topLeftCell="A24" zoomScale="55" zoomScaleNormal="55" workbookViewId="0">
      <selection activeCell="S56" sqref="S56"/>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A10" zoomScale="90" zoomScaleNormal="90" workbookViewId="0">
      <selection activeCell="S24" sqref="S24:S3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47" t="s">
        <v>2083</v>
      </c>
      <c r="D1" s="3448"/>
      <c r="E1" s="3448"/>
      <c r="F1" s="3448"/>
      <c r="G1" s="3448"/>
      <c r="H1" s="3448"/>
      <c r="I1" s="3448"/>
      <c r="J1" s="3448"/>
      <c r="K1" s="3448"/>
      <c r="L1" s="3448"/>
      <c r="M1" s="3448"/>
      <c r="N1" s="3448"/>
      <c r="O1" s="3448"/>
      <c r="P1" s="3448"/>
      <c r="Q1" s="3448"/>
      <c r="R1" s="3448"/>
      <c r="S1" s="3449"/>
      <c r="T1" s="929" t="s">
        <v>2084</v>
      </c>
    </row>
    <row r="2" spans="1:45" s="625" customFormat="1" ht="38.25">
      <c r="A2" s="930"/>
      <c r="B2" s="622" t="s">
        <v>2085</v>
      </c>
      <c r="C2" s="14" t="str">
        <f t="shared" ref="C2:L2" si="0">C3&amp;"(含)"&amp;"-"&amp;D3</f>
        <v>0(含)-50</v>
      </c>
      <c r="D2" s="623" t="str">
        <f t="shared" si="0"/>
        <v>50(含)-80</v>
      </c>
      <c r="E2" s="623" t="str">
        <f t="shared" si="0"/>
        <v>80(含)-150</v>
      </c>
      <c r="F2" s="623" t="str">
        <f t="shared" si="0"/>
        <v>150(含)-300</v>
      </c>
      <c r="G2" s="623" t="str">
        <f t="shared" si="0"/>
        <v>300(含)-500</v>
      </c>
      <c r="H2" s="623" t="str">
        <f t="shared" si="0"/>
        <v>500(含)-1000</v>
      </c>
      <c r="I2" s="623" t="str">
        <f t="shared" si="0"/>
        <v>1000(含)-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v>
      </c>
      <c r="E3" s="628">
        <v>80</v>
      </c>
      <c r="F3" s="1220">
        <v>150</v>
      </c>
      <c r="G3" s="1220">
        <v>300</v>
      </c>
      <c r="H3" s="1220">
        <v>500</v>
      </c>
      <c r="I3" s="1220">
        <v>1000</v>
      </c>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95</v>
      </c>
      <c r="E4" s="936">
        <v>90</v>
      </c>
      <c r="F4" s="1224">
        <f>E4-1</f>
        <v>89</v>
      </c>
      <c r="G4" s="1224">
        <f t="shared" ref="G4:I4" si="7">F4-1</f>
        <v>88</v>
      </c>
      <c r="H4" s="1224">
        <f t="shared" si="7"/>
        <v>87</v>
      </c>
      <c r="I4" s="1224">
        <f t="shared" si="7"/>
        <v>86</v>
      </c>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f ca="1">IF(D20="——",S22,S22-F20)</f>
        <v>5706</v>
      </c>
      <c r="C20" s="151"/>
      <c r="D20" s="1989" t="s">
        <v>43</v>
      </c>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f ca="1">ROUND(B20*10000/B22,0)</f>
        <v>43205</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1320.6699999999998</v>
      </c>
      <c r="C22" s="3444" t="s">
        <v>27</v>
      </c>
      <c r="D22" s="3445"/>
      <c r="E22" s="3445"/>
      <c r="F22" s="3445"/>
      <c r="G22" s="3445"/>
      <c r="H22" s="3445"/>
      <c r="I22" s="3445"/>
      <c r="J22" s="3445"/>
      <c r="K22" s="3445"/>
      <c r="L22" s="3445"/>
      <c r="M22" s="3445"/>
      <c r="N22" s="3445"/>
      <c r="O22" s="3445"/>
      <c r="P22" s="3445"/>
      <c r="Q22" s="3446"/>
      <c r="R22" s="21">
        <f ca="1">ROUND(S22*10000/B22,0)</f>
        <v>43205</v>
      </c>
      <c r="S22" s="21">
        <f ca="1">SUM(S24:S10000)</f>
        <v>5706</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面积!B2</f>
        <v>1205</v>
      </c>
      <c r="B24" s="633">
        <f>面积!C2</f>
        <v>98.79</v>
      </c>
      <c r="C24" s="2571">
        <v>1</v>
      </c>
      <c r="D24" s="2572"/>
      <c r="E24" s="2571">
        <v>1</v>
      </c>
      <c r="F24" s="2572"/>
      <c r="G24" s="2571">
        <v>1</v>
      </c>
      <c r="H24" s="2572"/>
      <c r="I24" s="2571">
        <v>1</v>
      </c>
      <c r="J24" s="2572"/>
      <c r="K24" s="2571">
        <v>1</v>
      </c>
      <c r="L24" s="2572"/>
      <c r="M24" s="2571">
        <v>1</v>
      </c>
      <c r="N24" s="2572"/>
      <c r="O24" s="2571">
        <v>1</v>
      </c>
      <c r="P24" s="2572"/>
      <c r="Q24" s="2571">
        <v>1</v>
      </c>
      <c r="R24" s="633">
        <f ca="1">结果表!G20</f>
        <v>43111</v>
      </c>
      <c r="S24" s="634">
        <f t="shared" ref="S24:S54" ca="1" si="12">ROUND(R24*B24/10000,0)</f>
        <v>426</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面积!B3</f>
        <v>1206</v>
      </c>
      <c r="B25" s="633">
        <f>面积!C3</f>
        <v>55.12</v>
      </c>
      <c r="C25" s="21">
        <f>IF(B25="",1,(LOOKUP(B25,$3:$3,$4:$4)-LOOKUP($B$24,$3:$3,$4:$4)+100)/100)</f>
        <v>1.05</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45267</v>
      </c>
      <c r="S25" s="308">
        <f t="shared" ca="1" si="12"/>
        <v>250</v>
      </c>
    </row>
    <row r="26" spans="1:45">
      <c r="A26" s="633">
        <f>面积!B4</f>
        <v>1212</v>
      </c>
      <c r="B26" s="633">
        <f>面积!C4</f>
        <v>116.79</v>
      </c>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43111</v>
      </c>
      <c r="S26" s="308">
        <f t="shared" ca="1" si="12"/>
        <v>503</v>
      </c>
    </row>
    <row r="27" spans="1:45">
      <c r="A27" s="633">
        <f>面积!B5</f>
        <v>1213</v>
      </c>
      <c r="B27" s="633">
        <f>面积!C5</f>
        <v>118.7</v>
      </c>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ca="1" si="21"/>
        <v>43111</v>
      </c>
      <c r="S27" s="308">
        <f t="shared" ca="1" si="12"/>
        <v>512</v>
      </c>
    </row>
    <row r="28" spans="1:45">
      <c r="A28" s="633">
        <f>面积!B6</f>
        <v>1214</v>
      </c>
      <c r="B28" s="633">
        <f>面积!C6</f>
        <v>116.7</v>
      </c>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ca="1" si="21"/>
        <v>43111</v>
      </c>
      <c r="S28" s="308">
        <f t="shared" ca="1" si="12"/>
        <v>503</v>
      </c>
    </row>
    <row r="29" spans="1:45">
      <c r="A29" s="633">
        <f>面积!B7</f>
        <v>1215</v>
      </c>
      <c r="B29" s="633">
        <f>面积!C7</f>
        <v>117.38</v>
      </c>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ca="1" si="21"/>
        <v>43111</v>
      </c>
      <c r="S29" s="308">
        <f t="shared" ca="1" si="12"/>
        <v>506</v>
      </c>
    </row>
    <row r="30" spans="1:45">
      <c r="A30" s="633">
        <f>面积!B8</f>
        <v>1216</v>
      </c>
      <c r="B30" s="633">
        <f>面积!C8</f>
        <v>102.25</v>
      </c>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ca="1" si="21"/>
        <v>43111</v>
      </c>
      <c r="S30" s="308">
        <f t="shared" ca="1" si="12"/>
        <v>441</v>
      </c>
    </row>
    <row r="31" spans="1:45">
      <c r="A31" s="633">
        <f>面积!B9</f>
        <v>1219</v>
      </c>
      <c r="B31" s="633">
        <f>面积!C9</f>
        <v>95.42</v>
      </c>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ca="1" si="21"/>
        <v>43111</v>
      </c>
      <c r="S31" s="308">
        <f t="shared" ca="1" si="12"/>
        <v>411</v>
      </c>
    </row>
    <row r="32" spans="1:45">
      <c r="A32" s="633">
        <f>面积!B10</f>
        <v>1221</v>
      </c>
      <c r="B32" s="633">
        <f>面积!C10</f>
        <v>98.79</v>
      </c>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ca="1" si="21"/>
        <v>43111</v>
      </c>
      <c r="S32" s="308">
        <f t="shared" ca="1" si="12"/>
        <v>426</v>
      </c>
    </row>
    <row r="33" spans="1:19">
      <c r="A33" s="633">
        <f>面积!B11</f>
        <v>1222</v>
      </c>
      <c r="B33" s="633">
        <f>面积!C11</f>
        <v>107.47</v>
      </c>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ca="1" si="21"/>
        <v>43111</v>
      </c>
      <c r="S33" s="308">
        <f t="shared" ca="1" si="12"/>
        <v>463</v>
      </c>
    </row>
    <row r="34" spans="1:19">
      <c r="A34" s="633">
        <f>面积!B12</f>
        <v>1223</v>
      </c>
      <c r="B34" s="633">
        <f>面积!C12</f>
        <v>98.3</v>
      </c>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ca="1" si="21"/>
        <v>43111</v>
      </c>
      <c r="S34" s="308">
        <f t="shared" ca="1" si="12"/>
        <v>424</v>
      </c>
    </row>
    <row r="35" spans="1:19">
      <c r="A35" s="633">
        <f>面积!B13</f>
        <v>1224</v>
      </c>
      <c r="B35" s="633">
        <f>面积!C13</f>
        <v>96.66</v>
      </c>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ca="1" si="21"/>
        <v>43111</v>
      </c>
      <c r="S35" s="308">
        <f t="shared" ca="1" si="12"/>
        <v>417</v>
      </c>
    </row>
    <row r="36" spans="1:19">
      <c r="A36" s="633">
        <f>面积!B14</f>
        <v>1225</v>
      </c>
      <c r="B36" s="633">
        <f>面积!C14</f>
        <v>98.3</v>
      </c>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ca="1" si="21"/>
        <v>43111</v>
      </c>
      <c r="S36" s="308">
        <f t="shared" ca="1" si="12"/>
        <v>424</v>
      </c>
    </row>
    <row r="37" spans="1:19">
      <c r="A37" s="633"/>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633"/>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13" sqref="C13:H1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2072</v>
      </c>
      <c r="B2" s="2388" t="e">
        <f ca="1">SUMIF(B6:B13,"&lt;&gt;#ref!",B6:B13)</f>
        <v>#DIV/0!</v>
      </c>
      <c r="C2" s="1984" t="s">
        <v>2073</v>
      </c>
      <c r="D2" s="1984" t="s">
        <v>2074</v>
      </c>
      <c r="E2" s="2398">
        <f ca="1">SUMIF(E6:E13,"&lt;&gt;#ref!",E6:E13)</f>
        <v>0</v>
      </c>
      <c r="F2" s="2545"/>
      <c r="G2" s="2545"/>
      <c r="H2" s="2545"/>
      <c r="I2" s="2545"/>
      <c r="J2" s="2545"/>
      <c r="K2" s="2545"/>
      <c r="L2" s="2545"/>
      <c r="M2" s="2545"/>
      <c r="N2" s="2545"/>
      <c r="O2" s="2545"/>
      <c r="P2" s="2545"/>
    </row>
    <row r="3" spans="1:16" ht="15.75">
      <c r="A3" s="1984" t="s">
        <v>2075</v>
      </c>
      <c r="B3" s="2388" t="e">
        <f ca="1">ROUND(B2*10000/E2,0)</f>
        <v>#DIV/0!</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2076</v>
      </c>
      <c r="B5" s="2396" t="s">
        <v>2077</v>
      </c>
      <c r="C5" s="1985"/>
      <c r="D5" s="2545"/>
      <c r="E5" s="2397" t="s">
        <v>2078</v>
      </c>
      <c r="F5" s="2545"/>
      <c r="G5" s="2545"/>
      <c r="H5" s="2545"/>
      <c r="I5" s="2545"/>
      <c r="J5" s="2545"/>
      <c r="K5" s="2545"/>
      <c r="L5" s="2545"/>
      <c r="M5" s="2545"/>
      <c r="N5" s="2545"/>
      <c r="O5" s="2545"/>
      <c r="P5" s="2545"/>
    </row>
    <row r="6" spans="1:16" ht="15.75">
      <c r="A6" s="2395" t="s">
        <v>2079</v>
      </c>
      <c r="B6" s="2388" t="e">
        <f ca="1">SUMIF(INDIRECT("'"&amp;A6&amp;"'"&amp;"!A:A"),"总价",INDIRECT("'"&amp;A6&amp;"'"&amp;"!B:B"))</f>
        <v>#DIV/0!</v>
      </c>
      <c r="C6" s="1984" t="s">
        <v>2073</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2073</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2073</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2073</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2073</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2073</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2073</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2073</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13" sqref="C13:H1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t="e">
        <f>C30</f>
        <v>#DIV/0!</v>
      </c>
      <c r="C2" s="1846" t="s">
        <v>1934</v>
      </c>
      <c r="D2" s="162" t="s">
        <v>1935</v>
      </c>
      <c r="E2" s="312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1939</v>
      </c>
      <c r="B3" s="196" t="e">
        <f>ROUND(B2*10000/D1,0)</f>
        <v>#DIV/0!</v>
      </c>
      <c r="C3" s="1846" t="s">
        <v>1940</v>
      </c>
      <c r="D3" s="162" t="s">
        <v>1941</v>
      </c>
      <c r="E3" s="3119"/>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7"/>
      <c r="B4" s="3458"/>
      <c r="C4" s="3458"/>
      <c r="D4" s="3459"/>
      <c r="E4" s="3459"/>
      <c r="F4" s="3459"/>
      <c r="G4" s="3459"/>
      <c r="H4" s="3459"/>
      <c r="I4" s="3459"/>
      <c r="J4" s="3460"/>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1954</v>
      </c>
      <c r="X7" s="1131">
        <f>G2</f>
        <v>0</v>
      </c>
      <c r="Y7" s="1131" t="s">
        <v>1955</v>
      </c>
      <c r="Z7" s="1132">
        <f>G3</f>
        <v>0</v>
      </c>
      <c r="AA7" s="1133"/>
      <c r="AB7" s="1133"/>
      <c r="AC7" s="1134"/>
      <c r="AD7" s="1135"/>
      <c r="AE7" s="1135"/>
      <c r="AF7" s="1135"/>
      <c r="AG7" s="1135"/>
      <c r="AH7" s="1135"/>
      <c r="AI7" s="1135"/>
      <c r="AJ7" s="1136"/>
    </row>
    <row r="8" spans="1:36" ht="15">
      <c r="A8" s="3010"/>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4" t="s">
        <v>1959</v>
      </c>
      <c r="X8" s="3455"/>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10"/>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1981</v>
      </c>
      <c r="C13" s="711">
        <f>ROUND(C16*D16*E16*F16*G16*H16*I16*J16,4)</f>
        <v>0</v>
      </c>
      <c r="D13" s="1879" t="s">
        <v>1982</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1984</v>
      </c>
      <c r="C14" s="1884" t="s">
        <v>1985</v>
      </c>
      <c r="D14" s="1261" t="s">
        <v>1986</v>
      </c>
      <c r="E14" s="27" t="s">
        <v>1987</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1988</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1" t="s">
        <v>3254</v>
      </c>
      <c r="B20" s="159" t="s">
        <v>1993</v>
      </c>
      <c r="C20" s="3032" t="e">
        <f>ROUND(IF(F21="与级别开发程度一致",0,(G21-E21)/C21),0)</f>
        <v>#DIV/0!</v>
      </c>
      <c r="D20" s="3047" t="s">
        <v>1997</v>
      </c>
      <c r="E20" s="3048"/>
      <c r="F20" s="3467" t="s">
        <v>1994</v>
      </c>
      <c r="G20" s="346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2"/>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1999</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2000</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1896" t="s">
        <v>2001</v>
      </c>
      <c r="E23" s="717">
        <v>44197</v>
      </c>
      <c r="F23" s="1896" t="s">
        <v>2002</v>
      </c>
      <c r="G23" s="718">
        <f>'数据-取费表'!B2</f>
        <v>45577</v>
      </c>
      <c r="H23" s="3049" t="s">
        <v>3256</v>
      </c>
      <c r="I23" s="3050" t="str">
        <f>IF(H23="季度增幅（自定义）",SUMIF(N25:N28,E2,O25:O28),"")</f>
        <v/>
      </c>
      <c r="J23" s="3142" t="s">
        <v>3255</v>
      </c>
      <c r="K23" s="1061"/>
      <c r="L23" s="1897" t="s">
        <v>2003</v>
      </c>
      <c r="M23" s="1241">
        <f>ROUND(SUMIF(地价!B2:G2,E2,地价!B16:G16),0)</f>
        <v>0</v>
      </c>
      <c r="N23" s="1898" t="s">
        <v>2004</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t="e">
        <f>ROUND(POWER(1+G24,J24-I24)*(POWER(1+G24,I24)-1)/(POWER(1+G24,J24)-1),4)</f>
        <v>#DIV/0!</v>
      </c>
      <c r="D24" s="1902" t="s">
        <v>2006</v>
      </c>
      <c r="E24" s="1248">
        <f>存贷款利率!E26/100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0</v>
      </c>
      <c r="D25" s="1909"/>
      <c r="E25" s="1909"/>
      <c r="F25" s="1909"/>
      <c r="G25" s="1909"/>
      <c r="H25" s="1909"/>
      <c r="I25" s="1909"/>
      <c r="J25" s="1910"/>
      <c r="K25" s="1061"/>
      <c r="L25" s="2553"/>
      <c r="M25" s="2553"/>
      <c r="N25" s="1911" t="s">
        <v>2012</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0</v>
      </c>
      <c r="D28" s="1894"/>
      <c r="E28" s="1919"/>
      <c r="F28" s="1919"/>
      <c r="G28" s="1919"/>
      <c r="H28" s="1919"/>
      <c r="I28" s="1919"/>
      <c r="J28" s="1920"/>
      <c r="K28" s="1061"/>
      <c r="L28" s="2553"/>
      <c r="M28" s="2553"/>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50" t="s">
        <v>2022</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t="e">
        <f>IF(B25="容积率修正",E33+SUM(E37:E42),SUM(V2:V16)+SUM(E37:E42))</f>
        <v>#DIV/0!</v>
      </c>
      <c r="D30" s="1925"/>
      <c r="E30" s="1842"/>
      <c r="F30" s="1926"/>
      <c r="G30" s="1842"/>
      <c r="H30" s="1842"/>
      <c r="I30" s="1842"/>
      <c r="J30" s="1927"/>
      <c r="K30" s="1056"/>
      <c r="L30" s="3056" t="s">
        <v>1935</v>
      </c>
      <c r="M30" s="3057" t="s">
        <v>1989</v>
      </c>
      <c r="N30" s="3057" t="s">
        <v>1990</v>
      </c>
      <c r="O30" s="3057" t="s">
        <v>1991</v>
      </c>
      <c r="P30" s="3057" t="s">
        <v>1992</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t="e">
        <f>E34+SUM(I37:I42)</f>
        <v>#DIV/0!</v>
      </c>
      <c r="D31" s="1929"/>
      <c r="E31" s="1930"/>
      <c r="F31" s="1931"/>
      <c r="G31" s="1930"/>
      <c r="H31" s="1930"/>
      <c r="I31" s="1930"/>
      <c r="J31" s="1932"/>
      <c r="K31" s="1056"/>
      <c r="L31" s="3058" t="s">
        <v>1995</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9" t="s">
        <v>1998</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2" t="s">
        <v>3261</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3265</v>
      </c>
      <c r="L36" s="3143">
        <f ca="1">'数据-取费表'!B40</f>
        <v>3.3500000000000002E-2</v>
      </c>
      <c r="M36" s="2366">
        <f ca="1">ROUND($L$36*(1+M31),3)</f>
        <v>4.2000000000000003E-2</v>
      </c>
      <c r="N36" s="2366">
        <f ca="1">ROUND($L$36*(1+N31),3)</f>
        <v>0.04</v>
      </c>
      <c r="O36" s="2366">
        <f ca="1">ROUND($L$36*(1+O31),3)</f>
        <v>3.9E-2</v>
      </c>
      <c r="P36" s="2366">
        <f ca="1">ROUND($L$36*(1+P31),3)</f>
        <v>3.6999999999999998E-2</v>
      </c>
      <c r="Q36" s="2366">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5"/>
      <c r="B37" s="1955" t="s">
        <v>2035</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f ca="1">L36+K38</f>
        <v>3.85E-2</v>
      </c>
      <c r="M37" s="2366">
        <f ca="1">ROUND($L$37*(1+M31),3)</f>
        <v>4.8000000000000001E-2</v>
      </c>
      <c r="N37" s="2366">
        <f t="shared" ref="N37:Q37" ca="1" si="3">ROUND($L$37*(1+N31),3)</f>
        <v>4.5999999999999999E-2</v>
      </c>
      <c r="O37" s="2366">
        <f t="shared" ca="1" si="3"/>
        <v>4.3999999999999997E-2</v>
      </c>
      <c r="P37" s="2366">
        <f t="shared" ca="1" si="3"/>
        <v>4.2000000000000003E-2</v>
      </c>
      <c r="Q37" s="2366">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6"/>
      <c r="B38" s="1884" t="s">
        <v>2036</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6"/>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38.25">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2058</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2059</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38.25">
      <c r="A61" s="1970" t="s">
        <v>2063</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2052</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2058</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2059</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2060</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51">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2058</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2059</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2060</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1720</v>
      </c>
      <c r="K82" s="530" t="s">
        <v>1721</v>
      </c>
      <c r="L82" s="530" t="s">
        <v>1722</v>
      </c>
      <c r="M82" s="530" t="s">
        <v>1723</v>
      </c>
      <c r="N82" s="530" t="s">
        <v>1724</v>
      </c>
      <c r="Z82" s="1845"/>
      <c r="AA82" s="1895"/>
      <c r="AG82" s="1058"/>
      <c r="AK82" s="1895"/>
    </row>
    <row r="83" spans="1:37" ht="38.25">
      <c r="A83" s="1970" t="s">
        <v>2069</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2052</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2066</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2058</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2059</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2056</v>
      </c>
      <c r="B89" s="1975" t="s">
        <v>2070</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2071</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3" t="s">
        <v>3294</v>
      </c>
      <c r="B103" s="3463"/>
      <c r="C103" s="3463"/>
      <c r="D103" s="3463"/>
      <c r="E103" s="3463"/>
      <c r="F103" s="3463"/>
      <c r="G103" s="3463"/>
      <c r="H103" s="3463"/>
      <c r="I103" s="3463"/>
      <c r="J103" s="3463"/>
      <c r="K103" s="1667"/>
      <c r="L103" s="1667"/>
      <c r="M103" s="1667"/>
      <c r="N103" s="1667"/>
    </row>
    <row r="104" spans="1:14">
      <c r="A104" s="3464" t="s">
        <v>3295</v>
      </c>
      <c r="B104" s="3464" t="s">
        <v>3296</v>
      </c>
      <c r="C104" s="3091" t="s">
        <v>3297</v>
      </c>
      <c r="D104" s="3092"/>
      <c r="E104" s="3092"/>
      <c r="F104" s="3092"/>
      <c r="G104" s="3092"/>
      <c r="H104" s="3092"/>
      <c r="I104" s="3092"/>
      <c r="J104" s="3093"/>
      <c r="K104" s="3094"/>
      <c r="L104" s="3094"/>
      <c r="M104" s="3094"/>
      <c r="N104" s="3094"/>
    </row>
    <row r="105" spans="1:14">
      <c r="A105" s="3464"/>
      <c r="B105" s="346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5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1"/>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3" t="s">
        <v>3311</v>
      </c>
      <c r="B113" s="3453"/>
      <c r="C113" s="3453"/>
      <c r="D113" s="3453"/>
      <c r="E113" s="3453"/>
      <c r="F113" s="3453"/>
      <c r="G113" s="3453"/>
      <c r="H113" s="3453"/>
      <c r="I113" s="3453"/>
      <c r="J113" s="345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0</v>
      </c>
      <c r="C116" s="3100" t="s">
        <v>3313</v>
      </c>
      <c r="D116" s="3101">
        <f>SUMPRODUCT((A118:A122=F116)*(B117:M117=H116)*B118:M122)</f>
        <v>0</v>
      </c>
      <c r="E116" s="162" t="s">
        <v>3314</v>
      </c>
      <c r="F116" s="3102">
        <f>E2</f>
        <v>0</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3329</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3330</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3331</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6" t="s">
        <v>2607</v>
      </c>
      <c r="B20" s="3469" t="s">
        <v>2628</v>
      </c>
      <c r="C20" s="2843" t="s">
        <v>2439</v>
      </c>
      <c r="D20" s="2844"/>
      <c r="E20" s="2845">
        <v>1</v>
      </c>
      <c r="F20" s="2846" t="s">
        <v>2440</v>
      </c>
      <c r="G20" s="2846"/>
    </row>
    <row r="21" spans="1:13" ht="19.5" customHeight="1">
      <c r="A21" s="3477"/>
      <c r="B21" s="3470"/>
      <c r="C21" s="2847" t="s">
        <v>2441</v>
      </c>
      <c r="D21" s="2848"/>
      <c r="E21" s="2849">
        <v>1</v>
      </c>
      <c r="F21" s="2846" t="s">
        <v>2442</v>
      </c>
      <c r="G21" s="2846"/>
    </row>
    <row r="22" spans="1:13" ht="19.5" customHeight="1">
      <c r="A22" s="3477"/>
      <c r="B22" s="3470"/>
      <c r="C22" s="2847" t="s">
        <v>2443</v>
      </c>
      <c r="D22" s="2848"/>
      <c r="E22" s="2849">
        <v>0.9</v>
      </c>
      <c r="F22" s="2846" t="s">
        <v>2444</v>
      </c>
      <c r="G22" s="2846"/>
    </row>
    <row r="23" spans="1:13" ht="19.5" customHeight="1">
      <c r="A23" s="3477"/>
      <c r="B23" s="3470"/>
      <c r="C23" s="2847" t="s">
        <v>2445</v>
      </c>
      <c r="D23" s="2848"/>
      <c r="E23" s="2849">
        <v>0.9</v>
      </c>
      <c r="F23" s="2846" t="s">
        <v>2446</v>
      </c>
      <c r="G23" s="2846"/>
    </row>
    <row r="24" spans="1:13" ht="19.5" customHeight="1">
      <c r="A24" s="3477"/>
      <c r="B24" s="3470"/>
      <c r="C24" s="2847" t="s">
        <v>2447</v>
      </c>
      <c r="D24" s="2848"/>
      <c r="E24" s="2849">
        <v>0.8</v>
      </c>
      <c r="F24" s="2846" t="s">
        <v>2448</v>
      </c>
      <c r="G24" s="2846"/>
    </row>
    <row r="25" spans="1:13" ht="19.5" customHeight="1" thickBot="1">
      <c r="A25" s="3478"/>
      <c r="B25" s="3471"/>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2" t="s">
        <v>2631</v>
      </c>
      <c r="B27" s="3469" t="s">
        <v>2612</v>
      </c>
      <c r="C27" s="2843" t="s">
        <v>2452</v>
      </c>
      <c r="D27" s="2844"/>
      <c r="E27" s="2845">
        <v>1</v>
      </c>
      <c r="F27" s="2846" t="s">
        <v>2453</v>
      </c>
      <c r="G27" s="2846"/>
    </row>
    <row r="28" spans="1:13" ht="19.5" customHeight="1">
      <c r="A28" s="3473"/>
      <c r="B28" s="3470"/>
      <c r="C28" s="2847" t="s">
        <v>2454</v>
      </c>
      <c r="D28" s="2848"/>
      <c r="E28" s="2849">
        <v>1</v>
      </c>
      <c r="F28" s="2846" t="s">
        <v>2455</v>
      </c>
      <c r="G28" s="2846"/>
    </row>
    <row r="29" spans="1:13" ht="19.5" customHeight="1">
      <c r="A29" s="3473"/>
      <c r="B29" s="3470"/>
      <c r="C29" s="2847" t="s">
        <v>2456</v>
      </c>
      <c r="D29" s="2848"/>
      <c r="E29" s="2849">
        <v>0.8</v>
      </c>
      <c r="F29" s="2846" t="s">
        <v>2457</v>
      </c>
      <c r="G29" s="2846"/>
    </row>
    <row r="30" spans="1:13" ht="19.5" customHeight="1">
      <c r="A30" s="3473"/>
      <c r="B30" s="3470"/>
      <c r="C30" s="2847" t="s">
        <v>2458</v>
      </c>
      <c r="D30" s="2848"/>
      <c r="E30" s="2849">
        <v>0.8</v>
      </c>
      <c r="F30" s="2846" t="s">
        <v>2459</v>
      </c>
      <c r="G30" s="2846"/>
    </row>
    <row r="31" spans="1:13" ht="19.5" customHeight="1">
      <c r="A31" s="3473"/>
      <c r="B31" s="3470"/>
      <c r="C31" s="2847" t="s">
        <v>2460</v>
      </c>
      <c r="D31" s="2848"/>
      <c r="E31" s="2849">
        <v>0.8</v>
      </c>
      <c r="F31" s="2846" t="s">
        <v>2461</v>
      </c>
      <c r="G31" s="2846"/>
    </row>
    <row r="32" spans="1:13" ht="19.5" customHeight="1">
      <c r="A32" s="3473"/>
      <c r="B32" s="3470"/>
      <c r="C32" s="2847" t="s">
        <v>2462</v>
      </c>
      <c r="D32" s="2848"/>
      <c r="E32" s="2849">
        <v>0.7</v>
      </c>
      <c r="F32" s="2846" t="s">
        <v>2463</v>
      </c>
      <c r="G32" s="2846"/>
    </row>
    <row r="33" spans="1:7" ht="19.5" customHeight="1">
      <c r="A33" s="3473"/>
      <c r="B33" s="3470"/>
      <c r="C33" s="2847" t="s">
        <v>2464</v>
      </c>
      <c r="D33" s="2848"/>
      <c r="E33" s="2849">
        <v>0.8</v>
      </c>
      <c r="F33" s="2846" t="s">
        <v>2465</v>
      </c>
      <c r="G33" s="2846"/>
    </row>
    <row r="34" spans="1:7" ht="19.5" customHeight="1">
      <c r="A34" s="3473"/>
      <c r="B34" s="3470"/>
      <c r="C34" s="2847" t="s">
        <v>2466</v>
      </c>
      <c r="D34" s="2848"/>
      <c r="E34" s="2849">
        <v>0.6</v>
      </c>
      <c r="F34" s="2846" t="s">
        <v>2467</v>
      </c>
      <c r="G34" s="2846"/>
    </row>
    <row r="35" spans="1:7" ht="19.5" customHeight="1">
      <c r="A35" s="3473"/>
      <c r="B35" s="3470"/>
      <c r="C35" s="2847" t="s">
        <v>2468</v>
      </c>
      <c r="D35" s="2848"/>
      <c r="E35" s="2849">
        <v>0.2</v>
      </c>
      <c r="F35" s="2846" t="s">
        <v>2469</v>
      </c>
      <c r="G35" s="2846"/>
    </row>
    <row r="36" spans="1:7" ht="19.5" customHeight="1">
      <c r="A36" s="3473"/>
      <c r="B36" s="3470"/>
      <c r="C36" s="2847" t="s">
        <v>2470</v>
      </c>
      <c r="D36" s="2848"/>
      <c r="E36" s="2849">
        <v>0.2</v>
      </c>
      <c r="F36" s="2846" t="s">
        <v>2471</v>
      </c>
      <c r="G36" s="2846"/>
    </row>
    <row r="37" spans="1:7" ht="19.5" customHeight="1">
      <c r="A37" s="3473"/>
      <c r="B37" s="3475" t="s">
        <v>2632</v>
      </c>
      <c r="C37" s="2847" t="s">
        <v>2472</v>
      </c>
      <c r="D37" s="2848"/>
      <c r="E37" s="2849">
        <v>0.6</v>
      </c>
      <c r="F37" s="2846" t="s">
        <v>2473</v>
      </c>
      <c r="G37" s="2846"/>
    </row>
    <row r="38" spans="1:7" ht="19.5" customHeight="1">
      <c r="A38" s="3473"/>
      <c r="B38" s="3470"/>
      <c r="C38" s="2847" t="s">
        <v>2474</v>
      </c>
      <c r="D38" s="2848"/>
      <c r="E38" s="2849">
        <v>0.6</v>
      </c>
      <c r="F38" s="2846" t="s">
        <v>2475</v>
      </c>
      <c r="G38" s="2846"/>
    </row>
    <row r="39" spans="1:7" ht="19.5" customHeight="1" thickBot="1">
      <c r="A39" s="3474"/>
      <c r="B39" s="3471"/>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6" t="s">
        <v>2610</v>
      </c>
      <c r="B41" s="3469" t="s">
        <v>2634</v>
      </c>
      <c r="C41" s="2843" t="s">
        <v>2479</v>
      </c>
      <c r="D41" s="2844"/>
      <c r="E41" s="2845">
        <v>1</v>
      </c>
      <c r="F41" s="2846" t="s">
        <v>2480</v>
      </c>
      <c r="G41" s="2846"/>
    </row>
    <row r="42" spans="1:7" ht="19.5" customHeight="1">
      <c r="A42" s="3477"/>
      <c r="B42" s="3470"/>
      <c r="C42" s="2847" t="s">
        <v>2481</v>
      </c>
      <c r="D42" s="2848"/>
      <c r="E42" s="2849">
        <v>1</v>
      </c>
      <c r="F42" s="2846" t="s">
        <v>2482</v>
      </c>
      <c r="G42" s="2846"/>
    </row>
    <row r="43" spans="1:7" ht="19.5" customHeight="1">
      <c r="A43" s="3477"/>
      <c r="B43" s="3479"/>
      <c r="C43" s="2847" t="s">
        <v>2483</v>
      </c>
      <c r="D43" s="2848"/>
      <c r="E43" s="2849">
        <v>1.5</v>
      </c>
      <c r="F43" s="2846" t="s">
        <v>2484</v>
      </c>
      <c r="G43" s="2846"/>
    </row>
    <row r="44" spans="1:7" ht="19.5" customHeight="1">
      <c r="A44" s="3477"/>
      <c r="B44" s="2858" t="s">
        <v>2635</v>
      </c>
      <c r="C44" s="2847" t="s">
        <v>2636</v>
      </c>
      <c r="D44" s="2848"/>
      <c r="E44" s="2849">
        <v>2</v>
      </c>
      <c r="F44" s="2846" t="s">
        <v>2485</v>
      </c>
      <c r="G44" s="2846"/>
    </row>
    <row r="45" spans="1:7" ht="19.5" customHeight="1">
      <c r="A45" s="3477"/>
      <c r="B45" s="3475" t="s">
        <v>2637</v>
      </c>
      <c r="C45" s="2847" t="s">
        <v>2486</v>
      </c>
      <c r="D45" s="2848"/>
      <c r="E45" s="2849">
        <v>1</v>
      </c>
      <c r="F45" s="2846" t="s">
        <v>2487</v>
      </c>
      <c r="G45" s="2846"/>
    </row>
    <row r="46" spans="1:7" ht="19.5" customHeight="1">
      <c r="A46" s="3477"/>
      <c r="B46" s="3470"/>
      <c r="C46" s="2847" t="s">
        <v>2488</v>
      </c>
      <c r="D46" s="2848"/>
      <c r="E46" s="2849">
        <v>1</v>
      </c>
      <c r="F46" s="2846" t="s">
        <v>2489</v>
      </c>
      <c r="G46" s="2846"/>
    </row>
    <row r="47" spans="1:7" ht="19.5" customHeight="1">
      <c r="A47" s="3477"/>
      <c r="B47" s="3470"/>
      <c r="C47" s="2847" t="s">
        <v>2490</v>
      </c>
      <c r="D47" s="2848"/>
      <c r="E47" s="2849">
        <v>1</v>
      </c>
      <c r="F47" s="2846" t="s">
        <v>2491</v>
      </c>
      <c r="G47" s="2846"/>
    </row>
    <row r="48" spans="1:7" ht="19.5" customHeight="1">
      <c r="A48" s="3477"/>
      <c r="B48" s="3470"/>
      <c r="C48" s="2847" t="s">
        <v>2492</v>
      </c>
      <c r="D48" s="2848"/>
      <c r="E48" s="2849">
        <v>1</v>
      </c>
      <c r="F48" s="2846" t="s">
        <v>2493</v>
      </c>
      <c r="G48" s="2846"/>
    </row>
    <row r="49" spans="1:7" ht="19.5" customHeight="1">
      <c r="A49" s="3477"/>
      <c r="B49" s="3470"/>
      <c r="C49" s="2847" t="s">
        <v>2494</v>
      </c>
      <c r="D49" s="2848"/>
      <c r="E49" s="2849">
        <v>1</v>
      </c>
      <c r="F49" s="2846" t="s">
        <v>2495</v>
      </c>
      <c r="G49" s="2846"/>
    </row>
    <row r="50" spans="1:7" ht="19.5" customHeight="1">
      <c r="A50" s="3477"/>
      <c r="B50" s="3470"/>
      <c r="C50" s="2847" t="s">
        <v>2496</v>
      </c>
      <c r="D50" s="2848"/>
      <c r="E50" s="2849">
        <v>1</v>
      </c>
      <c r="F50" s="2846" t="s">
        <v>2497</v>
      </c>
      <c r="G50" s="2846"/>
    </row>
    <row r="51" spans="1:7" ht="19.5" customHeight="1" thickBot="1">
      <c r="A51" s="3478"/>
      <c r="B51" s="3471"/>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5" t="s">
        <v>2651</v>
      </c>
      <c r="C73" s="2832" t="s">
        <v>2652</v>
      </c>
      <c r="D73" s="2832" t="s">
        <v>2653</v>
      </c>
      <c r="E73" s="2858">
        <v>0.2</v>
      </c>
      <c r="F73" s="2858">
        <v>25</v>
      </c>
    </row>
    <row r="74" spans="1:7" ht="24">
      <c r="A74" s="2858">
        <v>2</v>
      </c>
      <c r="B74" s="3470"/>
      <c r="C74" s="2832" t="s">
        <v>2654</v>
      </c>
      <c r="D74" s="2832" t="s">
        <v>2655</v>
      </c>
      <c r="E74" s="2858">
        <v>0.2</v>
      </c>
      <c r="F74" s="2858">
        <v>25</v>
      </c>
    </row>
    <row r="75" spans="1:7" ht="24">
      <c r="A75" s="2858">
        <v>3</v>
      </c>
      <c r="B75" s="3470"/>
      <c r="C75" s="2832" t="s">
        <v>2656</v>
      </c>
      <c r="D75" s="2832" t="s">
        <v>2657</v>
      </c>
      <c r="E75" s="2858">
        <v>0.2</v>
      </c>
      <c r="F75" s="2858">
        <v>25</v>
      </c>
    </row>
    <row r="76" spans="1:7" ht="13.5">
      <c r="A76" s="2858">
        <v>4</v>
      </c>
      <c r="B76" s="3470"/>
      <c r="C76" s="2832" t="s">
        <v>2658</v>
      </c>
      <c r="D76" s="2832" t="s">
        <v>2659</v>
      </c>
      <c r="E76" s="2858">
        <v>0.15</v>
      </c>
      <c r="F76" s="2858">
        <v>20</v>
      </c>
    </row>
    <row r="77" spans="1:7" ht="24">
      <c r="A77" s="2858">
        <v>5</v>
      </c>
      <c r="B77" s="3470"/>
      <c r="C77" s="2832" t="s">
        <v>2660</v>
      </c>
      <c r="D77" s="2832" t="s">
        <v>2661</v>
      </c>
      <c r="E77" s="2858">
        <v>0.15</v>
      </c>
      <c r="F77" s="2858">
        <v>20</v>
      </c>
    </row>
    <row r="78" spans="1:7" ht="24">
      <c r="A78" s="2858">
        <v>6</v>
      </c>
      <c r="B78" s="3470"/>
      <c r="C78" s="2832" t="s">
        <v>2662</v>
      </c>
      <c r="D78" s="2832" t="s">
        <v>2663</v>
      </c>
      <c r="E78" s="2858">
        <v>0.15</v>
      </c>
      <c r="F78" s="2858">
        <v>20</v>
      </c>
    </row>
    <row r="79" spans="1:7" ht="24">
      <c r="A79" s="2858">
        <v>7</v>
      </c>
      <c r="B79" s="3470"/>
      <c r="C79" s="2832" t="s">
        <v>2664</v>
      </c>
      <c r="D79" s="2832" t="s">
        <v>2665</v>
      </c>
      <c r="E79" s="2858">
        <v>0.15</v>
      </c>
      <c r="F79" s="2858">
        <v>20</v>
      </c>
    </row>
    <row r="80" spans="1:7" ht="24">
      <c r="A80" s="2858">
        <v>8</v>
      </c>
      <c r="B80" s="3470"/>
      <c r="C80" s="2832" t="s">
        <v>2666</v>
      </c>
      <c r="D80" s="2832" t="s">
        <v>2667</v>
      </c>
      <c r="E80" s="2858">
        <v>0.1</v>
      </c>
      <c r="F80" s="2858">
        <v>15</v>
      </c>
    </row>
    <row r="81" spans="1:6" ht="24">
      <c r="A81" s="2858">
        <v>9</v>
      </c>
      <c r="B81" s="3470"/>
      <c r="C81" s="2832" t="s">
        <v>2668</v>
      </c>
      <c r="D81" s="2832" t="s">
        <v>2669</v>
      </c>
      <c r="E81" s="2858">
        <v>0.1</v>
      </c>
      <c r="F81" s="2858">
        <v>15</v>
      </c>
    </row>
    <row r="82" spans="1:6" ht="24">
      <c r="A82" s="2858">
        <v>10</v>
      </c>
      <c r="B82" s="3470"/>
      <c r="C82" s="2832" t="s">
        <v>2670</v>
      </c>
      <c r="D82" s="2832" t="s">
        <v>2671</v>
      </c>
      <c r="E82" s="2858">
        <v>0.1</v>
      </c>
      <c r="F82" s="2858">
        <v>15</v>
      </c>
    </row>
    <row r="83" spans="1:6" ht="24">
      <c r="A83" s="2858">
        <v>11</v>
      </c>
      <c r="B83" s="3470"/>
      <c r="C83" s="2832" t="s">
        <v>2672</v>
      </c>
      <c r="D83" s="2832" t="s">
        <v>2673</v>
      </c>
      <c r="E83" s="2858">
        <v>0.1</v>
      </c>
      <c r="F83" s="2858">
        <v>15</v>
      </c>
    </row>
    <row r="84" spans="1:6" ht="24">
      <c r="A84" s="2858">
        <v>12</v>
      </c>
      <c r="B84" s="3470"/>
      <c r="C84" s="2832" t="s">
        <v>2674</v>
      </c>
      <c r="D84" s="2832" t="s">
        <v>2675</v>
      </c>
      <c r="E84" s="2858">
        <v>0.1</v>
      </c>
      <c r="F84" s="2858">
        <v>15</v>
      </c>
    </row>
    <row r="85" spans="1:6" ht="13.5">
      <c r="A85" s="2858">
        <v>13</v>
      </c>
      <c r="B85" s="3470"/>
      <c r="C85" s="2832" t="s">
        <v>2676</v>
      </c>
      <c r="D85" s="2832" t="s">
        <v>2677</v>
      </c>
      <c r="E85" s="2858">
        <v>0.1</v>
      </c>
      <c r="F85" s="2858">
        <v>15</v>
      </c>
    </row>
    <row r="86" spans="1:6" ht="13.5">
      <c r="A86" s="2858">
        <v>14</v>
      </c>
      <c r="B86" s="3470"/>
      <c r="C86" s="2832" t="s">
        <v>2678</v>
      </c>
      <c r="D86" s="2832" t="s">
        <v>2679</v>
      </c>
      <c r="E86" s="2858">
        <v>0.1</v>
      </c>
      <c r="F86" s="2858">
        <v>15</v>
      </c>
    </row>
    <row r="87" spans="1:6" ht="13.5">
      <c r="A87" s="2858">
        <v>15</v>
      </c>
      <c r="B87" s="3470"/>
      <c r="C87" s="2832" t="s">
        <v>2680</v>
      </c>
      <c r="D87" s="2832" t="s">
        <v>2681</v>
      </c>
      <c r="E87" s="2858">
        <v>0.1</v>
      </c>
      <c r="F87" s="2858">
        <v>15</v>
      </c>
    </row>
    <row r="88" spans="1:6" ht="24">
      <c r="A88" s="2858">
        <v>16</v>
      </c>
      <c r="B88" s="3470"/>
      <c r="C88" s="2832" t="s">
        <v>2682</v>
      </c>
      <c r="D88" s="2832" t="s">
        <v>2683</v>
      </c>
      <c r="E88" s="2858">
        <v>0.1</v>
      </c>
      <c r="F88" s="2858">
        <v>15</v>
      </c>
    </row>
    <row r="89" spans="1:6" ht="24">
      <c r="A89" s="2858">
        <v>17</v>
      </c>
      <c r="B89" s="3479"/>
      <c r="C89" s="2832" t="s">
        <v>2684</v>
      </c>
      <c r="D89" s="2832" t="s">
        <v>2685</v>
      </c>
      <c r="E89" s="2858">
        <v>0.1</v>
      </c>
      <c r="F89" s="2858">
        <v>15</v>
      </c>
    </row>
    <row r="90" spans="1:6" ht="13.5">
      <c r="A90" s="2858">
        <v>18</v>
      </c>
      <c r="B90" s="3475" t="s">
        <v>2686</v>
      </c>
      <c r="C90" s="2832" t="s">
        <v>2687</v>
      </c>
      <c r="D90" s="2832" t="s">
        <v>2688</v>
      </c>
      <c r="E90" s="2858">
        <v>0.2</v>
      </c>
      <c r="F90" s="2858">
        <v>25</v>
      </c>
    </row>
    <row r="91" spans="1:6" ht="24">
      <c r="A91" s="2858">
        <v>19</v>
      </c>
      <c r="B91" s="3470"/>
      <c r="C91" s="2832" t="s">
        <v>2689</v>
      </c>
      <c r="D91" s="2832" t="s">
        <v>2690</v>
      </c>
      <c r="E91" s="2858">
        <v>0.2</v>
      </c>
      <c r="F91" s="2858">
        <v>25</v>
      </c>
    </row>
    <row r="92" spans="1:6" ht="13.5">
      <c r="A92" s="2858">
        <v>20</v>
      </c>
      <c r="B92" s="3470"/>
      <c r="C92" s="2832" t="s">
        <v>2691</v>
      </c>
      <c r="D92" s="2832" t="s">
        <v>2692</v>
      </c>
      <c r="E92" s="2858">
        <v>0.15</v>
      </c>
      <c r="F92" s="2858">
        <v>20</v>
      </c>
    </row>
    <row r="93" spans="1:6" ht="13.5">
      <c r="A93" s="2858">
        <v>21</v>
      </c>
      <c r="B93" s="3470"/>
      <c r="C93" s="2832" t="s">
        <v>2693</v>
      </c>
      <c r="D93" s="2832" t="s">
        <v>2694</v>
      </c>
      <c r="E93" s="2858">
        <v>0.15</v>
      </c>
      <c r="F93" s="2858">
        <v>20</v>
      </c>
    </row>
    <row r="94" spans="1:6" ht="13.5">
      <c r="A94" s="2858">
        <v>22</v>
      </c>
      <c r="B94" s="3470"/>
      <c r="C94" s="2832" t="s">
        <v>2695</v>
      </c>
      <c r="D94" s="2832" t="s">
        <v>2696</v>
      </c>
      <c r="E94" s="2858">
        <v>0.15</v>
      </c>
      <c r="F94" s="2858">
        <v>20</v>
      </c>
    </row>
    <row r="95" spans="1:6" ht="36">
      <c r="A95" s="2858">
        <v>23</v>
      </c>
      <c r="B95" s="3470"/>
      <c r="C95" s="2832" t="s">
        <v>2697</v>
      </c>
      <c r="D95" s="2832" t="s">
        <v>2698</v>
      </c>
      <c r="E95" s="2858">
        <v>0.15</v>
      </c>
      <c r="F95" s="2858">
        <v>20</v>
      </c>
    </row>
    <row r="96" spans="1:6" ht="13.5">
      <c r="A96" s="2858">
        <v>24</v>
      </c>
      <c r="B96" s="3470"/>
      <c r="C96" s="2832" t="s">
        <v>2699</v>
      </c>
      <c r="D96" s="2832" t="s">
        <v>2700</v>
      </c>
      <c r="E96" s="2858">
        <v>0.1</v>
      </c>
      <c r="F96" s="2858">
        <v>15</v>
      </c>
    </row>
    <row r="97" spans="1:6" ht="13.5">
      <c r="A97" s="2858">
        <v>25</v>
      </c>
      <c r="B97" s="3470"/>
      <c r="C97" s="2832" t="s">
        <v>2701</v>
      </c>
      <c r="D97" s="2832" t="s">
        <v>2702</v>
      </c>
      <c r="E97" s="2858">
        <v>0.1</v>
      </c>
      <c r="F97" s="2858">
        <v>15</v>
      </c>
    </row>
    <row r="98" spans="1:6" ht="24">
      <c r="A98" s="2858">
        <v>26</v>
      </c>
      <c r="B98" s="3470"/>
      <c r="C98" s="2832" t="s">
        <v>2703</v>
      </c>
      <c r="D98" s="2832" t="s">
        <v>2704</v>
      </c>
      <c r="E98" s="2858">
        <v>0.1</v>
      </c>
      <c r="F98" s="2858">
        <v>15</v>
      </c>
    </row>
    <row r="99" spans="1:6" ht="24">
      <c r="A99" s="2858">
        <v>27</v>
      </c>
      <c r="B99" s="3470"/>
      <c r="C99" s="2832" t="s">
        <v>2705</v>
      </c>
      <c r="D99" s="2832" t="s">
        <v>2706</v>
      </c>
      <c r="E99" s="2858">
        <v>0.1</v>
      </c>
      <c r="F99" s="2858">
        <v>15</v>
      </c>
    </row>
    <row r="100" spans="1:6" ht="13.5">
      <c r="A100" s="2858">
        <v>28</v>
      </c>
      <c r="B100" s="3470"/>
      <c r="C100" s="2832" t="s">
        <v>2707</v>
      </c>
      <c r="D100" s="2832" t="s">
        <v>2708</v>
      </c>
      <c r="E100" s="2858">
        <v>0.1</v>
      </c>
      <c r="F100" s="2858">
        <v>15</v>
      </c>
    </row>
    <row r="101" spans="1:6" ht="13.5">
      <c r="A101" s="2858">
        <v>29</v>
      </c>
      <c r="B101" s="3470"/>
      <c r="C101" s="2832" t="s">
        <v>2709</v>
      </c>
      <c r="D101" s="2832" t="s">
        <v>2710</v>
      </c>
      <c r="E101" s="2858">
        <v>0.1</v>
      </c>
      <c r="F101" s="2858">
        <v>15</v>
      </c>
    </row>
    <row r="102" spans="1:6" ht="13.5">
      <c r="A102" s="2858">
        <v>30</v>
      </c>
      <c r="B102" s="3470"/>
      <c r="C102" s="2832" t="s">
        <v>2711</v>
      </c>
      <c r="D102" s="2832" t="s">
        <v>2712</v>
      </c>
      <c r="E102" s="2858">
        <v>0.1</v>
      </c>
      <c r="F102" s="2858">
        <v>15</v>
      </c>
    </row>
    <row r="103" spans="1:6" ht="24">
      <c r="A103" s="2858">
        <v>31</v>
      </c>
      <c r="B103" s="3470"/>
      <c r="C103" s="2832" t="s">
        <v>2713</v>
      </c>
      <c r="D103" s="2832" t="s">
        <v>2714</v>
      </c>
      <c r="E103" s="2858">
        <v>0.1</v>
      </c>
      <c r="F103" s="2858">
        <v>15</v>
      </c>
    </row>
    <row r="104" spans="1:6" ht="24">
      <c r="A104" s="2858">
        <v>32</v>
      </c>
      <c r="B104" s="3470"/>
      <c r="C104" s="2832" t="s">
        <v>2715</v>
      </c>
      <c r="D104" s="2832" t="s">
        <v>2716</v>
      </c>
      <c r="E104" s="2858">
        <v>0.1</v>
      </c>
      <c r="F104" s="2858">
        <v>15</v>
      </c>
    </row>
    <row r="105" spans="1:6" ht="24">
      <c r="A105" s="2858">
        <v>33</v>
      </c>
      <c r="B105" s="3470"/>
      <c r="C105" s="2832" t="s">
        <v>2717</v>
      </c>
      <c r="D105" s="2832" t="s">
        <v>2718</v>
      </c>
      <c r="E105" s="2858">
        <v>0.1</v>
      </c>
      <c r="F105" s="2858">
        <v>15</v>
      </c>
    </row>
    <row r="106" spans="1:6" ht="24">
      <c r="A106" s="2858">
        <v>34</v>
      </c>
      <c r="B106" s="3479"/>
      <c r="C106" s="2832" t="s">
        <v>2719</v>
      </c>
      <c r="D106" s="2832" t="s">
        <v>2720</v>
      </c>
      <c r="E106" s="2858">
        <v>0.1</v>
      </c>
      <c r="F106" s="2858">
        <v>15</v>
      </c>
    </row>
    <row r="107" spans="1:6" ht="24">
      <c r="A107" s="2858">
        <v>35</v>
      </c>
      <c r="B107" s="3475" t="s">
        <v>2721</v>
      </c>
      <c r="C107" s="2858" t="s">
        <v>2722</v>
      </c>
      <c r="D107" s="2832" t="s">
        <v>2723</v>
      </c>
      <c r="E107" s="2858">
        <v>0.15</v>
      </c>
      <c r="F107" s="2858">
        <v>20</v>
      </c>
    </row>
    <row r="108" spans="1:6" ht="13.5">
      <c r="A108" s="2858">
        <v>36</v>
      </c>
      <c r="B108" s="3470"/>
      <c r="C108" s="2858" t="s">
        <v>2724</v>
      </c>
      <c r="D108" s="2832" t="s">
        <v>2725</v>
      </c>
      <c r="E108" s="2858">
        <v>0.15</v>
      </c>
      <c r="F108" s="2858">
        <v>20</v>
      </c>
    </row>
    <row r="109" spans="1:6" ht="13.5">
      <c r="A109" s="2858">
        <v>37</v>
      </c>
      <c r="B109" s="3470"/>
      <c r="C109" s="2858" t="s">
        <v>2726</v>
      </c>
      <c r="D109" s="2832" t="s">
        <v>2727</v>
      </c>
      <c r="E109" s="2858">
        <v>0.15</v>
      </c>
      <c r="F109" s="2858">
        <v>20</v>
      </c>
    </row>
    <row r="110" spans="1:6" ht="13.5">
      <c r="A110" s="2858">
        <v>38</v>
      </c>
      <c r="B110" s="3470"/>
      <c r="C110" s="2858" t="s">
        <v>2728</v>
      </c>
      <c r="D110" s="2832" t="s">
        <v>2729</v>
      </c>
      <c r="E110" s="2858">
        <v>0.1</v>
      </c>
      <c r="F110" s="2858">
        <v>15</v>
      </c>
    </row>
    <row r="111" spans="1:6" ht="24">
      <c r="A111" s="2858">
        <v>39</v>
      </c>
      <c r="B111" s="3470"/>
      <c r="C111" s="2858" t="s">
        <v>2730</v>
      </c>
      <c r="D111" s="2832" t="s">
        <v>2731</v>
      </c>
      <c r="E111" s="2858">
        <v>0.1</v>
      </c>
      <c r="F111" s="2858">
        <v>15</v>
      </c>
    </row>
    <row r="112" spans="1:6" ht="24">
      <c r="A112" s="2858">
        <v>40</v>
      </c>
      <c r="B112" s="3479"/>
      <c r="C112" s="2858" t="s">
        <v>2732</v>
      </c>
      <c r="D112" s="2832" t="s">
        <v>2733</v>
      </c>
      <c r="E112" s="2858">
        <v>0.1</v>
      </c>
      <c r="F112" s="2858">
        <v>15</v>
      </c>
    </row>
    <row r="113" spans="1:6" ht="13.5">
      <c r="A113" s="2858">
        <v>41</v>
      </c>
      <c r="B113" s="3480" t="s">
        <v>2734</v>
      </c>
      <c r="C113" s="2858" t="s">
        <v>2735</v>
      </c>
      <c r="D113" s="2832" t="s">
        <v>2736</v>
      </c>
      <c r="E113" s="2858">
        <v>0.1</v>
      </c>
      <c r="F113" s="2858">
        <v>15</v>
      </c>
    </row>
    <row r="114" spans="1:6" ht="13.5">
      <c r="A114" s="2858">
        <v>42</v>
      </c>
      <c r="B114" s="3480"/>
      <c r="C114" s="2858" t="s">
        <v>2737</v>
      </c>
      <c r="D114" s="2832" t="s">
        <v>2738</v>
      </c>
      <c r="E114" s="2858">
        <v>0.1</v>
      </c>
      <c r="F114" s="2858">
        <v>15</v>
      </c>
    </row>
    <row r="115" spans="1:6" ht="24">
      <c r="A115" s="2858">
        <v>43</v>
      </c>
      <c r="B115" s="3480"/>
      <c r="C115" s="2858" t="s">
        <v>2739</v>
      </c>
      <c r="D115" s="2832" t="s">
        <v>2740</v>
      </c>
      <c r="E115" s="2858">
        <v>0.1</v>
      </c>
      <c r="F115" s="2858">
        <v>15</v>
      </c>
    </row>
    <row r="116" spans="1:6" ht="13.5">
      <c r="A116" s="2858">
        <v>44</v>
      </c>
      <c r="B116" s="3475" t="s">
        <v>2741</v>
      </c>
      <c r="C116" s="2858" t="s">
        <v>2742</v>
      </c>
      <c r="D116" s="2832" t="s">
        <v>2743</v>
      </c>
      <c r="E116" s="2858">
        <v>0.1</v>
      </c>
      <c r="F116" s="2858">
        <v>15</v>
      </c>
    </row>
    <row r="117" spans="1:6" ht="24">
      <c r="A117" s="2858">
        <v>45</v>
      </c>
      <c r="B117" s="3479"/>
      <c r="C117" s="2832" t="s">
        <v>2744</v>
      </c>
      <c r="D117" s="2832" t="s">
        <v>2745</v>
      </c>
      <c r="E117" s="2858">
        <v>0.1</v>
      </c>
      <c r="F117" s="2858">
        <v>15</v>
      </c>
    </row>
    <row r="118" spans="1:6" ht="24">
      <c r="A118" s="2858">
        <v>46</v>
      </c>
      <c r="B118" s="3475" t="s">
        <v>2746</v>
      </c>
      <c r="C118" s="2858" t="s">
        <v>2747</v>
      </c>
      <c r="D118" s="2832" t="s">
        <v>2748</v>
      </c>
      <c r="E118" s="2858">
        <v>0.1</v>
      </c>
      <c r="F118" s="2858">
        <v>15</v>
      </c>
    </row>
    <row r="119" spans="1:6" ht="24">
      <c r="A119" s="2858">
        <v>47</v>
      </c>
      <c r="B119" s="3479"/>
      <c r="C119" s="2858" t="s">
        <v>2749</v>
      </c>
      <c r="D119" s="2832" t="s">
        <v>2750</v>
      </c>
      <c r="E119" s="2858">
        <v>0.1</v>
      </c>
      <c r="F119" s="2858">
        <v>15</v>
      </c>
    </row>
    <row r="120" spans="1:6" ht="13.5">
      <c r="A120" s="2858">
        <v>48</v>
      </c>
      <c r="B120" s="3475" t="s">
        <v>2751</v>
      </c>
      <c r="C120" s="2858" t="s">
        <v>2752</v>
      </c>
      <c r="D120" s="2832" t="s">
        <v>2753</v>
      </c>
      <c r="E120" s="2858">
        <v>0.1</v>
      </c>
      <c r="F120" s="2858">
        <v>15</v>
      </c>
    </row>
    <row r="121" spans="1:6" ht="13.5">
      <c r="A121" s="2858">
        <v>49</v>
      </c>
      <c r="B121" s="3479"/>
      <c r="C121" s="2858" t="s">
        <v>2754</v>
      </c>
      <c r="D121" s="2832" t="s">
        <v>2755</v>
      </c>
      <c r="E121" s="2858">
        <v>0.1</v>
      </c>
      <c r="F121" s="2858">
        <v>15</v>
      </c>
    </row>
    <row r="122" spans="1:6" ht="24">
      <c r="A122" s="2858">
        <v>50</v>
      </c>
      <c r="B122" s="3480" t="s">
        <v>2756</v>
      </c>
      <c r="C122" s="2858" t="s">
        <v>2757</v>
      </c>
      <c r="D122" s="2832" t="s">
        <v>2758</v>
      </c>
      <c r="E122" s="2858">
        <v>0.1</v>
      </c>
      <c r="F122" s="2858">
        <v>15</v>
      </c>
    </row>
    <row r="123" spans="1:6" ht="24">
      <c r="A123" s="2858">
        <v>51</v>
      </c>
      <c r="B123" s="3480"/>
      <c r="C123" s="2858" t="s">
        <v>2759</v>
      </c>
      <c r="D123" s="2832" t="s">
        <v>2760</v>
      </c>
      <c r="E123" s="2858">
        <v>0.1</v>
      </c>
      <c r="F123" s="2858">
        <v>15</v>
      </c>
    </row>
    <row r="124" spans="1:6" ht="24">
      <c r="A124" s="2858">
        <v>52</v>
      </c>
      <c r="B124" s="3480" t="s">
        <v>2761</v>
      </c>
      <c r="C124" s="2858" t="s">
        <v>2762</v>
      </c>
      <c r="D124" s="2832" t="s">
        <v>2763</v>
      </c>
      <c r="E124" s="2858">
        <v>0.1</v>
      </c>
      <c r="F124" s="2858">
        <v>15</v>
      </c>
    </row>
    <row r="125" spans="1:6" ht="24">
      <c r="A125" s="2858">
        <v>53</v>
      </c>
      <c r="B125" s="3480"/>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80" t="s">
        <v>2769</v>
      </c>
      <c r="C127" s="2858" t="s">
        <v>2770</v>
      </c>
      <c r="D127" s="2832" t="s">
        <v>2771</v>
      </c>
      <c r="E127" s="2858">
        <v>0.1</v>
      </c>
      <c r="F127" s="2858">
        <v>15</v>
      </c>
    </row>
    <row r="128" spans="1:6" ht="13.5">
      <c r="A128" s="2858">
        <v>56</v>
      </c>
      <c r="B128" s="3480"/>
      <c r="C128" s="2858" t="s">
        <v>2772</v>
      </c>
      <c r="D128" s="2832" t="s">
        <v>2773</v>
      </c>
      <c r="E128" s="2858">
        <v>0.1</v>
      </c>
      <c r="F128" s="2858">
        <v>15</v>
      </c>
    </row>
    <row r="129" spans="1:6" ht="24">
      <c r="A129" s="2858">
        <v>57</v>
      </c>
      <c r="B129" s="3480"/>
      <c r="C129" s="2858" t="s">
        <v>2774</v>
      </c>
      <c r="D129" s="2832" t="s">
        <v>2775</v>
      </c>
      <c r="E129" s="2858">
        <v>0.1</v>
      </c>
      <c r="F129" s="2858">
        <v>15</v>
      </c>
    </row>
    <row r="130" spans="1:6" ht="24">
      <c r="A130" s="2858">
        <v>58</v>
      </c>
      <c r="B130" s="3480" t="s">
        <v>2776</v>
      </c>
      <c r="C130" s="2858" t="s">
        <v>2777</v>
      </c>
      <c r="D130" s="2832" t="s">
        <v>2778</v>
      </c>
      <c r="E130" s="2858">
        <v>0.1</v>
      </c>
      <c r="F130" s="2858">
        <v>15</v>
      </c>
    </row>
    <row r="131" spans="1:6" ht="13.5">
      <c r="A131" s="2858">
        <v>59</v>
      </c>
      <c r="B131" s="3480"/>
      <c r="C131" s="2858" t="s">
        <v>2779</v>
      </c>
      <c r="D131" s="2832" t="s">
        <v>2780</v>
      </c>
      <c r="E131" s="2858">
        <v>0.1</v>
      </c>
      <c r="F131" s="2858">
        <v>15</v>
      </c>
    </row>
    <row r="132" spans="1:6" ht="13.5">
      <c r="A132" s="2858">
        <v>60</v>
      </c>
      <c r="B132" s="3475" t="s">
        <v>2781</v>
      </c>
      <c r="C132" s="2858" t="s">
        <v>2782</v>
      </c>
      <c r="D132" s="2832" t="s">
        <v>2783</v>
      </c>
      <c r="E132" s="2858">
        <v>0.1</v>
      </c>
      <c r="F132" s="2858">
        <v>15</v>
      </c>
    </row>
    <row r="133" spans="1:6" ht="13.5">
      <c r="A133" s="2858">
        <v>61</v>
      </c>
      <c r="B133" s="3479"/>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80" t="s">
        <v>2789</v>
      </c>
      <c r="C135" s="2858" t="s">
        <v>2790</v>
      </c>
      <c r="D135" s="2832" t="s">
        <v>2791</v>
      </c>
      <c r="E135" s="2858">
        <v>0.1</v>
      </c>
      <c r="F135" s="2858">
        <v>15</v>
      </c>
    </row>
    <row r="136" spans="1:6" ht="13.5">
      <c r="A136" s="2858">
        <v>64</v>
      </c>
      <c r="B136" s="3480"/>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426</v>
      </c>
    </row>
    <row r="6" spans="1:5" ht="15.75">
      <c r="B6" s="3165"/>
      <c r="C6" s="1392" t="s">
        <v>911</v>
      </c>
      <c r="D6" s="797" t="str">
        <f ca="1">NUMBERSTRING(INT(D5*10000),2)&amp;"元整"</f>
        <v>肆佰贰拾陆万元整</v>
      </c>
    </row>
    <row r="7" spans="1:5" ht="15.75">
      <c r="B7" s="3170"/>
      <c r="C7" s="1393" t="s">
        <v>912</v>
      </c>
      <c r="D7" s="798">
        <f ca="1">结果表!H102</f>
        <v>3226</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v>
      </c>
      <c r="C13" s="1397" t="s">
        <v>910</v>
      </c>
      <c r="D13" s="800" t="str">
        <f>结果表!H107</f>
        <v>——</v>
      </c>
    </row>
    <row r="14" spans="1:5" ht="15.75">
      <c r="B14" s="3165"/>
      <c r="C14" s="1392" t="s">
        <v>911</v>
      </c>
      <c r="D14" s="797" t="e">
        <f>NUMBERSTRING(INT(D13*10000),2)&amp;"元整"</f>
        <v>#VALUE!</v>
      </c>
    </row>
    <row r="15" spans="1:5" ht="15">
      <c r="B15" s="3170"/>
      <c r="C15" s="1393" t="s">
        <v>921</v>
      </c>
      <c r="D15" s="806" t="e">
        <f ca="1">结果表!H108</f>
        <v>#VALUE!</v>
      </c>
    </row>
    <row r="16" spans="1:5" ht="15">
      <c r="B16" s="3171" t="str">
        <f>结果表!E109</f>
        <v>3.抵押担保权已注销时的房地产抵押价值</v>
      </c>
      <c r="C16" s="1397" t="s">
        <v>922</v>
      </c>
      <c r="D16" s="1398">
        <f ca="1">结果表!H109</f>
        <v>426</v>
      </c>
    </row>
    <row r="17" spans="1:5" ht="15.75">
      <c r="B17" s="3172"/>
      <c r="C17" s="1392" t="s">
        <v>923</v>
      </c>
      <c r="D17" s="797" t="str">
        <f ca="1">NUMBERSTRING(INT(D16*10000),2)&amp;"元整"</f>
        <v>肆佰贰拾陆万元整</v>
      </c>
    </row>
    <row r="18" spans="1:5" ht="15">
      <c r="B18" s="3173"/>
      <c r="C18" s="1393" t="s">
        <v>912</v>
      </c>
      <c r="D18" s="806">
        <f ca="1">结果表!H110</f>
        <v>3226</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28575</v>
      </c>
      <c r="C2" s="2" t="s">
        <v>106</v>
      </c>
      <c r="D2" s="191"/>
      <c r="E2" s="191"/>
      <c r="F2" s="191"/>
      <c r="G2" s="191"/>
    </row>
    <row r="3" spans="1:7" s="192" customFormat="1" ht="18" customHeight="1" thickBot="1">
      <c r="A3" s="195" t="s">
        <v>58</v>
      </c>
      <c r="B3" s="196">
        <f ca="1">ROUND(B2*10000/'数据-汇总表'!E3,0)</f>
        <v>216367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26</v>
      </c>
      <c r="D10" s="795">
        <f>'数据-汇总表'!E6</f>
        <v>1320.6699999999998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26</v>
      </c>
      <c r="D19" s="204">
        <f>'数据-汇总表'!E3</f>
        <v>1320.6699999999998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1420</v>
      </c>
      <c r="D22" s="227">
        <f ca="1">C26</f>
        <v>6.9999999999999999E-4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3157</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3157</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27765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713</v>
      </c>
      <c r="D34" s="209"/>
      <c r="E34" s="212"/>
      <c r="F34" s="249">
        <f>IF('数据-取费表'!B24=0,1,'数据-取费表'!N16)</f>
        <v>1</v>
      </c>
      <c r="G34" s="211" t="s">
        <v>89</v>
      </c>
    </row>
    <row r="35" spans="1:7" ht="13.5" customHeight="1">
      <c r="A35" s="734" t="s">
        <v>351</v>
      </c>
      <c r="B35" s="207" t="s">
        <v>33</v>
      </c>
      <c r="C35" s="212">
        <f>ROUND(C34*F35,0)</f>
        <v>21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26</v>
      </c>
      <c r="D37" s="209">
        <f>'数据-汇总表'!E3</f>
        <v>1320.6699999999998</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27</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26</v>
      </c>
      <c r="D42" s="230"/>
      <c r="E42" s="230"/>
      <c r="F42" s="231"/>
      <c r="G42" s="3345" t="s">
        <v>94</v>
      </c>
    </row>
    <row r="43" spans="1:7" ht="13.5" customHeight="1">
      <c r="A43" s="734" t="s">
        <v>347</v>
      </c>
      <c r="B43" s="207" t="s">
        <v>426</v>
      </c>
      <c r="C43" s="230">
        <f ca="1">ROUND(IF('数据-取费表'!B22&lt;=1,C39*F22*'数据-取费表'!B21/2,C39*(POWER((1+F22),'数据-取费表'!B21/2)-1)),0)</f>
        <v>1</v>
      </c>
      <c r="D43" s="230"/>
      <c r="E43" s="230"/>
      <c r="F43" s="231"/>
      <c r="G43" s="3346"/>
    </row>
    <row r="44" spans="1:7" ht="13.5" customHeight="1">
      <c r="A44" s="734" t="s">
        <v>348</v>
      </c>
      <c r="B44" s="207" t="s">
        <v>428</v>
      </c>
      <c r="C44" s="230">
        <f ca="1">ROUND(IF('数据-取费表'!B22&lt;=1,C40*F22*'数据-取费表'!B21/2,C40*(POWER((1+F22),'数据-取费表'!B21/2)-1)),4)</f>
        <v>6.9999999999999999E-4</v>
      </c>
      <c r="D44" s="230"/>
      <c r="E44" s="230"/>
      <c r="F44" s="231"/>
      <c r="G44" s="3347"/>
    </row>
    <row r="45" spans="1:7" s="206" customFormat="1" ht="13.5" customHeight="1">
      <c r="A45" s="731" t="s">
        <v>341</v>
      </c>
      <c r="B45" s="236" t="s">
        <v>85</v>
      </c>
      <c r="C45" s="237">
        <f>C46</f>
        <v>118</v>
      </c>
      <c r="D45" s="227">
        <f>C47</f>
        <v>3.0000000000000001E-3</v>
      </c>
      <c r="E45" s="228" t="s">
        <v>102</v>
      </c>
      <c r="F45" s="238"/>
      <c r="G45" s="239" t="s">
        <v>434</v>
      </c>
    </row>
    <row r="46" spans="1:7" s="206" customFormat="1" ht="13.5" customHeight="1">
      <c r="A46" s="734" t="s">
        <v>349</v>
      </c>
      <c r="B46" s="240" t="s">
        <v>427</v>
      </c>
      <c r="C46" s="241">
        <f>ROUND((C33+C39)*F27,0)</f>
        <v>118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1012</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810</v>
      </c>
      <c r="D51" s="224"/>
      <c r="E51" s="224"/>
      <c r="F51" s="256"/>
      <c r="G51" s="226" t="s">
        <v>37</v>
      </c>
    </row>
    <row r="52" spans="1:7" s="200" customFormat="1" ht="16.5" thickBot="1">
      <c r="A52" s="257" t="s">
        <v>38</v>
      </c>
      <c r="B52" s="258"/>
      <c r="C52" s="259">
        <f ca="1">C31+C51</f>
        <v>28575</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13" sqref="C13:H14"/>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3" t="s">
        <v>2839</v>
      </c>
      <c r="B1" s="3483"/>
      <c r="C1" s="3483"/>
      <c r="D1" s="3483"/>
      <c r="E1" s="3483"/>
      <c r="F1" s="3483"/>
      <c r="G1" s="348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8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8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5" t="s">
        <v>3181</v>
      </c>
      <c r="B1" s="3485"/>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6" t="s">
        <v>3232</v>
      </c>
      <c r="B1" s="3486"/>
      <c r="C1" s="3486"/>
      <c r="D1" s="3486"/>
      <c r="E1" s="3486"/>
      <c r="F1" s="3487"/>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C13" sqref="C13:H14"/>
    </sheetView>
  </sheetViews>
  <sheetFormatPr defaultRowHeight="13.5"/>
  <cols>
    <col min="1" max="1" width="13.875" customWidth="1"/>
    <col min="11" max="17" width="0" hidden="1" customWidth="1"/>
    <col min="25" max="30" width="0" hidden="1" customWidth="1"/>
  </cols>
  <sheetData>
    <row r="1" spans="1:30">
      <c r="A1" s="2938">
        <f>基准地价修正!G23</f>
        <v>45577</v>
      </c>
      <c r="B1" s="2930" t="s">
        <v>3371</v>
      </c>
      <c r="C1" s="2931"/>
      <c r="D1" s="2931"/>
      <c r="E1" s="2931"/>
      <c r="F1" s="2931"/>
      <c r="G1" s="2931"/>
      <c r="H1" s="2931"/>
      <c r="I1" s="2931"/>
      <c r="J1" s="2897"/>
      <c r="K1" s="2931" t="s">
        <v>454</v>
      </c>
      <c r="L1" s="2931"/>
      <c r="M1" s="2931"/>
      <c r="N1" s="2931"/>
      <c r="O1" s="2931"/>
      <c r="P1" s="2931"/>
      <c r="Q1" s="2897"/>
      <c r="R1" s="3488" t="s">
        <v>456</v>
      </c>
      <c r="S1" s="3489"/>
      <c r="T1" s="3489"/>
      <c r="U1" s="3489"/>
      <c r="V1" s="3489"/>
      <c r="W1" s="3489"/>
      <c r="X1" s="2897"/>
      <c r="Y1" s="3488" t="s">
        <v>457</v>
      </c>
      <c r="Z1" s="3489"/>
      <c r="AA1" s="3489"/>
      <c r="AB1" s="3489"/>
      <c r="AC1" s="3489"/>
      <c r="AD1" s="3489"/>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0.59</v>
      </c>
      <c r="E3" s="2887">
        <f t="shared" ref="E3:H3" si="0">ROUND(AVERAGEIF(E4:E21,"&lt;&gt;0"),2)</f>
        <v>0.36</v>
      </c>
      <c r="F3" s="2887">
        <f t="shared" si="0"/>
        <v>0.06</v>
      </c>
      <c r="G3" s="2887">
        <f t="shared" si="0"/>
        <v>0.6</v>
      </c>
      <c r="H3" s="2887">
        <f t="shared" si="0"/>
        <v>0.6</v>
      </c>
      <c r="I3" s="2887">
        <f>F3</f>
        <v>0.06</v>
      </c>
      <c r="J3" s="2888"/>
      <c r="K3" s="2889">
        <f>ROUND(AVERAGEIF(K4:K21,"&lt;&gt;0"),4)</f>
        <v>5.8999999999999999E-3</v>
      </c>
      <c r="L3" s="2890">
        <f t="shared" ref="L3:O3" si="1">ROUND(AVERAGEIF(L4:L21,"&lt;&gt;0"),4)</f>
        <v>3.5999999999999999E-3</v>
      </c>
      <c r="M3" s="2890">
        <f t="shared" si="1"/>
        <v>5.9999999999999995E-4</v>
      </c>
      <c r="N3" s="2890">
        <f t="shared" si="1"/>
        <v>6.0000000000000001E-3</v>
      </c>
      <c r="O3" s="2890">
        <f t="shared" si="1"/>
        <v>6.0000000000000001E-3</v>
      </c>
      <c r="P3" s="2890">
        <f>M3</f>
        <v>5.9999999999999995E-4</v>
      </c>
      <c r="Q3" s="2888"/>
      <c r="R3" s="2891">
        <f>ROUND(SUMPRODUCT(PRODUCT(1+K4:K21)),4)</f>
        <v>1.0852999999999999</v>
      </c>
      <c r="S3" s="2892">
        <f t="shared" ref="S3:V3" si="2">ROUND(SUMPRODUCT(PRODUCT(1+L4:L21)),4)</f>
        <v>1.0513999999999999</v>
      </c>
      <c r="T3" s="2892">
        <f t="shared" si="2"/>
        <v>1.0083</v>
      </c>
      <c r="U3" s="2892">
        <f t="shared" si="2"/>
        <v>1.0871999999999999</v>
      </c>
      <c r="V3" s="2892">
        <f t="shared" si="2"/>
        <v>1.0880000000000001</v>
      </c>
      <c r="W3" s="2891">
        <f>T3</f>
        <v>1.0083</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3382</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1.0748</v>
      </c>
      <c r="S5" s="2027">
        <f>ROUND(IF(项目基本情况!$B$8="出让",SUMPRODUCT(PRODUCT(1+L5:$L$21)),SUMPRODUCT(PRODUCT(1+L5:$L$20))),4)</f>
        <v>1.0498000000000001</v>
      </c>
      <c r="T5" s="2027">
        <f>ROUND(IF(项目基本情况!$B$8="出让",SUMPRODUCT(PRODUCT(1+M5:$M$21)),SUMPRODUCT(PRODUCT(1+M5:$M$20))),4)</f>
        <v>1.0107999999999999</v>
      </c>
      <c r="U5" s="2027">
        <f>ROUND(IF(项目基本情况!$B$8="出让",SUMPRODUCT(PRODUCT(1+N5:$N$21)),SUMPRODUCT(PRODUCT(1+N5:$N$20))),4)</f>
        <v>1.0752999999999999</v>
      </c>
      <c r="V5" s="2027">
        <f>ROUND(IF(项目基本情况!$B$8="出让",SUMPRODUCT(PRODUCT(1+O5:$O$21)),SUMPRODUCT(PRODUCT(1+O5:$O$20))),4)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3383</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1.0748</v>
      </c>
      <c r="S6" s="2914">
        <f>ROUND(IF(项目基本情况!$B$8="出让",SUMPRODUCT(PRODUCT(1+L6:$L$21)),SUMPRODUCT(PRODUCT(1+L6:$L$20))),4)</f>
        <v>1.0498000000000001</v>
      </c>
      <c r="T6" s="2914">
        <f>ROUND(IF(项目基本情况!$B$8="出让",SUMPRODUCT(PRODUCT(1+M6:$M$21)),SUMPRODUCT(PRODUCT(1+M6:$M$20))),4)</f>
        <v>1.0107999999999999</v>
      </c>
      <c r="U6" s="2914">
        <f>ROUND(IF(项目基本情况!$B$8="出让",SUMPRODUCT(PRODUCT(1+N6:$N$21)),SUMPRODUCT(PRODUCT(1+N6:$N$20))),4)</f>
        <v>1.0752999999999999</v>
      </c>
      <c r="V6" s="2914">
        <f>ROUND(IF(项目基本情况!$B$8="出让",SUMPRODUCT(PRODUCT(1+O6:$O$21)),SUMPRODUCT(PRODUCT(1+O6:$O$20))),4)</f>
        <v>1.0841000000000001</v>
      </c>
      <c r="W6" s="2914">
        <f>T6</f>
        <v>1.0107999999999999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3377</v>
      </c>
      <c r="B7" s="2031">
        <v>2024</v>
      </c>
      <c r="C7" s="2042">
        <v>3</v>
      </c>
      <c r="D7" s="2007">
        <v>0</v>
      </c>
      <c r="E7" s="2007">
        <v>0</v>
      </c>
      <c r="F7" s="2007">
        <v>0</v>
      </c>
      <c r="G7" s="2007">
        <v>0</v>
      </c>
      <c r="H7" s="2007">
        <v>0</v>
      </c>
      <c r="I7" s="2008">
        <f t="shared" ref="I7" si="26">F7</f>
        <v>0</v>
      </c>
      <c r="J7" s="2907"/>
      <c r="K7" s="2043">
        <f t="shared" ref="K7" si="27">D7/100</f>
        <v>0</v>
      </c>
      <c r="L7" s="2028">
        <f t="shared" ref="L7" si="28">E7/100</f>
        <v>0</v>
      </c>
      <c r="M7" s="2028">
        <f t="shared" ref="M7" si="29">F7/100</f>
        <v>0</v>
      </c>
      <c r="N7" s="2028">
        <f t="shared" ref="N7" si="30">G7/100</f>
        <v>0</v>
      </c>
      <c r="O7" s="2028">
        <f t="shared" ref="O7" si="31">H7/100</f>
        <v>0</v>
      </c>
      <c r="P7" s="2028">
        <f>M7</f>
        <v>0</v>
      </c>
      <c r="Q7" s="2907"/>
      <c r="R7" s="2027">
        <f>ROUND(IF(项目基本情况!$B$8="出让",SUMPRODUCT(PRODUCT(1+K7:$K$21)),SUMPRODUCT(PRODUCT(1+K7:$K$20))),4)</f>
        <v>1.0748</v>
      </c>
      <c r="S7" s="2027">
        <f>ROUND(IF(项目基本情况!$B$8="出让",SUMPRODUCT(PRODUCT(1+L7:$L$21)),SUMPRODUCT(PRODUCT(1+L7:$L$20))),4)</f>
        <v>1.0498000000000001</v>
      </c>
      <c r="T7" s="2027">
        <f>ROUND(IF(项目基本情况!$B$8="出让",SUMPRODUCT(PRODUCT(1+M7:$M$21)),SUMPRODUCT(PRODUCT(1+M7:$M$20))),4)</f>
        <v>1.0107999999999999</v>
      </c>
      <c r="U7" s="2027">
        <f>ROUND(IF(项目基本情况!$B$8="出让",SUMPRODUCT(PRODUCT(1+N7:$N$21)),SUMPRODUCT(PRODUCT(1+N7:$N$20))),4)</f>
        <v>1.0752999999999999</v>
      </c>
      <c r="V7" s="2027">
        <f>ROUND(IF(项目基本情况!$B$8="出让",SUMPRODUCT(PRODUCT(1+O7:$O$21)),SUMPRODUCT(PRODUCT(1+O7:$O$20))),4)</f>
        <v>1.0841000000000001</v>
      </c>
      <c r="W7" s="2027">
        <f>T7</f>
        <v>1.0107999999999999</v>
      </c>
      <c r="X7" s="2907"/>
      <c r="Y7" s="2028">
        <f>IF(D7=0,0,ROUND(AVERAGE(D7:D20)/100,4))</f>
        <v>0</v>
      </c>
      <c r="Z7" s="2028">
        <f t="shared" ref="Z7" si="32">IF(E7=0,0,ROUND(AVERAGE(E7:E20)/100,4))</f>
        <v>0</v>
      </c>
      <c r="AA7" s="2028">
        <f t="shared" ref="AA7" si="33">IF(F7=0,0,ROUND(AVERAGE(F7:F20)/100,4))</f>
        <v>0</v>
      </c>
      <c r="AB7" s="2028">
        <f t="shared" ref="AB7" si="34">IF(G7=0,0,ROUND(AVERAGE(G7:G20)/100,4))</f>
        <v>0</v>
      </c>
      <c r="AC7" s="2028">
        <f t="shared" ref="AC7" si="35">IF(H7=0,0,ROUND(AVERAGE(H7:H20)/100,4))</f>
        <v>0</v>
      </c>
      <c r="AD7" s="2028">
        <f t="shared" ref="AD7" si="36">AA7</f>
        <v>0</v>
      </c>
    </row>
    <row r="8" spans="1:30" s="2045" customFormat="1" ht="12.75">
      <c r="A8" s="2906" t="s">
        <v>3384</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3379</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3375</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3374</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3370</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3369</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3368</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3366</v>
      </c>
    </row>
    <row r="24" spans="1:30">
      <c r="I24" s="1405" t="s">
        <v>2825</v>
      </c>
    </row>
    <row r="26" spans="1:30" s="2009" customFormat="1" ht="12.75">
      <c r="B26" s="2930" t="s">
        <v>3372</v>
      </c>
      <c r="C26" s="2931"/>
      <c r="D26" s="2931"/>
      <c r="E26" s="2931"/>
      <c r="F26" s="2931"/>
      <c r="G26" s="2931"/>
      <c r="H26" s="2931"/>
      <c r="I26" s="2931"/>
      <c r="J26" s="2897"/>
      <c r="K26" s="2931" t="s">
        <v>2826</v>
      </c>
      <c r="L26" s="2931"/>
      <c r="M26" s="2931"/>
      <c r="N26" s="2931"/>
      <c r="O26" s="2931"/>
      <c r="P26" s="2931"/>
      <c r="Q26" s="2897"/>
      <c r="R26" s="3488" t="s">
        <v>2827</v>
      </c>
      <c r="S26" s="3489"/>
      <c r="T26" s="3489"/>
      <c r="U26" s="3489"/>
      <c r="V26" s="3489"/>
      <c r="W26" s="3489"/>
      <c r="X26" s="2897"/>
      <c r="Y26" s="3488" t="s">
        <v>2828</v>
      </c>
      <c r="Z26" s="3489"/>
      <c r="AA26" s="3489"/>
      <c r="AB26" s="3489"/>
      <c r="AC26" s="3489"/>
      <c r="AD26" s="3489"/>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0.33</v>
      </c>
      <c r="F28" s="2887">
        <f t="shared" si="65"/>
        <v>0.24</v>
      </c>
      <c r="G28" s="2887">
        <f t="shared" si="65"/>
        <v>0.62</v>
      </c>
      <c r="I28" s="2887">
        <f>F28</f>
        <v>0.24</v>
      </c>
      <c r="J28" s="2888"/>
      <c r="K28" s="2889"/>
      <c r="L28" s="2890">
        <f t="shared" ref="L28:N28" si="66">ROUND(AVERAGEIF(L29:L46,"&lt;&gt;0"),4)</f>
        <v>3.3E-3</v>
      </c>
      <c r="M28" s="2890">
        <f t="shared" si="66"/>
        <v>2.3999999999999998E-3</v>
      </c>
      <c r="N28" s="2890">
        <f t="shared" si="66"/>
        <v>6.1999999999999998E-3</v>
      </c>
      <c r="O28" s="2890"/>
      <c r="P28" s="2890">
        <f>M28</f>
        <v>2.3999999999999998E-3</v>
      </c>
      <c r="Q28" s="2888"/>
      <c r="R28" s="2891"/>
      <c r="S28" s="2892">
        <f>ROUND(SUMPRODUCT(PRODUCT(1+L29:L46)),4)</f>
        <v>1.0468999999999999</v>
      </c>
      <c r="T28" s="2892">
        <f t="shared" ref="T28:U28" si="67">ROUND(SUMPRODUCT(PRODUCT(1+M29:M46)),4)</f>
        <v>1.0347</v>
      </c>
      <c r="U28" s="2892">
        <f t="shared" si="67"/>
        <v>1.0895999999999999</v>
      </c>
      <c r="V28" s="2892"/>
      <c r="W28" s="2891">
        <f>T28</f>
        <v>1.0347</v>
      </c>
      <c r="X28" s="2888"/>
      <c r="Y28" s="2893"/>
      <c r="Z28" s="2894">
        <f t="shared" ref="Z28:AB28" si="68">ROUND(AVERAGEIF(Z29:Z46,"&lt;&gt;0"),4)</f>
        <v>4.1999999999999997E-3</v>
      </c>
      <c r="AA28" s="2895">
        <f t="shared" si="68"/>
        <v>3.3999999999999998E-3</v>
      </c>
      <c r="AB28" s="2893">
        <f t="shared" si="68"/>
        <v>8.6E-3</v>
      </c>
      <c r="AC28" s="2896"/>
      <c r="AD28" s="2893">
        <f>AA28</f>
        <v>3.3999999999999998E-3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3382</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1.0432999999999999</v>
      </c>
      <c r="T30" s="2027">
        <f>ROUND(IF(项目基本情况!$B$8="出让",SUMPRODUCT(PRODUCT(1+M30:M$46)),SUMPRODUCT(PRODUCT(1+M30:M$45))),4)</f>
        <v>1.0298</v>
      </c>
      <c r="U30" s="2027">
        <f>ROUND(IF(项目基本情况!$B$8="出让",SUMPRODUCT(PRODUCT(1+N30:N$46)),SUMPRODUCT(PRODUCT(1+N30:N$45))),4)</f>
        <v>1.079</v>
      </c>
      <c r="V30" s="2027"/>
      <c r="W30" s="2027">
        <f>T30</f>
        <v>1.0298</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3385</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1.0432999999999999</v>
      </c>
      <c r="T31" s="2914">
        <f>ROUND(IF(项目基本情况!$B$8="出让",SUMPRODUCT(PRODUCT(1+M31:M$46)),SUMPRODUCT(PRODUCT(1+M31:M$45))),4)</f>
        <v>1.0298</v>
      </c>
      <c r="U31" s="2914">
        <f>ROUND(IF(项目基本情况!$B$8="出让",SUMPRODUCT(PRODUCT(1+N31:N$46)),SUMPRODUCT(PRODUCT(1+N31:N$45))),4)</f>
        <v>1.079</v>
      </c>
      <c r="V31" s="2914"/>
      <c r="W31" s="2914">
        <f>T31</f>
        <v>1.0298</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3377</v>
      </c>
      <c r="B32" s="2031">
        <v>2024</v>
      </c>
      <c r="C32" s="2042">
        <v>3</v>
      </c>
      <c r="D32" s="2007"/>
      <c r="E32" s="2007">
        <v>0</v>
      </c>
      <c r="F32" s="2007">
        <v>0</v>
      </c>
      <c r="G32" s="2007">
        <v>0</v>
      </c>
      <c r="H32" s="2007"/>
      <c r="I32" s="2008">
        <f t="shared" ref="I32" si="83">F32</f>
        <v>0</v>
      </c>
      <c r="J32" s="2907"/>
      <c r="K32" s="2043"/>
      <c r="L32" s="2028">
        <f t="shared" ref="L32" si="84">E32/100</f>
        <v>0</v>
      </c>
      <c r="M32" s="2028">
        <f t="shared" ref="M32" si="85">F32/100</f>
        <v>0</v>
      </c>
      <c r="N32" s="2028">
        <f t="shared" ref="N32" si="86">G32/100</f>
        <v>0</v>
      </c>
      <c r="O32" s="2028"/>
      <c r="P32" s="2028">
        <f>M32</f>
        <v>0</v>
      </c>
      <c r="Q32" s="2907"/>
      <c r="R32" s="2027"/>
      <c r="S32" s="2027">
        <f>ROUND(IF(项目基本情况!$B$8="出让",SUMPRODUCT(PRODUCT(1+L32:L$46)),SUMPRODUCT(PRODUCT(1+L32:L$45))),4)</f>
        <v>1.0432999999999999</v>
      </c>
      <c r="T32" s="2027">
        <f>ROUND(IF(项目基本情况!$B$8="出让",SUMPRODUCT(PRODUCT(1+M32:M$46)),SUMPRODUCT(PRODUCT(1+M32:M$45))),4)</f>
        <v>1.0298</v>
      </c>
      <c r="U32" s="2027">
        <f>ROUND(IF(项目基本情况!$B$8="出让",SUMPRODUCT(PRODUCT(1+N32:N$46)),SUMPRODUCT(PRODUCT(1+N32:N$45))),4)</f>
        <v>1.079</v>
      </c>
      <c r="V32" s="2027"/>
      <c r="W32" s="2027">
        <f>T32</f>
        <v>1.0298</v>
      </c>
      <c r="X32" s="2907"/>
      <c r="Y32" s="2028"/>
      <c r="Z32" s="2903">
        <f t="shared" ref="Z32:AB33" si="87">IF(E32=0,0,ROUND(AVERAGE(E32:E45)/100,4))</f>
        <v>0</v>
      </c>
      <c r="AA32" s="2903">
        <f t="shared" si="87"/>
        <v>0</v>
      </c>
      <c r="AB32" s="2903">
        <f t="shared" si="87"/>
        <v>0</v>
      </c>
      <c r="AC32" s="2905"/>
      <c r="AD32" s="2028">
        <f>IF(I32=0,0,ROUND(AVERAGE(I32:I45)/100,4))</f>
        <v>0</v>
      </c>
    </row>
    <row r="33" spans="1:30" s="2045" customFormat="1" ht="12.75">
      <c r="A33" s="2906" t="s">
        <v>3386</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3378</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3376</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3374</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3373</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3369</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3368</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3367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C13" sqref="C13:H14"/>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9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45577</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2309</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1320.6699999999998</v>
      </c>
      <c r="C4" s="801">
        <f>项目基本情况!C18</f>
        <v>166.46</v>
      </c>
      <c r="D4" s="801">
        <f ca="1">结果表!D118</f>
        <v>326</v>
      </c>
      <c r="E4" s="801">
        <f ca="1">结果表!E118</f>
        <v>2469</v>
      </c>
      <c r="F4" s="801">
        <f ca="1">结果表!F118</f>
        <v>100</v>
      </c>
      <c r="G4" s="801">
        <f ca="1">结果表!G118</f>
        <v>757</v>
      </c>
      <c r="H4" s="801">
        <f ca="1">结果表!H118</f>
        <v>426</v>
      </c>
      <c r="I4" s="801">
        <f ca="1">结果表!I118</f>
        <v>3226</v>
      </c>
    </row>
    <row r="5" spans="1:9" ht="30" customHeight="1">
      <c r="A5" s="3176" t="s">
        <v>927</v>
      </c>
      <c r="B5" s="3176"/>
      <c r="C5" s="3176"/>
      <c r="D5" s="3176" t="str">
        <f ca="1">结果表!D119</f>
        <v>叁佰贰拾陆万元整</v>
      </c>
      <c r="E5" s="3176"/>
      <c r="F5" s="3176" t="str">
        <f ca="1">结果表!F119</f>
        <v>壹佰万元整</v>
      </c>
      <c r="G5" s="3176"/>
      <c r="H5" s="3176" t="str">
        <f ca="1">结果表!H119</f>
        <v>肆佰贰拾陆万元整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
      </c>
      <c r="B8" s="3177"/>
      <c r="C8" s="3177"/>
      <c r="D8" s="3177" t="str">
        <f>结果表!D122</f>
        <v>——</v>
      </c>
      <c r="E8" s="3177"/>
      <c r="F8" s="3177"/>
      <c r="G8" s="3177"/>
      <c r="H8" s="3177"/>
      <c r="I8" s="3177"/>
    </row>
    <row r="9" spans="1:9" ht="15">
      <c r="A9" s="3176" t="s">
        <v>927</v>
      </c>
      <c r="B9" s="3176"/>
      <c r="C9" s="3176"/>
      <c r="D9" s="3176" t="e">
        <f>结果表!D123</f>
        <v>#VALUE!</v>
      </c>
      <c r="E9" s="3176"/>
      <c r="F9" s="3176"/>
      <c r="G9" s="3176"/>
      <c r="H9" s="3176"/>
      <c r="I9" s="3176"/>
    </row>
    <row r="10" spans="1:9" ht="15.75">
      <c r="A10" s="3177" t="str">
        <f>结果表!A124</f>
        <v>抵押担保权已注销时的房地产抵押价值</v>
      </c>
      <c r="B10" s="3177"/>
      <c r="C10" s="3177"/>
      <c r="D10" s="3177">
        <f ca="1">结果表!D124</f>
        <v>426</v>
      </c>
      <c r="E10" s="3177"/>
      <c r="F10" s="3177"/>
      <c r="G10" s="3177"/>
      <c r="H10" s="3177"/>
      <c r="I10" s="3177"/>
    </row>
    <row r="11" spans="1:9" ht="15">
      <c r="A11" s="3176" t="s">
        <v>927</v>
      </c>
      <c r="B11" s="3176"/>
      <c r="C11" s="3176"/>
      <c r="D11" s="3176" t="str">
        <f ca="1">结果表!D125</f>
        <v>肆佰贰拾陆万元整</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45645</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2158</v>
      </c>
      <c r="B17" s="3200"/>
      <c r="C17" s="3200"/>
      <c r="D17" s="3200"/>
      <c r="E17" s="3200"/>
      <c r="F17" s="3200"/>
      <c r="G17" s="3200"/>
      <c r="H17" s="3200"/>
    </row>
    <row r="18" spans="1:8" ht="24" customHeight="1">
      <c r="A18" s="3201" t="s">
        <v>2159</v>
      </c>
      <c r="B18" s="3201"/>
      <c r="C18" s="3201"/>
      <c r="D18" s="2160"/>
      <c r="E18" s="3202" t="s">
        <v>2160</v>
      </c>
      <c r="F18" s="3201"/>
      <c r="G18" s="3201"/>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收益法</vt:lpstr>
      <vt:lpstr>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2024-12-19T05:15:00Z</dcterms:modified>
</cp:coreProperties>
</file>