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案例" sheetId="80" r:id="rId24"/>
    <sheet name="收益法 (元)" sheetId="67" r:id="rId25"/>
    <sheet name="比较法-办公 (2)" sheetId="82"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赁合同" sheetId="83" r:id="rId48"/>
  </sheets>
  <externalReferences>
    <externalReference r:id="rId49"/>
    <externalReference r:id="rId50"/>
  </externalReferences>
  <definedNames>
    <definedName name="_xlnm._FilterDatabase" localSheetId="22" hidden="1">'比较法-办公'!$A$1:$L$50</definedName>
    <definedName name="_xlnm._FilterDatabase" localSheetId="25"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5">'比较法-办公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5">'比较法-办公 (2)'!$B$119:$M$119</definedName>
    <definedName name="办公层高">'比较法-办公'!$B$119:$M$119</definedName>
    <definedName name="办公朝向" localSheetId="25">'比较法-办公 (2)'!$B$91:$M$91</definedName>
    <definedName name="办公朝向">'比较法-办公'!$B$91:$M$91</definedName>
    <definedName name="办公道路级别" localSheetId="25">'比较法-办公 (2)'!$B$87:$M$87</definedName>
    <definedName name="办公道路级别">'比较法-办公'!$B$87:$M$87</definedName>
    <definedName name="办公公共部分装修" localSheetId="25">'比较法-办公 (2)'!$B$108:$M$108</definedName>
    <definedName name="办公公共部分装修">'比较法-办公'!$B$108:$M$108</definedName>
    <definedName name="办公基础设施水平" localSheetId="25">'比较法-办公 (2)'!$B$117:$M$117</definedName>
    <definedName name="办公基础设施水平">'比较法-办公'!$B$117:$M$117</definedName>
    <definedName name="办公集聚程度">定义!$M$1:$M$6</definedName>
    <definedName name="办公建筑结构" localSheetId="25">'比较法-办公 (2)'!$B$106:$M$106</definedName>
    <definedName name="办公建筑结构">'比较法-办公'!$B$106:$M$106</definedName>
    <definedName name="办公建筑类型" localSheetId="25">'比较法-办公 (2)'!$B$101:$M$101</definedName>
    <definedName name="办公建筑类型">'比较法-办公'!$B$101:$M$101</definedName>
    <definedName name="办公交易情况" localSheetId="25">'比较法-办公 (2)'!$A$62:$M$62</definedName>
    <definedName name="办公交易情况">'比较法-办公'!$A$62:$M$62</definedName>
    <definedName name="办公楼层" localSheetId="25">'比较法-办公 (2)'!$B$89:$M$89</definedName>
    <definedName name="办公楼层">'比较法-办公'!$B$89:$M$89</definedName>
    <definedName name="办公内部装修" localSheetId="25">'比较法-办公 (2)'!$B$123:$M$123</definedName>
    <definedName name="办公内部装修">'比较法-办公'!$B$123:$M$123</definedName>
    <definedName name="办公物业管理" localSheetId="25">'比较法-办公 (2)'!$B$115:$M$115</definedName>
    <definedName name="办公物业管理">'比较法-办公'!$B$115:$M$115</definedName>
    <definedName name="办公用途" localSheetId="25">'比较法-办公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5">'比较法-办公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Z18" i="1" l="1"/>
  <c r="L26" i="9"/>
  <c r="L25" i="9"/>
  <c r="K25" i="9"/>
  <c r="AD21" i="1"/>
  <c r="AD19" i="1"/>
  <c r="N21" i="1" l="1"/>
  <c r="N6" i="1" l="1"/>
  <c r="B14" i="74" l="1"/>
  <c r="Z6" i="1"/>
  <c r="AF6" i="1"/>
  <c r="U6" i="1"/>
  <c r="K7" i="83"/>
  <c r="J4" i="83"/>
  <c r="J7" i="83" s="1"/>
  <c r="G4" i="83"/>
  <c r="H4" i="83"/>
  <c r="J6" i="83"/>
  <c r="J5" i="83"/>
  <c r="I7" i="83"/>
  <c r="H7" i="83"/>
  <c r="H6" i="83"/>
  <c r="G6" i="83"/>
  <c r="H5" i="83"/>
  <c r="G5" i="83"/>
  <c r="F4" i="83"/>
  <c r="B131" i="82" l="1"/>
  <c r="B129" i="82"/>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F109" i="82" s="1"/>
  <c r="G109" i="82" s="1"/>
  <c r="H109" i="82" s="1"/>
  <c r="I109" i="82" s="1"/>
  <c r="J109" i="82" s="1"/>
  <c r="K109" i="82" s="1"/>
  <c r="L109" i="82" s="1"/>
  <c r="M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D90" i="82"/>
  <c r="E90" i="82" s="1"/>
  <c r="F90" i="82" s="1"/>
  <c r="G90" i="82" s="1"/>
  <c r="H90" i="82" s="1"/>
  <c r="I90" i="82" s="1"/>
  <c r="J90" i="82" s="1"/>
  <c r="K90" i="82" s="1"/>
  <c r="L90" i="82" s="1"/>
  <c r="M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I55" i="82"/>
  <c r="J55" i="82" s="1"/>
  <c r="G55" i="82"/>
  <c r="H55" i="82" s="1"/>
  <c r="E55" i="82"/>
  <c r="F55" i="82" s="1"/>
  <c r="P50" i="82"/>
  <c r="P49" i="82"/>
  <c r="K49" i="82"/>
  <c r="V48" i="82"/>
  <c r="T48" i="82"/>
  <c r="R48" i="82"/>
  <c r="P48" i="82"/>
  <c r="Q47" i="82"/>
  <c r="Z47" i="82" s="1"/>
  <c r="J47" i="82"/>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I37" i="82"/>
  <c r="G37" i="82"/>
  <c r="E37" i="82"/>
  <c r="Q36" i="82"/>
  <c r="Z36" i="82" s="1"/>
  <c r="J36" i="82"/>
  <c r="AC36" i="82" s="1"/>
  <c r="H36" i="82"/>
  <c r="AB36" i="82" s="1"/>
  <c r="F36" i="82"/>
  <c r="AA36" i="82" s="1"/>
  <c r="Q35" i="82"/>
  <c r="Z35" i="82" s="1"/>
  <c r="J35" i="82"/>
  <c r="AC35" i="82" s="1"/>
  <c r="H35" i="82"/>
  <c r="AB35" i="82" s="1"/>
  <c r="F35" i="82"/>
  <c r="AA35" i="82" s="1"/>
  <c r="Q34" i="82"/>
  <c r="Z34" i="82" s="1"/>
  <c r="J34" i="82"/>
  <c r="AC34" i="82" s="1"/>
  <c r="F34" i="82"/>
  <c r="AA34" i="82" s="1"/>
  <c r="H34" i="82"/>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5" i="82"/>
  <c r="Z25" i="82" s="1"/>
  <c r="J25" i="82"/>
  <c r="AC25" i="82" s="1"/>
  <c r="H25" i="82"/>
  <c r="AB25" i="82" s="1"/>
  <c r="F25" i="82"/>
  <c r="AA25" i="82" s="1"/>
  <c r="AC23" i="82"/>
  <c r="W23" i="82"/>
  <c r="Q23" i="82"/>
  <c r="Z23" i="82" s="1"/>
  <c r="J23" i="82"/>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D3" i="82"/>
  <c r="G37" i="34"/>
  <c r="E37" i="34"/>
  <c r="I37" i="34"/>
  <c r="C34" i="34"/>
  <c r="D2" i="82"/>
  <c r="U8" i="82" l="1"/>
  <c r="AA8" i="82"/>
  <c r="AC8" i="82"/>
  <c r="U9" i="82"/>
  <c r="S10" i="82"/>
  <c r="W10" i="82"/>
  <c r="U11" i="82"/>
  <c r="S12" i="82"/>
  <c r="W12" i="82"/>
  <c r="U13" i="82"/>
  <c r="S14" i="82"/>
  <c r="W14" i="82"/>
  <c r="S15" i="82"/>
  <c r="W15" i="82"/>
  <c r="S17" i="82"/>
  <c r="W17" i="82"/>
  <c r="S19" i="82"/>
  <c r="W19" i="82"/>
  <c r="S21" i="82"/>
  <c r="W21" i="82"/>
  <c r="S23" i="82"/>
  <c r="AB34" i="82"/>
  <c r="U34" i="82"/>
  <c r="S9" i="82"/>
  <c r="W9" i="82"/>
  <c r="U10" i="82"/>
  <c r="S11" i="82"/>
  <c r="W11" i="82"/>
  <c r="U12" i="82"/>
  <c r="S13" i="82"/>
  <c r="W13" i="82"/>
  <c r="U14" i="82"/>
  <c r="U15" i="82"/>
  <c r="U17" i="82"/>
  <c r="U19" i="82"/>
  <c r="U21" i="82"/>
  <c r="U25" i="82"/>
  <c r="S27" i="82"/>
  <c r="W27" i="82"/>
  <c r="U28" i="82"/>
  <c r="S29" i="82"/>
  <c r="W29" i="82"/>
  <c r="U30" i="82"/>
  <c r="S31" i="82"/>
  <c r="W31" i="82"/>
  <c r="U32" i="82"/>
  <c r="S33" i="82"/>
  <c r="W33" i="82"/>
  <c r="S34" i="82"/>
  <c r="W34" i="82"/>
  <c r="U35" i="82"/>
  <c r="S36" i="82"/>
  <c r="W36" i="82"/>
  <c r="S38" i="82"/>
  <c r="W38" i="82"/>
  <c r="U39" i="82"/>
  <c r="S40" i="82"/>
  <c r="W40" i="82"/>
  <c r="U41" i="82"/>
  <c r="S42" i="82"/>
  <c r="W42" i="82"/>
  <c r="U43" i="82"/>
  <c r="S44" i="82"/>
  <c r="W44" i="82"/>
  <c r="U45" i="82"/>
  <c r="S46" i="82"/>
  <c r="W46" i="82"/>
  <c r="U47" i="82"/>
  <c r="U23" i="82"/>
  <c r="S25" i="82"/>
  <c r="W25" i="82"/>
  <c r="U27" i="82"/>
  <c r="S28" i="82"/>
  <c r="W28" i="82"/>
  <c r="U29" i="82"/>
  <c r="S30" i="82"/>
  <c r="W30" i="82"/>
  <c r="U31" i="82"/>
  <c r="S32" i="82"/>
  <c r="W32" i="82"/>
  <c r="U33" i="82"/>
  <c r="S35" i="82"/>
  <c r="W35" i="82"/>
  <c r="U36" i="82"/>
  <c r="U38" i="82"/>
  <c r="S39" i="82"/>
  <c r="W39" i="82"/>
  <c r="U40" i="82"/>
  <c r="S41" i="82"/>
  <c r="W41" i="82"/>
  <c r="U42" i="82"/>
  <c r="S43" i="82"/>
  <c r="W43" i="82"/>
  <c r="U44" i="82"/>
  <c r="S45" i="82"/>
  <c r="W45" i="82"/>
  <c r="U46" i="82"/>
  <c r="AC47" i="82"/>
  <c r="W47" i="82"/>
  <c r="S47" i="82"/>
  <c r="J49" i="67" l="1"/>
  <c r="G51" i="43"/>
  <c r="G52" i="43"/>
  <c r="G53" i="43"/>
  <c r="G54" i="43"/>
  <c r="G55" i="43"/>
  <c r="G56" i="43"/>
  <c r="G57" i="43"/>
  <c r="G58" i="43"/>
  <c r="G50" i="43"/>
  <c r="D33" i="43"/>
  <c r="Y6" i="1"/>
  <c r="N19" i="1"/>
  <c r="F19" i="6"/>
  <c r="C37" i="82" l="1"/>
  <c r="C37" i="34"/>
  <c r="L26" i="79"/>
  <c r="M26" i="79"/>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J37" i="82" l="1"/>
  <c r="F37" i="82"/>
  <c r="H37" i="82"/>
  <c r="P26" i="79"/>
  <c r="U37" i="82" l="1"/>
  <c r="AB37" i="82"/>
  <c r="W37" i="82"/>
  <c r="AC37" i="82"/>
  <c r="S37" i="82"/>
  <c r="AA37" i="82"/>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R8" i="79"/>
  <c r="R7" i="79"/>
  <c r="R6" i="79"/>
  <c r="P9" i="79"/>
  <c r="T8" i="79"/>
  <c r="W8" i="79" s="1"/>
  <c r="T6" i="79"/>
  <c r="W6" i="79" s="1"/>
  <c r="T7" i="79"/>
  <c r="W7" i="79" s="1"/>
  <c r="V9" i="79"/>
  <c r="V8" i="79"/>
  <c r="V6" i="79"/>
  <c r="V7" i="79"/>
  <c r="T28" i="79"/>
  <c r="W28" i="79" s="1"/>
  <c r="T27" i="79"/>
  <c r="W27" i="79" s="1"/>
  <c r="T26" i="79"/>
  <c r="W26" i="79" s="1"/>
  <c r="K3" i="79"/>
  <c r="M3" i="79"/>
  <c r="P3" i="79" s="1"/>
  <c r="O3" i="79"/>
  <c r="T3" i="79"/>
  <c r="W3" i="79" s="1"/>
  <c r="V3" i="79"/>
  <c r="S5" i="79"/>
  <c r="U5" i="79"/>
  <c r="P5" i="79"/>
  <c r="S9" i="79"/>
  <c r="S8" i="79"/>
  <c r="S7" i="79"/>
  <c r="S6" i="79"/>
  <c r="U9" i="79"/>
  <c r="U8" i="79"/>
  <c r="U6" i="79"/>
  <c r="U7" i="79"/>
  <c r="R10" i="79"/>
  <c r="T10" i="79"/>
  <c r="W10" i="79" s="1"/>
  <c r="V10" i="79"/>
  <c r="S11" i="79"/>
  <c r="U11" i="79"/>
  <c r="R12" i="79"/>
  <c r="T12" i="79"/>
  <c r="W12" i="79" s="1"/>
  <c r="V12" i="79"/>
  <c r="R13" i="79"/>
  <c r="V13" i="79"/>
  <c r="M23" i="79"/>
  <c r="P23" i="79" s="1"/>
  <c r="T23" i="79"/>
  <c r="W23" i="79" s="1"/>
  <c r="T25" i="79"/>
  <c r="W25" i="79" s="1"/>
  <c r="S28" i="79"/>
  <c r="S26" i="79"/>
  <c r="S27" i="79"/>
  <c r="U29" i="79"/>
  <c r="U26" i="79"/>
  <c r="U27" i="79"/>
  <c r="U28"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E56" i="71" s="1"/>
  <c r="U56"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1" i="71"/>
  <c r="F52" i="71"/>
  <c r="V52" i="71" s="1"/>
  <c r="C28" i="71"/>
  <c r="C27" i="71" s="1"/>
  <c r="X27" i="71"/>
  <c r="D34" i="71"/>
  <c r="D38" i="71"/>
  <c r="D42" i="71"/>
  <c r="C51" i="71"/>
  <c r="D51" i="71" s="1"/>
  <c r="D50" i="71"/>
  <c r="P28" i="71"/>
  <c r="E59" i="71"/>
  <c r="E60" i="71" s="1"/>
  <c r="U60" i="71" s="1"/>
  <c r="E64" i="71"/>
  <c r="U64" i="71" s="1"/>
  <c r="U68" i="71"/>
  <c r="E67" i="71"/>
  <c r="E66" i="71" s="1"/>
  <c r="P66" i="71" s="1"/>
  <c r="Q28" i="71"/>
  <c r="C55" i="71"/>
  <c r="D55" i="71" s="1"/>
  <c r="C59" i="71"/>
  <c r="D59" i="71" s="1"/>
  <c r="D58" i="71"/>
  <c r="C63" i="71"/>
  <c r="C64" i="71" s="1"/>
  <c r="T64" i="71" s="1"/>
  <c r="N67" i="71"/>
  <c r="C67" i="71"/>
  <c r="O67" i="71" s="1"/>
  <c r="C71" i="71"/>
  <c r="D71" i="71" s="1"/>
  <c r="E71" i="71"/>
  <c r="E70" i="71"/>
  <c r="D72" i="71"/>
  <c r="E75" i="71"/>
  <c r="E74" i="71"/>
  <c r="C79" i="71"/>
  <c r="C78" i="71" s="1"/>
  <c r="D78" i="71" s="1"/>
  <c r="E79" i="71"/>
  <c r="E78" i="71"/>
  <c r="D80" i="71"/>
  <c r="C83" i="71"/>
  <c r="D83" i="71" s="1"/>
  <c r="C87" i="71"/>
  <c r="T28" i="71"/>
  <c r="F28" i="71"/>
  <c r="F27" i="71"/>
  <c r="F26" i="71" s="1"/>
  <c r="AB25" i="71"/>
  <c r="E28" i="71"/>
  <c r="AA25" i="71"/>
  <c r="D28" i="71"/>
  <c r="U28" i="71" s="1"/>
  <c r="D67" i="71"/>
  <c r="C82" i="71"/>
  <c r="D82" i="71" s="1"/>
  <c r="N66" i="71"/>
  <c r="D87" i="71"/>
  <c r="C86" i="71"/>
  <c r="D86" i="71" s="1"/>
  <c r="D79" i="71"/>
  <c r="C70" i="71"/>
  <c r="D70" i="71" s="1"/>
  <c r="C56" i="71"/>
  <c r="T56" i="71" s="1"/>
  <c r="P67" i="71"/>
  <c r="C52" i="71"/>
  <c r="T52" i="71" s="1"/>
  <c r="C44" i="71"/>
  <c r="T44" i="71" s="1"/>
  <c r="C26" i="71"/>
  <c r="D26" i="71" s="1"/>
  <c r="D27" i="71"/>
  <c r="P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C21" i="34"/>
  <c r="Q21" i="33"/>
  <c r="Z21" i="33" s="1"/>
  <c r="D83" i="33"/>
  <c r="E83" i="33"/>
  <c r="C21" i="33"/>
  <c r="C21" i="21"/>
  <c r="Q21" i="21"/>
  <c r="Z21" i="21"/>
  <c r="H19" i="21"/>
  <c r="D83" i="21"/>
  <c r="E83" i="21" s="1"/>
  <c r="F21" i="21"/>
  <c r="AA21" i="21"/>
  <c r="D81" i="21"/>
  <c r="G20" i="20"/>
  <c r="B88" i="43" s="1"/>
  <c r="C22" i="20"/>
  <c r="C25" i="40"/>
  <c r="S25" i="40"/>
  <c r="S18" i="36"/>
  <c r="U18" i="36"/>
  <c r="F94" i="40"/>
  <c r="H25" i="40"/>
  <c r="G94" i="40"/>
  <c r="J25" i="40"/>
  <c r="H29" i="39"/>
  <c r="AB29" i="39" s="1"/>
  <c r="J29" i="39"/>
  <c r="AC29" i="39" s="1"/>
  <c r="J18" i="36"/>
  <c r="F68" i="35"/>
  <c r="G68" i="35" s="1"/>
  <c r="H18" i="35"/>
  <c r="S18" i="35"/>
  <c r="J18" i="35"/>
  <c r="H21" i="37"/>
  <c r="AB21" i="37" s="1"/>
  <c r="F21" i="37"/>
  <c r="F84" i="34"/>
  <c r="G84" i="34" s="1"/>
  <c r="H21" i="34"/>
  <c r="U21" i="34" s="1"/>
  <c r="F83" i="33"/>
  <c r="G83" i="33" s="1"/>
  <c r="H21" i="33"/>
  <c r="F21" i="33"/>
  <c r="AA21" i="33" s="1"/>
  <c r="S21" i="21"/>
  <c r="H1" i="69"/>
  <c r="AC25" i="40"/>
  <c r="W25" i="40"/>
  <c r="AB25" i="40"/>
  <c r="U25" i="40"/>
  <c r="W29" i="39"/>
  <c r="AC18" i="36"/>
  <c r="W18" i="36"/>
  <c r="U21" i="37"/>
  <c r="AA21" i="37"/>
  <c r="S21" i="37"/>
  <c r="AB21" i="34"/>
  <c r="U21" i="33"/>
  <c r="AB21" i="33"/>
  <c r="S21" i="33"/>
  <c r="AB18" i="35"/>
  <c r="U18" i="35"/>
  <c r="AC18" i="35"/>
  <c r="W18" i="35"/>
  <c r="J21" i="37"/>
  <c r="W21" i="37" s="1"/>
  <c r="J21" i="34"/>
  <c r="W21" i="34" s="1"/>
  <c r="J21" i="33"/>
  <c r="W21" i="33" s="1"/>
  <c r="F83" i="21"/>
  <c r="H21" i="21"/>
  <c r="U21" i="21" s="1"/>
  <c r="F38" i="69"/>
  <c r="E37" i="69"/>
  <c r="F36" i="69"/>
  <c r="F35" i="69"/>
  <c r="F21" i="69"/>
  <c r="F40" i="69" s="1"/>
  <c r="F20" i="69"/>
  <c r="F39" i="69" s="1"/>
  <c r="E10" i="69"/>
  <c r="E9" i="69"/>
  <c r="AC21" i="37"/>
  <c r="AC21" i="33"/>
  <c r="AB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s="1"/>
  <c r="I114" i="34" s="1"/>
  <c r="J114" i="34" s="1"/>
  <c r="K114" i="34" s="1"/>
  <c r="L114" i="34" s="1"/>
  <c r="M114" i="34" s="1"/>
  <c r="H38" i="34"/>
  <c r="AB38" i="34"/>
  <c r="J36" i="34"/>
  <c r="W36" i="34" s="1"/>
  <c r="H37" i="34"/>
  <c r="U37" i="34" s="1"/>
  <c r="H25" i="34"/>
  <c r="AB25" i="34" s="1"/>
  <c r="J25" i="34"/>
  <c r="AC25" i="34" s="1"/>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14" i="37"/>
  <c r="AB28" i="37"/>
  <c r="U33" i="37"/>
  <c r="U39" i="37"/>
  <c r="W26" i="37"/>
  <c r="W47" i="34"/>
  <c r="AB13"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B33" i="34"/>
  <c r="AC45" i="34"/>
  <c r="AA31" i="34"/>
  <c r="AA30" i="34"/>
  <c r="AB45" i="34"/>
  <c r="AB47" i="34"/>
  <c r="U25" i="34"/>
  <c r="AB36" i="34"/>
  <c r="W33" i="34"/>
  <c r="AC14" i="34"/>
  <c r="AC32" i="34"/>
  <c r="AC29" i="34"/>
  <c r="W29" i="34"/>
  <c r="W46" i="34"/>
  <c r="AC46" i="34"/>
  <c r="S32" i="34"/>
  <c r="AA32" i="34"/>
  <c r="U30" i="34"/>
  <c r="AB30" i="34"/>
  <c r="S37" i="34"/>
  <c r="U38" i="34"/>
  <c r="W40" i="34"/>
  <c r="AA19" i="34"/>
  <c r="S19" i="34"/>
  <c r="AA36" i="34"/>
  <c r="S36" i="34"/>
  <c r="S8" i="34"/>
  <c r="AB9" i="34"/>
  <c r="U9" i="34"/>
  <c r="S46" i="34"/>
  <c r="AA46" i="34"/>
  <c r="U32" i="34"/>
  <c r="AB32" i="34"/>
  <c r="U14" i="34"/>
  <c r="AB14"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J23" i="21"/>
  <c r="W23" i="21" s="1"/>
  <c r="F85" i="21"/>
  <c r="G85" i="21"/>
  <c r="H23" i="21"/>
  <c r="S13" i="21"/>
  <c r="D6" i="52"/>
  <c r="AP7" i="1"/>
  <c r="AB45" i="21"/>
  <c r="AB9" i="21"/>
  <c r="U9" i="21"/>
  <c r="S32" i="21"/>
  <c r="AC9" i="21"/>
  <c r="U32" i="21"/>
  <c r="U32" i="39"/>
  <c r="AC32" i="39"/>
  <c r="W32" i="39"/>
  <c r="W19" i="37"/>
  <c r="AC19" i="37"/>
  <c r="AC23" i="37"/>
  <c r="H63" i="37"/>
  <c r="I63" i="37"/>
  <c r="J63" i="37" s="1"/>
  <c r="K63" i="37"/>
  <c r="L63" i="37" s="1"/>
  <c r="M63" i="37" s="1"/>
  <c r="J11" i="37"/>
  <c r="AC11" i="37" s="1"/>
  <c r="H70" i="34"/>
  <c r="I70" i="34" s="1"/>
  <c r="J70" i="34"/>
  <c r="K70" i="34" s="1"/>
  <c r="L70" i="34" s="1"/>
  <c r="M70" i="34" s="1"/>
  <c r="J11" i="34"/>
  <c r="W11" i="34" s="1"/>
  <c r="AB36" i="33"/>
  <c r="W27" i="33"/>
  <c r="W25" i="33"/>
  <c r="AA23" i="33"/>
  <c r="S23" i="33"/>
  <c r="AB19" i="33"/>
  <c r="AA17" i="33"/>
  <c r="U17" i="33"/>
  <c r="AB17" i="33"/>
  <c r="U23" i="21"/>
  <c r="AB23" i="21"/>
  <c r="AC23" i="21"/>
  <c r="H109" i="9"/>
  <c r="H112" i="9"/>
  <c r="D21" i="53" s="1"/>
  <c r="B39" i="72" s="1"/>
  <c r="H111"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V20" i="71"/>
  <c r="C20" i="71"/>
  <c r="C19" i="71" s="1"/>
  <c r="C18" i="71" s="1"/>
  <c r="C17" i="71" s="1"/>
  <c r="D21" i="71"/>
  <c r="D18" i="71"/>
  <c r="T20" i="71"/>
  <c r="D19" i="71"/>
  <c r="D20" i="71"/>
  <c r="U20" i="71" s="1"/>
  <c r="M29" i="67"/>
  <c r="M6" i="15"/>
  <c r="B7" i="76"/>
  <c r="F8" i="15"/>
  <c r="M28" i="15"/>
  <c r="B12" i="76"/>
  <c r="F16" i="15"/>
  <c r="L47" i="15"/>
  <c r="E7" i="76"/>
  <c r="L48" i="67"/>
  <c r="M6" i="67"/>
  <c r="M28" i="67"/>
  <c r="F7" i="67"/>
  <c r="F20" i="31"/>
  <c r="F13" i="15"/>
  <c r="F43" i="15"/>
  <c r="E2" i="69"/>
  <c r="M26" i="15"/>
  <c r="F40" i="67"/>
  <c r="B10" i="76"/>
  <c r="E12" i="76"/>
  <c r="F42" i="15"/>
  <c r="F8" i="67"/>
  <c r="F37" i="15"/>
  <c r="F9" i="15"/>
  <c r="E8" i="76"/>
  <c r="E2" i="68"/>
  <c r="J15" i="67"/>
  <c r="E9" i="76"/>
  <c r="F6" i="73"/>
  <c r="E13" i="76"/>
  <c r="E11" i="76"/>
  <c r="M29" i="15"/>
  <c r="B11" i="76"/>
  <c r="M22" i="15"/>
  <c r="E10" i="76"/>
  <c r="M24" i="15"/>
  <c r="C76" i="67"/>
  <c r="D6" i="73"/>
  <c r="J15" i="15"/>
  <c r="M23" i="15"/>
  <c r="B8" i="76"/>
  <c r="F26" i="67"/>
  <c r="F26" i="15"/>
  <c r="D5" i="73"/>
  <c r="F43" i="67"/>
  <c r="F5" i="73"/>
  <c r="F42" i="67"/>
  <c r="F36" i="15"/>
  <c r="F4" i="73"/>
  <c r="F38" i="67"/>
  <c r="B9" i="76"/>
  <c r="F37" i="67"/>
  <c r="L48" i="15"/>
  <c r="D3" i="73"/>
  <c r="M9" i="15"/>
  <c r="M8" i="67"/>
  <c r="F40" i="15"/>
  <c r="F9" i="67"/>
  <c r="D4" i="73"/>
  <c r="M24" i="67"/>
  <c r="M8" i="15"/>
  <c r="F38" i="15"/>
  <c r="L47" i="67"/>
  <c r="F6" i="15"/>
  <c r="M26" i="67"/>
  <c r="B13" i="76"/>
  <c r="F7" i="15"/>
  <c r="M22" i="67"/>
  <c r="D7" i="73"/>
  <c r="AO13" i="1"/>
  <c r="M9" i="67"/>
  <c r="F36" i="67"/>
  <c r="F16" i="67"/>
  <c r="C76" i="15"/>
  <c r="F13" i="67"/>
  <c r="F3" i="73"/>
  <c r="F6" i="67"/>
  <c r="M23" i="67"/>
  <c r="F7" i="73"/>
  <c r="AA40" i="34" l="1"/>
  <c r="S27" i="34"/>
  <c r="AC27" i="34"/>
  <c r="C59" i="82"/>
  <c r="G7" i="82"/>
  <c r="E7" i="82"/>
  <c r="S43" i="34"/>
  <c r="U44" i="34"/>
  <c r="AB40" i="34"/>
  <c r="AC17" i="34"/>
  <c r="AB23" i="34"/>
  <c r="AC21" i="34"/>
  <c r="AB17" i="34"/>
  <c r="AC36" i="34"/>
  <c r="U15" i="34"/>
  <c r="W15" i="34"/>
  <c r="G7" i="34"/>
  <c r="E7" i="34"/>
  <c r="W8" i="34"/>
  <c r="G6" i="1"/>
  <c r="I24" i="43"/>
  <c r="D52" i="43"/>
  <c r="C21" i="68"/>
  <c r="C40" i="69"/>
  <c r="E15" i="71"/>
  <c r="E14" i="71" s="1"/>
  <c r="E13" i="71" s="1"/>
  <c r="E12" i="71" s="1"/>
  <c r="V16" i="71"/>
  <c r="D126" i="9"/>
  <c r="D19" i="53"/>
  <c r="B38" i="72" s="1"/>
  <c r="D16" i="53"/>
  <c r="B34" i="72" s="1"/>
  <c r="AZ557" i="3"/>
  <c r="G5" i="3"/>
  <c r="B3" i="3" s="1"/>
  <c r="E77" i="3" s="1"/>
  <c r="C16" i="71"/>
  <c r="D17" i="71"/>
  <c r="AB15" i="21"/>
  <c r="W17" i="21"/>
  <c r="AC15" i="21"/>
  <c r="S20" i="35"/>
  <c r="U12" i="39"/>
  <c r="AA27" i="40"/>
  <c r="AB27" i="40"/>
  <c r="G28" i="6"/>
  <c r="F29" i="6"/>
  <c r="AA25" i="21"/>
  <c r="U43" i="33"/>
  <c r="AA41" i="34"/>
  <c r="U46" i="33"/>
  <c r="AA13" i="35"/>
  <c r="BL550" i="3"/>
  <c r="AZ550" i="3" s="1"/>
  <c r="AZ409" i="3"/>
  <c r="AZ416" i="3"/>
  <c r="AZ425" i="3"/>
  <c r="AZ432" i="3"/>
  <c r="AZ445" i="3"/>
  <c r="AZ464" i="3"/>
  <c r="AZ467" i="3"/>
  <c r="AZ474" i="3"/>
  <c r="AZ480" i="3"/>
  <c r="AZ482" i="3"/>
  <c r="AZ486" i="3"/>
  <c r="AZ488" i="3"/>
  <c r="AZ262" i="3"/>
  <c r="AZ267" i="3"/>
  <c r="AZ284" i="3"/>
  <c r="AZ292" i="3"/>
  <c r="J23" i="35"/>
  <c r="F25" i="37"/>
  <c r="J25" i="37"/>
  <c r="F26" i="37"/>
  <c r="H26" i="37"/>
  <c r="F44" i="39"/>
  <c r="H38" i="40"/>
  <c r="J38" i="40"/>
  <c r="H39" i="40"/>
  <c r="BA551" i="3"/>
  <c r="AZ551" i="3" s="1"/>
  <c r="AZ399" i="3"/>
  <c r="AZ449" i="3"/>
  <c r="AZ453" i="3"/>
  <c r="AZ455" i="3"/>
  <c r="AZ492" i="3"/>
  <c r="AZ211" i="3"/>
  <c r="AZ219" i="3"/>
  <c r="AZ236" i="3"/>
  <c r="AZ252" i="3"/>
  <c r="AZ276" i="3"/>
  <c r="AZ289" i="3"/>
  <c r="AZ294" i="3"/>
  <c r="AZ300" i="3"/>
  <c r="AZ118" i="3"/>
  <c r="AZ121" i="3"/>
  <c r="AZ137" i="3"/>
  <c r="AZ145" i="3"/>
  <c r="AZ177" i="3"/>
  <c r="AZ18" i="3"/>
  <c r="AZ27" i="3"/>
  <c r="AZ34" i="3"/>
  <c r="AZ60" i="3"/>
  <c r="AZ64" i="3"/>
  <c r="AZ78" i="3"/>
  <c r="AZ91" i="3"/>
  <c r="AZ98" i="3"/>
  <c r="AZ104" i="3"/>
  <c r="AZ108" i="3"/>
  <c r="B100" i="43"/>
  <c r="B77" i="43"/>
  <c r="B68" i="43"/>
  <c r="C29" i="39"/>
  <c r="E27" i="71"/>
  <c r="E26" i="71" s="1"/>
  <c r="V28" i="71"/>
  <c r="AA26" i="71"/>
  <c r="AA28" i="71"/>
  <c r="X33" i="71"/>
  <c r="X34" i="71"/>
  <c r="X35" i="71"/>
  <c r="AA9" i="71"/>
  <c r="AA10" i="71"/>
  <c r="AA39" i="71"/>
  <c r="AA37" i="71"/>
  <c r="C47" i="71"/>
  <c r="D47" i="71" s="1"/>
  <c r="D46" i="71"/>
  <c r="T68" i="71"/>
  <c r="D68" i="71"/>
  <c r="V68" i="71"/>
  <c r="F67" i="71"/>
  <c r="Q68" i="71"/>
  <c r="T76" i="71"/>
  <c r="D76" i="71"/>
  <c r="AA22" i="71"/>
  <c r="AA24" i="71"/>
  <c r="X21" i="71"/>
  <c r="Y21" i="71"/>
  <c r="Z21" i="71" s="1"/>
  <c r="Y14" i="71"/>
  <c r="Z14" i="71" s="1"/>
  <c r="Y17" i="71"/>
  <c r="Z17" i="71" s="1"/>
  <c r="Y11" i="71"/>
  <c r="Z11" i="71" s="1"/>
  <c r="AB17" i="71"/>
  <c r="AB10" i="71"/>
  <c r="AB11" i="71"/>
  <c r="Y10" i="71"/>
  <c r="Z10" i="71" s="1"/>
  <c r="AA13" i="71"/>
  <c r="U29" i="39"/>
  <c r="B57" i="43"/>
  <c r="AA21" i="34"/>
  <c r="S21" i="34"/>
  <c r="D64" i="71"/>
  <c r="D56" i="71"/>
  <c r="C36" i="71"/>
  <c r="C60" i="71"/>
  <c r="D63" i="71"/>
  <c r="C66" i="71"/>
  <c r="AA27" i="71"/>
  <c r="AB27" i="71"/>
  <c r="C75" i="71"/>
  <c r="O68" i="71"/>
  <c r="C31" i="71"/>
  <c r="X25" i="71"/>
  <c r="Y37" i="71"/>
  <c r="Z37" i="71" s="1"/>
  <c r="AA34" i="71"/>
  <c r="Y33" i="71"/>
  <c r="Z33" i="71" s="1"/>
  <c r="X32" i="71"/>
  <c r="X30" i="71"/>
  <c r="E40" i="71"/>
  <c r="U40" i="71" s="1"/>
  <c r="B36" i="71"/>
  <c r="S36" i="71" s="1"/>
  <c r="AA29" i="71"/>
  <c r="B32" i="71"/>
  <c r="S32" i="71" s="1"/>
  <c r="B28" i="71"/>
  <c r="X26" i="71"/>
  <c r="X28" i="71"/>
  <c r="Y29" i="71"/>
  <c r="Z29" i="71" s="1"/>
  <c r="Y28" i="71"/>
  <c r="Z28" i="71" s="1"/>
  <c r="AB29" i="71"/>
  <c r="AB28" i="71"/>
  <c r="F30" i="71"/>
  <c r="F31" i="71" s="1"/>
  <c r="F32" i="71" s="1"/>
  <c r="V32" i="71" s="1"/>
  <c r="Y31" i="71"/>
  <c r="Z31" i="71" s="1"/>
  <c r="AA30" i="71"/>
  <c r="AA31" i="71"/>
  <c r="Y32" i="71"/>
  <c r="Z32" i="71" s="1"/>
  <c r="AB32" i="71"/>
  <c r="Y35" i="71"/>
  <c r="Z35" i="71" s="1"/>
  <c r="AA33" i="71"/>
  <c r="AA32" i="71"/>
  <c r="Y36" i="71"/>
  <c r="Z36" i="71" s="1"/>
  <c r="C39" i="71"/>
  <c r="Y9" i="71"/>
  <c r="Z9" i="71" s="1"/>
  <c r="Y39" i="71"/>
  <c r="Z39" i="71" s="1"/>
  <c r="Y27" i="71"/>
  <c r="Z27" i="71" s="1"/>
  <c r="Y25" i="71"/>
  <c r="Z25" i="71" s="1"/>
  <c r="Y26" i="71"/>
  <c r="Z26" i="71" s="1"/>
  <c r="AB24" i="71"/>
  <c r="AB2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G1" i="73"/>
  <c r="F27" i="69"/>
  <c r="C16" i="15"/>
  <c r="C16" i="67"/>
  <c r="C36" i="69"/>
  <c r="D59" i="82" l="1"/>
  <c r="E59" i="82" s="1"/>
  <c r="F59" i="82" s="1"/>
  <c r="G59" i="82" s="1"/>
  <c r="H59" i="82" s="1"/>
  <c r="I59" i="82" s="1"/>
  <c r="J59" i="82" s="1"/>
  <c r="K59" i="82" s="1"/>
  <c r="L59" i="82" s="1"/>
  <c r="M59" i="82" s="1"/>
  <c r="N59" i="82" s="1"/>
  <c r="O59" i="82" s="1"/>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D39" i="71"/>
  <c r="C40" i="71"/>
  <c r="D31" i="71"/>
  <c r="C32" i="71"/>
  <c r="C74" i="71"/>
  <c r="D74" i="71" s="1"/>
  <c r="D75" i="71"/>
  <c r="T36" i="71"/>
  <c r="D36" i="71"/>
  <c r="F66" i="71"/>
  <c r="Q67" i="71"/>
  <c r="U39" i="40"/>
  <c r="AB39" i="40"/>
  <c r="AB38" i="40"/>
  <c r="U38" i="40"/>
  <c r="AB26" i="37"/>
  <c r="U26" i="37"/>
  <c r="AC25" i="37"/>
  <c r="W25" i="37"/>
  <c r="AC23" i="35"/>
  <c r="W23" i="35"/>
  <c r="C15" i="71"/>
  <c r="T16" i="71"/>
  <c r="BL5" i="3"/>
  <c r="B15" i="71"/>
  <c r="B14" i="71" s="1"/>
  <c r="B13" i="71" s="1"/>
  <c r="B12" i="71" s="1"/>
  <c r="S16" i="71"/>
  <c r="S28" i="71"/>
  <c r="B27" i="71"/>
  <c r="B26" i="71" s="1"/>
  <c r="D66" i="71"/>
  <c r="O65" i="71"/>
  <c r="O66" i="71"/>
  <c r="T60" i="71"/>
  <c r="D60" i="71"/>
  <c r="AC38" i="40"/>
  <c r="W38" i="40"/>
  <c r="AA44" i="39"/>
  <c r="S44" i="39"/>
  <c r="AA26" i="37"/>
  <c r="S26" i="37"/>
  <c r="AA25" i="37"/>
  <c r="S25" i="37"/>
  <c r="BA5" i="3"/>
  <c r="E27" i="6" s="1"/>
  <c r="K26" i="6" s="1"/>
  <c r="M26" i="6" s="1"/>
  <c r="I26" i="6" s="1"/>
  <c r="S26" i="6"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J7" i="82" l="1"/>
  <c r="F7" i="82"/>
  <c r="H7" i="82"/>
  <c r="B11" i="71"/>
  <c r="B10" i="71" s="1"/>
  <c r="B9" i="71" s="1"/>
  <c r="B8" i="71" s="1"/>
  <c r="B7" i="71" s="1"/>
  <c r="B6" i="71" s="1"/>
  <c r="B5" i="71" s="1"/>
  <c r="S12" i="71"/>
  <c r="T32" i="71"/>
  <c r="D32" i="71"/>
  <c r="T40" i="71"/>
  <c r="D40" i="71"/>
  <c r="E65" i="39"/>
  <c r="D15" i="71"/>
  <c r="C14" i="71"/>
  <c r="Q66" i="71"/>
  <c r="Q65" i="71"/>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M27" i="67"/>
  <c r="F41" i="15"/>
  <c r="E49" i="34" l="1"/>
  <c r="E54" i="34" s="1"/>
  <c r="F54" i="34" s="1"/>
  <c r="S7" i="82"/>
  <c r="AA7" i="82"/>
  <c r="R49" i="82" s="1"/>
  <c r="AB7" i="82"/>
  <c r="T49" i="82" s="1"/>
  <c r="G49" i="82" s="1"/>
  <c r="U7" i="82"/>
  <c r="W7" i="82"/>
  <c r="AC7" i="82"/>
  <c r="V49" i="82" s="1"/>
  <c r="I49" i="82" s="1"/>
  <c r="C6" i="69"/>
  <c r="C7" i="69" s="1"/>
  <c r="F69" i="67"/>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8"/>
  <c r="C14" i="67"/>
  <c r="C17" i="67"/>
  <c r="C17" i="15"/>
  <c r="D10" i="69"/>
  <c r="C34" i="69"/>
  <c r="I54" i="34" l="1"/>
  <c r="J54" i="34" s="1"/>
  <c r="E53" i="34"/>
  <c r="F53" i="34" s="1"/>
  <c r="I53" i="82"/>
  <c r="J53" i="82" s="1"/>
  <c r="R50" i="82"/>
  <c r="E49" i="82"/>
  <c r="G54" i="82"/>
  <c r="H54" i="82" s="1"/>
  <c r="G53" i="82"/>
  <c r="H53" i="82" s="1"/>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E54" i="82" l="1"/>
  <c r="F54" i="82" s="1"/>
  <c r="E53" i="82"/>
  <c r="F53" i="82" s="1"/>
  <c r="I54" i="82"/>
  <c r="J54" i="82" s="1"/>
  <c r="C49" i="82"/>
  <c r="C50" i="82"/>
  <c r="C8" i="69"/>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F7" i="21" l="1"/>
  <c r="B2" i="82"/>
  <c r="B3" i="82"/>
  <c r="J7" i="21"/>
  <c r="C8" i="68"/>
  <c r="C5" i="68" s="1"/>
  <c r="C23" i="68" s="1"/>
  <c r="C18" i="12"/>
  <c r="C21"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W7" i="35" s="1"/>
  <c r="C22" i="12"/>
  <c r="C30" i="12" s="1"/>
  <c r="C28" i="12" s="1"/>
  <c r="C20" i="68"/>
  <c r="C28" i="68" s="1"/>
  <c r="C27" i="68"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67"/>
  <c r="F35" i="15"/>
  <c r="M21" i="15"/>
  <c r="C27" i="12" l="1"/>
  <c r="C25" i="12" s="1"/>
  <c r="C32" i="12" s="1"/>
  <c r="B2" i="12" s="1"/>
  <c r="B3" i="12" s="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35" i="9"/>
  <c r="D2" i="21"/>
  <c r="C56" i="69"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L57" i="67" l="1"/>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5"/>
  <c r="D19" i="9"/>
  <c r="D2" i="34"/>
  <c r="D102" i="9" l="1"/>
  <c r="D21" i="9"/>
  <c r="Q57" i="67"/>
  <c r="Q62" i="67" s="1"/>
  <c r="Q66" i="67"/>
  <c r="M24" i="43"/>
  <c r="Q75"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2" i="1"/>
  <c r="AO7" i="1"/>
  <c r="D20" i="9"/>
  <c r="AO6" i="1"/>
  <c r="AO11" i="1"/>
  <c r="AO10" i="1"/>
  <c r="C19" i="9"/>
  <c r="AO9" i="1"/>
  <c r="AO8" i="1"/>
  <c r="C21" i="9" l="1"/>
  <c r="C102" i="9"/>
  <c r="G19" i="9"/>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9" l="1"/>
  <c r="C35" i="9" s="1"/>
  <c r="C34" i="9" s="1"/>
  <c r="G21" i="9"/>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E14" i="74" l="1"/>
  <c r="N32" i="1"/>
  <c r="D14" i="74"/>
  <c r="G14" i="74"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l="1"/>
  <c r="I118" i="9"/>
  <c r="H118" i="9" s="1"/>
  <c r="C104" i="9" s="1"/>
  <c r="H4" i="52" l="1"/>
  <c r="H101" i="9"/>
  <c r="H119" i="9"/>
  <c r="H5" i="52" s="1"/>
  <c r="G4" i="52"/>
  <c r="B52" i="72" s="1"/>
  <c r="F118" i="9"/>
  <c r="D5" i="53"/>
  <c r="M48" i="9"/>
  <c r="D45" i="9"/>
  <c r="H107" i="9"/>
  <c r="I4" i="52"/>
  <c r="H102" i="9"/>
  <c r="C105" i="9"/>
  <c r="E118" i="9"/>
  <c r="E4" i="52" l="1"/>
  <c r="B48" i="72" s="1"/>
  <c r="D118" i="9"/>
  <c r="F119" i="9"/>
  <c r="F5" i="52" s="1"/>
  <c r="B53" i="72" s="1"/>
  <c r="F4" i="52"/>
  <c r="B51" i="72" s="1"/>
  <c r="D52" i="9"/>
  <c r="D55" i="9"/>
  <c r="M53" i="9" s="1"/>
  <c r="D53" i="9"/>
  <c r="C93" i="9"/>
  <c r="C86" i="9" s="1"/>
  <c r="C72" i="9"/>
  <c r="C78" i="9"/>
  <c r="C73" i="9" s="1"/>
  <c r="C64" i="9"/>
  <c r="C63" i="9" s="1"/>
  <c r="C67" i="9" s="1"/>
  <c r="C85" i="9"/>
  <c r="B20" i="72"/>
  <c r="D6" i="53"/>
  <c r="B22" i="72" s="1"/>
  <c r="C5" i="74"/>
  <c r="D7" i="53"/>
  <c r="B21" i="72" s="1"/>
  <c r="D122" i="9"/>
  <c r="D13" i="53"/>
  <c r="H108" i="9"/>
  <c r="M49" i="9"/>
  <c r="D4" i="52" l="1"/>
  <c r="B47" i="72" s="1"/>
  <c r="D119" i="9"/>
  <c r="D5" i="52" s="1"/>
  <c r="B49" i="72" s="1"/>
  <c r="C95" i="9"/>
  <c r="C96" i="9" s="1"/>
  <c r="E96" i="9" s="1"/>
  <c r="E97" i="9" s="1"/>
  <c r="L64" i="9"/>
  <c r="M64" i="9" s="1"/>
  <c r="L66" i="9"/>
  <c r="M66" i="9" s="1"/>
  <c r="L65" i="9"/>
  <c r="M65" i="9" s="1"/>
  <c r="L67" i="9"/>
  <c r="M67" i="9" s="1"/>
  <c r="L68" i="9"/>
  <c r="M68" i="9" s="1"/>
  <c r="L63" i="9"/>
  <c r="M63" i="9" s="1"/>
  <c r="B30" i="72"/>
  <c r="D14" i="53"/>
  <c r="B32" i="72" s="1"/>
  <c r="D15" i="53"/>
  <c r="B31" i="72" s="1"/>
  <c r="C6" i="74"/>
  <c r="D8" i="52"/>
  <c r="D123" i="9"/>
  <c r="D9" i="52" s="1"/>
  <c r="C68" i="9"/>
  <c r="D54" i="9" s="1"/>
  <c r="D59" i="9"/>
  <c r="M55" i="9" s="1"/>
  <c r="C79" i="9"/>
  <c r="C97" i="9" l="1"/>
  <c r="D58" i="9" s="1"/>
  <c r="D56" i="9" s="1"/>
  <c r="M54" i="9" s="1"/>
  <c r="N57" i="9" s="1"/>
  <c r="P57" i="9" s="1"/>
  <c r="M69" i="9"/>
  <c r="N69" i="9" s="1"/>
  <c r="C80" i="9"/>
  <c r="E80" i="9" s="1"/>
  <c r="E81" i="9" s="1"/>
  <c r="C81" i="9" l="1"/>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<sst xmlns="http://schemas.openxmlformats.org/spreadsheetml/2006/main" count="8243" uniqueCount="3467">
  <si>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</si>
  <si>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</si>
  <si>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</si>
  <si>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</si>
  <si>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</si>
  <si>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</si>
  <si>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</si>
  <si>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</si>
  <si>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</si>
  <si>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</si>
  <si>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</si>
  <si>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</si>
  <si>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</si>
  <si>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</si>
  <si>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</si>
  <si>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</si>
  <si>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</si>
  <si>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</si>
  <si>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</si>
  <si>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</si>
  <si>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</si>
  <si>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</si>
  <si>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</si>
  <si>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</si>
  <si>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</si>
  <si>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</si>
  <si>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</si>
  <si>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</si>
  <si>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</si>
  <si>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</si>
  <si>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</si>
  <si>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</si>
  <si>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</si>
  <si>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</si>
  <si>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</si>
  <si>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</si>
  <si>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</si>
  <si>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</si>
  <si>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</si>
  <si>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</si>
  <si>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</si>
  <si>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</si>
  <si>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</si>
  <si>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</si>
  <si>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</si>
  <si>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</si>
  <si>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</si>
  <si>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</si>
  <si>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</si>
  <si>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</si>
  <si>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</si>
  <si>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</si>
  <si>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</si>
  <si>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</si>
  <si>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</si>
  <si>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</si>
  <si>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</si>
  <si>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</si>
  <si>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</si>
  <si>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</si>
  <si>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</si>
  <si>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</si>
  <si>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</si>
  <si>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</si>
  <si>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</si>
  <si>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</si>
  <si>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</si>
  <si>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</si>
  <si>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</si>
  <si>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</si>
  <si>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</si>
  <si>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</si>
  <si>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</si>
  <si>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</si>
  <si>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</si>
  <si>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</si>
  <si>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</si>
  <si>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</si>
  <si>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</si>
  <si>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</si>
  <si>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</si>
  <si>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</si>
  <si>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</si>
  <si>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</si>
  <si>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</si>
  <si>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</si>
  <si>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</si>
  <si>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</si>
  <si>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</si>
  <si>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</si>
  <si>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</si>
  <si>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</si>
  <si>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</si>
  <si>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</si>
  <si>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</si>
  <si>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</si>
  <si>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</si>
  <si>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</si>
  <si>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</si>
  <si>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</si>
  <si>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</si>
  <si>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</si>
  <si>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</si>
  <si>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</si>
  <si>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</si>
  <si>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</si>
  <si>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</si>
  <si>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</si>
  <si>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</si>
  <si>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</si>
  <si>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</si>
  <si>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</si>
  <si>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</si>
  <si>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</si>
  <si>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</si>
  <si>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</si>
  <si>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</si>
  <si>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</si>
  <si>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</si>
  <si>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</si>
  <si>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</si>
  <si>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</si>
  <si>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</si>
  <si>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</si>
  <si>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</si>
  <si>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</si>
  <si>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</si>
  <si>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</si>
  <si>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</si>
  <si>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</si>
  <si>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</si>
  <si>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</si>
  <si>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</si>
  <si>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</si>
  <si>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</si>
  <si>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</si>
  <si>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</si>
  <si>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</si>
  <si>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</si>
  <si>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</si>
  <si>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</si>
  <si>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</si>
  <si>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</si>
  <si>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</si>
  <si>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</si>
  <si>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</si>
  <si>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</si>
  <si>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</si>
  <si>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</si>
  <si>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</si>
  <si>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</si>
  <si>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</si>
  <si>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</si>
  <si>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</si>
  <si>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</si>
  <si>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</si>
  <si>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</si>
  <si>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</si>
  <si>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</si>
  <si>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</si>
  <si>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</si>
  <si>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</si>
  <si>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</si>
  <si>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</si>
  <si>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</si>
  <si>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</si>
  <si>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</si>
  <si>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</si>
  <si>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</si>
  <si>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</si>
  <si>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</si>
  <si>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</si>
  <si>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</si>
  <si>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</si>
  <si>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</si>
  <si>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</si>
  <si>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</si>
  <si>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</si>
  <si>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</si>
  <si>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</si>
  <si>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</si>
  <si>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</si>
  <si>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</si>
  <si>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</si>
  <si>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</si>
  <si>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</si>
  <si>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</si>
  <si>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</si>
  <si>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</si>
  <si>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</si>
  <si>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</si>
  <si>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</si>
  <si>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</si>
  <si>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</si>
  <si>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</si>
  <si>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</si>
  <si>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</si>
  <si>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</si>
  <si>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</si>
  <si>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</si>
  <si>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</si>
  <si>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</si>
  <si>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</si>
  <si>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</si>
  <si>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</si>
  <si>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</si>
  <si>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</si>
  <si>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</si>
  <si>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</si>
  <si>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</si>
  <si>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</si>
  <si>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</si>
  <si>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</si>
  <si>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</si>
  <si>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</si>
  <si>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</si>
  <si>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</si>
  <si>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</si>
  <si>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</si>
  <si>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</si>
  <si>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</si>
  <si>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</si>
  <si>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</si>
  <si>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</si>
  <si>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</si>
  <si>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</si>
  <si>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</si>
  <si>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</si>
  <si>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</si>
  <si>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</si>
  <si>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</si>
  <si>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</si>
  <si>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</si>
  <si>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</si>
  <si>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</si>
  <si>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</si>
  <si>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</si>
  <si>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</si>
  <si>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</si>
  <si>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</si>
  <si>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</si>
  <si>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</si>
  <si>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</si>
  <si>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</si>
  <si>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</si>
  <si>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</si>
  <si>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</si>
  <si>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</si>
  <si>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</si>
  <si>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</si>
  <si>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</si>
  <si>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</si>
  <si>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</si>
  <si>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</si>
  <si>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</si>
  <si>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</si>
  <si>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</si>
  <si>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</si>
  <si>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</si>
  <si>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</si>
  <si>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</si>
  <si>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</si>
  <si>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</si>
  <si>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</si>
  <si>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</si>
  <si>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</si>
  <si>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</si>
  <si>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</si>
  <si>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</si>
  <si>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</si>
  <si>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</si>
  <si>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</si>
  <si>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</si>
  <si>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</si>
  <si>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</si>
  <si>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</si>
  <si>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</si>
  <si>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</si>
  <si>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</si>
  <si>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</si>
  <si>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</si>
  <si>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</si>
  <si>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</si>
  <si>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</si>
  <si>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</si>
  <si>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</si>
  <si>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</si>
  <si>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</si>
  <si>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</si>
  <si>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</si>
  <si>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</si>
  <si>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</si>
  <si>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</si>
  <si>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</si>
  <si>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</si>
  <si>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</si>
  <si>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</si>
  <si>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</si>
  <si>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</si>
  <si>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</si>
  <si>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</si>
  <si>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</si>
  <si>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</si>
  <si>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</si>
  <si>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</si>
  <si>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</si>
  <si>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</si>
  <si>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</si>
  <si>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</si>
  <si>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</si>
  <si>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</si>
  <si>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</si>
  <si>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</si>
  <si>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</si>
  <si>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</si>
  <si>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</si>
  <si>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</si>
  <si>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</si>
  <si>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</si>
  <si>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</si>
  <si>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</si>
  <si>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</si>
  <si>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</si>
  <si>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</si>
  <si>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</si>
  <si>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</si>
  <si>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</si>
  <si>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</si>
  <si>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</si>
  <si>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</si>
  <si>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</si>
  <si>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</si>
  <si>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</si>
  <si>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</si>
  <si>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</si>
  <si>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</si>
  <si>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</si>
  <si>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</si>
  <si>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</si>
  <si>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</si>
  <si>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</si>
  <si>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</si>
  <si>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</si>
  <si>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</si>
  <si>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</si>
  <si>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</si>
  <si>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</si>
  <si>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</si>
  <si>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</si>
  <si>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</si>
  <si>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</si>
  <si>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</si>
  <si>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</si>
  <si>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</si>
  <si>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</si>
  <si>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</si>
  <si>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</si>
  <si>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</si>
  <si>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</si>
  <si>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</si>
  <si>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</si>
  <si>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</si>
  <si>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</si>
  <si>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</si>
  <si>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</si>
  <si>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</si>
  <si>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</si>
  <si>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</si>
  <si>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</si>
  <si>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</si>
  <si>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</si>
  <si>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</si>
  <si>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</si>
  <si>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</si>
  <si>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</si>
  <si>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</si>
  <si>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</si>
  <si>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</si>
  <si>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</si>
  <si>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</si>
  <si>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</si>
  <si>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</si>
  <si>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</si>
  <si>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</si>
  <si>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</si>
  <si>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</si>
  <si>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</si>
  <si>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</si>
  <si>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</si>
  <si>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</si>
  <si>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</si>
  <si>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</si>
  <si>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</si>
  <si>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</si>
  <si>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</si>
  <si>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</si>
  <si>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</si>
  <si>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</si>
  <si>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</si>
  <si>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</si>
  <si>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</si>
  <si>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</si>
  <si>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</si>
  <si>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</si>
  <si>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</si>
  <si>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</si>
  <si>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</si>
  <si>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</si>
  <si>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</si>
  <si>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</si>
  <si>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</si>
  <si>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</si>
  <si>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</si>
  <si>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</si>
  <si>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</si>
  <si>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</si>
  <si>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</si>
  <si>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</si>
  <si>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</si>
  <si>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</si>
  <si>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</si>
  <si>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</si>
  <si>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</si>
  <si>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</si>
  <si>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</si>
  <si>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</si>
  <si>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</si>
  <si>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</si>
  <si>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</si>
  <si>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</si>
  <si>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</si>
  <si>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</si>
  <si>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</si>
  <si>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</si>
  <si>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</si>
  <si>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</si>
  <si>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</si>
  <si>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</si>
  <si>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</si>
  <si>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</si>
  <si>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</si>
  <si>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</si>
  <si>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</si>
  <si>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</si>
  <si>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</si>
  <si>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</si>
  <si>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</si>
  <si>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</si>
  <si>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</si>
  <si>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</si>
  <si>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</si>
  <si>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</si>
  <si>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</si>
  <si>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</si>
  <si>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</si>
  <si>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</si>
  <si>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</si>
  <si>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</si>
  <si>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</si>
  <si>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</si>
  <si>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</si>
  <si>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</si>
  <si>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</si>
  <si>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</si>
  <si>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</si>
  <si>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</si>
  <si>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</si>
  <si>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</si>
  <si>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</si>
  <si>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</si>
  <si>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</si>
  <si>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</si>
  <si>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</si>
  <si>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</si>
  <si>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</si>
  <si>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</si>
  <si>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</si>
  <si>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</si>
  <si>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</si>
  <si>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</si>
  <si>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</si>
  <si>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</si>
  <si>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</si>
  <si>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</si>
  <si>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</si>
  <si>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</si>
  <si>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</si>
  <si>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</si>
  <si>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</si>
  <si>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</si>
  <si>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</si>
  <si>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</si>
  <si>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</si>
  <si>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</si>
  <si>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</si>
  <si>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</si>
  <si>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</si>
  <si>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</si>
  <si>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</si>
  <si>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</si>
  <si>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</si>
  <si>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</si>
  <si>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</si>
  <si>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</si>
  <si>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</si>
  <si>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</si>
  <si>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</si>
  <si>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</si>
  <si>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</si>
  <si>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</si>
  <si>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</si>
  <si>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</si>
  <si>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</si>
  <si>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</si>
  <si>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</si>
  <si>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</si>
  <si>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</si>
  <si>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</si>
  <si>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</si>
  <si>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</si>
  <si>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</si>
  <si>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</si>
  <si>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</si>
  <si>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</si>
  <si>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</si>
  <si>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</si>
  <si>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</si>
  <si>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</si>
  <si>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</si>
  <si>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</si>
  <si>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</si>
  <si>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</si>
  <si>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</si>
  <si>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</si>
  <si>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</si>
  <si>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</si>
  <si>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</si>
  <si>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</si>
  <si>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</si>
  <si>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</si>
  <si>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</si>
  <si>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</si>
  <si>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</si>
  <si>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</si>
  <si>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</si>
  <si>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</si>
  <si>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</si>
  <si>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</si>
  <si>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</si>
  <si>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</si>
  <si>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</si>
  <si>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</si>
  <si>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</si>
  <si>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</si>
  <si>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</si>
  <si>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</si>
  <si>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</si>
  <si>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</si>
  <si>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</si>
  <si>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</si>
  <si>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</si>
  <si>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</si>
  <si>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</si>
  <si>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</si>
  <si>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</si>
  <si>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</si>
  <si>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</si>
  <si>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</si>
  <si>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</si>
  <si>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</si>
  <si>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</si>
  <si>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</si>
  <si>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</si>
  <si>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</si>
  <si>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</si>
  <si>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</si>
  <si>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</si>
  <si>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</si>
  <si>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</si>
  <si>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</si>
  <si>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</si>
  <si>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</si>
  <si>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</si>
  <si>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</si>
  <si>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</si>
  <si>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</si>
  <si>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</si>
  <si>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</si>
  <si>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</si>
  <si>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</si>
  <si>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</si>
  <si>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</si>
  <si>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</si>
  <si>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</si>
  <si>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</si>
  <si>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</si>
  <si>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</si>
  <si>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</si>
  <si>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</si>
  <si>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</si>
  <si>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</si>
  <si>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</si>
  <si>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</si>
  <si>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</si>
  <si>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</si>
  <si>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</si>
  <si>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</si>
  <si>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</si>
  <si>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</si>
  <si>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</si>
  <si>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</si>
  <si>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</si>
  <si>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</si>
  <si>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</si>
  <si>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</si>
  <si>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</si>
  <si>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</si>
  <si>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</si>
  <si>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</si>
  <si>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</si>
  <si>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</si>
  <si>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</si>
  <si>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</si>
  <si>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</si>
  <si>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</si>
  <si>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</si>
  <si>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</si>
  <si>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</si>
  <si>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</si>
  <si>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</si>
  <si>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</si>
  <si>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</si>
  <si>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</si>
  <si>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</si>
  <si>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</si>
  <si>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</si>
  <si>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</si>
  <si>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</si>
  <si>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</si>
  <si>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</si>
  <si>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</si>
  <si>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</si>
  <si>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</si>
  <si>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</si>
  <si>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</si>
  <si>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</si>
  <si>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</si>
  <si>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</si>
  <si>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</si>
  <si>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</si>
  <si>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</si>
  <si>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</si>
  <si>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</si>
  <si>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</si>
  <si>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</si>
  <si>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</si>
  <si>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</si>
  <si>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</si>
  <si>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</si>
  <si>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</si>
  <si>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</si>
  <si>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</si>
  <si>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</si>
  <si>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</si>
  <si>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</si>
  <si>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</si>
  <si>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</si>
  <si>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</si>
  <si>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</si>
  <si>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</si>
  <si>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</si>
  <si>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</si>
  <si>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</si>
  <si>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</si>
  <si>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</si>
  <si>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</si>
  <si>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</si>
  <si>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</si>
  <si>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</si>
  <si>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</si>
  <si>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</si>
  <si>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</si>
  <si>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</si>
  <si>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</si>
  <si>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</si>
  <si>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</si>
  <si>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</si>
  <si>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</si>
  <si>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</si>
  <si>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</si>
  <si>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</si>
  <si>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</si>
  <si>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</si>
  <si>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</si>
  <si>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</si>
  <si>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</si>
  <si>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</si>
  <si>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</si>
  <si>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</si>
  <si>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</si>
  <si>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</si>
  <si>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</si>
  <si>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</si>
  <si>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</si>
  <si>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</si>
  <si>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</si>
  <si>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</si>
  <si>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</si>
  <si>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</si>
  <si>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</si>
  <si>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</si>
  <si>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</si>
  <si>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</si>
  <si>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</si>
  <si>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</si>
  <si>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</si>
  <si>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</si>
  <si>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</si>
  <si>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</si>
  <si>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</si>
  <si>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</si>
  <si>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</si>
  <si>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</si>
  <si>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</si>
  <si>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</si>
  <si>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</si>
  <si>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</si>
  <si>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</si>
  <si>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</si>
  <si>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</si>
  <si>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</si>
  <si>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</si>
  <si>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</si>
  <si>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</si>
  <si>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</si>
  <si>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</si>
  <si>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</si>
  <si>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</si>
  <si>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</si>
  <si>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</si>
  <si>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</si>
  <si>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</si>
  <si>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</si>
  <si>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</si>
  <si>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</si>
  <si>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</si>
  <si>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</si>
  <si>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</si>
  <si>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</si>
  <si>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</si>
  <si>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</si>
  <si>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</si>
  <si>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</si>
  <si>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</si>
  <si>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</si>
  <si>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</si>
  <si>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</si>
  <si>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</si>
  <si>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</si>
  <si>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</si>
  <si>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</si>
  <si>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</si>
  <si>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</si>
  <si>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</si>
  <si>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</si>
  <si>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</si>
  <si>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</si>
  <si>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</si>
  <si>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</si>
  <si>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</si>
  <si>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</si>
  <si>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</si>
  <si>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</si>
  <si>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</si>
  <si>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</si>
  <si>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</si>
  <si>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</si>
  <si>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</si>
  <si>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</si>
  <si>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</si>
  <si>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</si>
  <si>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</si>
  <si>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</si>
  <si>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</si>
  <si>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</si>
  <si>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</si>
  <si>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</si>
  <si>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</si>
  <si>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</si>
  <si>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</si>
  <si>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</si>
  <si>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</si>
  <si>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</si>
  <si>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</si>
  <si>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</si>
  <si>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</si>
  <si>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</si>
  <si>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</si>
  <si>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</si>
  <si>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</si>
  <si>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</si>
  <si>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</si>
  <si>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</si>
  <si>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</si>
  <si>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</si>
  <si>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</si>
  <si>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</si>
  <si>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</si>
  <si>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</si>
  <si>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</si>
  <si>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</si>
  <si>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</si>
  <si>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</si>
  <si>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</si>
  <si>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</si>
  <si>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</si>
  <si>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</si>
  <si>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</si>
  <si>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</si>
  <si>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</si>
  <si>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</si>
  <si>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</si>
  <si>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</si>
  <si>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</si>
  <si>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</si>
  <si>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</si>
  <si>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</si>
  <si>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</si>
  <si>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</si>
  <si>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</si>
  <si>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</si>
  <si>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</si>
  <si>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</si>
  <si>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</si>
  <si>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</si>
  <si>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</si>
  <si>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</si>
  <si>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</si>
  <si>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</si>
  <si>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</si>
  <si>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</si>
  <si>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</si>
  <si>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</si>
  <si>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</si>
  <si>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</si>
  <si>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</si>
  <si>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</si>
  <si>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</si>
  <si>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</si>
  <si>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</si>
  <si>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</si>
  <si>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</si>
  <si>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</si>
  <si>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</si>
  <si>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</si>
  <si>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</si>
  <si>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</si>
  <si>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</si>
  <si>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</si>
  <si>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</si>
  <si>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</si>
  <si>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</si>
  <si>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</si>
  <si>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</si>
  <si>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</si>
  <si>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</si>
  <si>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</si>
  <si>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</si>
  <si>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</si>
  <si>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</si>
  <si>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</si>
  <si>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</si>
  <si>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</si>
  <si>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</si>
  <si>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</si>
  <si>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</si>
  <si>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</si>
  <si>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</si>
  <si>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</si>
  <si>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</si>
  <si>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</si>
  <si>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</si>
  <si>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</si>
  <si>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</si>
  <si>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</si>
  <si>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</si>
  <si>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</si>
  <si>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</si>
  <si>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</si>
  <si>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</si>
  <si>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</si>
  <si>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</si>
  <si>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</si>
  <si>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</si>
  <si>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</si>
  <si>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</si>
  <si>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</si>
  <si>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</si>
  <si>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</si>
  <si>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</si>
  <si>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</si>
  <si>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</si>
  <si>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</si>
  <si>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</si>
  <si>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</si>
  <si>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</si>
  <si>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</si>
  <si>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</si>
  <si>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</si>
  <si>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</si>
  <si>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</si>
  <si>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</si>
  <si>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</si>
  <si>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</si>
  <si>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</si>
  <si>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</si>
  <si>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</si>
  <si>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</si>
  <si>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</si>
  <si>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</si>
  <si>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</si>
  <si>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</si>
  <si>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</si>
  <si>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</si>
  <si>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</si>
  <si>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</si>
  <si>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</si>
  <si>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</si>
  <si>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</si>
  <si>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</si>
  <si>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</si>
  <si>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</si>
  <si>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</si>
  <si>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</si>
  <si>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</si>
  <si>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</si>
  <si>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</si>
  <si>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</si>
  <si>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</si>
  <si>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</si>
  <si>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</si>
  <si>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</si>
  <si>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</si>
  <si>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</si>
  <si>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</si>
  <si>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</si>
  <si>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</si>
  <si>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</si>
  <si>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</si>
  <si>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</si>
  <si>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</si>
  <si>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</si>
  <si>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</si>
  <si>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</si>
  <si>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</si>
  <si>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</si>
  <si>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</si>
  <si>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</si>
  <si>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</si>
  <si>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</si>
  <si>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</si>
  <si>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</si>
  <si>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</si>
  <si>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</si>
  <si>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</si>
  <si>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</si>
  <si>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</si>
  <si>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</si>
  <si>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</si>
  <si>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</si>
  <si>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</si>
  <si>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</si>
  <si>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</si>
  <si>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</si>
  <si>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</si>
  <si>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</si>
  <si>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</si>
  <si>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</si>
  <si>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</si>
  <si>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</si>
  <si>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</si>
  <si>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</si>
  <si>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</si>
  <si>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</si>
  <si>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</si>
  <si>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</si>
  <si>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</si>
  <si>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</si>
  <si>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</si>
  <si>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</si>
  <si>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</si>
  <si>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</si>
  <si>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</si>
  <si>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</si>
  <si>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</si>
  <si>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</si>
  <si>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</si>
  <si>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</si>
  <si>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</si>
  <si>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</si>
  <si>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</si>
  <si>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</si>
  <si>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</si>
  <si>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</si>
  <si>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</si>
  <si>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</si>
  <si>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</si>
  <si>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</si>
  <si>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</si>
  <si>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</si>
  <si>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</si>
  <si>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</si>
  <si>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</si>
  <si>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</si>
  <si>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</si>
  <si>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</si>
  <si>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</si>
  <si>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</si>
  <si>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</si>
  <si>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</si>
  <si>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</si>
  <si>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</si>
  <si>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</si>
  <si>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</si>
  <si>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</si>
  <si>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</si>
  <si>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</si>
  <si>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</si>
  <si>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</si>
  <si>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</si>
  <si>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</si>
  <si>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</si>
  <si>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</si>
  <si>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</si>
  <si>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</si>
  <si>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</si>
  <si>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</si>
  <si>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</si>
  <si>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</si>
  <si>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</si>
  <si>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</si>
  <si>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</si>
  <si>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</si>
  <si>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</si>
  <si>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</si>
  <si>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</si>
  <si>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</si>
  <si>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</si>
  <si>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</si>
  <si>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</si>
  <si>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</si>
  <si>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</si>
  <si>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</si>
  <si>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</si>
  <si>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</si>
  <si>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</si>
  <si>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</si>
  <si>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</si>
  <si>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</si>
  <si>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</si>
  <si>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</si>
  <si>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</si>
  <si>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</si>
  <si>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</si>
  <si>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</si>
  <si>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</si>
  <si>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</si>
  <si>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</si>
  <si>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</si>
  <si>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</si>
  <si>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</si>
  <si>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</si>
  <si>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</si>
  <si>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</si>
  <si>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</si>
  <si>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</si>
  <si>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</si>
  <si>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</si>
  <si>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</si>
  <si>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</si>
  <si>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</si>
  <si>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</si>
  <si>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</si>
  <si>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</si>
  <si>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</si>
  <si>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</si>
  <si>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</si>
  <si>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</si>
  <si>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</si>
  <si>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</si>
  <si>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</si>
  <si>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</si>
  <si>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</si>
  <si>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</si>
  <si>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</si>
  <si>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</si>
  <si>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</si>
  <si>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</si>
  <si>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</si>
  <si>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</si>
  <si>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</si>
  <si>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</si>
  <si>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</si>
  <si>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</si>
  <si>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</si>
  <si>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</si>
  <si>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</si>
  <si>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</si>
  <si>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</si>
  <si>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</si>
  <si>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</si>
  <si>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</si>
  <si>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</si>
  <si>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</si>
  <si>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</si>
  <si>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</si>
  <si>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</si>
  <si>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</si>
  <si>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</si>
  <si>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</si>
  <si>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</si>
  <si>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</si>
  <si>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</si>
  <si>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</si>
  <si>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</si>
  <si>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</si>
  <si>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</si>
  <si>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</si>
  <si>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</si>
  <si>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</si>
  <si>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</si>
  <si>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</si>
  <si>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</si>
  <si>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</si>
  <si>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</si>
  <si>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</si>
  <si>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</si>
  <si>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</si>
  <si>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</si>
  <si>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</si>
  <si>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</si>
  <si>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</si>
  <si>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</si>
  <si>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</si>
  <si>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</si>
  <si>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</si>
  <si>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</si>
  <si>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</si>
  <si>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</si>
  <si>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</si>
  <si>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</si>
  <si>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</si>
  <si>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</si>
  <si>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</si>
  <si>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</si>
  <si>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</si>
  <si>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</si>
  <si>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</si>
  <si>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</si>
  <si>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</si>
  <si>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</si>
  <si>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</si>
  <si>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</si>
  <si>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</si>
  <si>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</si>
  <si>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</si>
  <si>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</si>
  <si>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</si>
  <si>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</si>
  <si>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</si>
  <si>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</si>
  <si>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</si>
  <si>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</si>
  <si>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</si>
  <si>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</si>
  <si>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</si>
  <si>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</si>
  <si>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</si>
  <si>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</si>
  <si>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</si>
  <si>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</si>
  <si>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</si>
  <si>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</si>
  <si>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</si>
  <si>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</si>
  <si>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</si>
  <si>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</si>
  <si>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</si>
  <si>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</si>
  <si>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</si>
  <si>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</si>
  <si>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</si>
  <si>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</si>
  <si>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</si>
  <si>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</si>
  <si>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</si>
  <si>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</si>
  <si>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</si>
  <si>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</si>
  <si>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</si>
  <si>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</si>
  <si>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</si>
  <si>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</si>
  <si>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</si>
  <si>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</si>
  <si>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</si>
  <si>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</si>
  <si>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</si>
  <si>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</si>
  <si>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</si>
  <si>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</si>
  <si>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</si>
  <si>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</si>
  <si>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</si>
  <si>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</si>
  <si>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</si>
  <si>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</si>
  <si>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</si>
  <si>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</si>
  <si>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</si>
  <si>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</si>
  <si>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</si>
  <si>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</si>
  <si>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</si>
  <si>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</si>
  <si>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</si>
  <si>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</si>
  <si>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</si>
  <si>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</si>
  <si>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</si>
  <si>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</si>
  <si>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</si>
  <si>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</si>
  <si>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</si>
  <si>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</si>
  <si>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</si>
  <si>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</si>
  <si>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</si>
  <si>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</si>
  <si>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</si>
  <si>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</si>
  <si>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</si>
  <si>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</si>
  <si>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</si>
  <si>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</si>
  <si>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</si>
  <si>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</si>
  <si>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</si>
  <si>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</si>
  <si>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</si>
  <si>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</si>
  <si>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</si>
  <si>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</si>
  <si>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</si>
  <si>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</si>
  <si>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</si>
  <si>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</si>
  <si>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</si>
  <si>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</si>
  <si>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</si>
  <si>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</si>
  <si>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</si>
  <si>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</si>
  <si>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</si>
  <si>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</si>
  <si>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</si>
  <si>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</si>
  <si>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</si>
  <si>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</si>
  <si>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</si>
  <si>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</si>
  <si>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</si>
  <si>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</si>
  <si>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</si>
  <si>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</si>
  <si>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</si>
  <si>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</si>
  <si>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</si>
  <si>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</si>
  <si>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</si>
  <si>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</si>
  <si>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</si>
  <si>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</si>
  <si>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</si>
  <si>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</si>
  <si>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</si>
  <si>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</si>
  <si>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</si>
  <si>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</si>
  <si>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</si>
  <si>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</si>
  <si>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</si>
  <si>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</si>
  <si>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</si>
  <si>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</si>
  <si>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</si>
  <si>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</si>
  <si>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</si>
  <si>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</si>
  <si>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</si>
  <si>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</si>
  <si>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</si>
  <si>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</si>
  <si>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</si>
  <si>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</si>
  <si>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</si>
  <si>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</si>
  <si>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</si>
  <si>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</si>
  <si>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</si>
  <si>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</si>
  <si>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</si>
  <si>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</si>
  <si>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</si>
  <si>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</si>
  <si>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</si>
  <si>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</si>
  <si>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</si>
  <si>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</si>
  <si>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</si>
  <si>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</si>
  <si>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</si>
  <si>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</si>
  <si>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</si>
  <si>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</si>
  <si>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</si>
  <si>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</si>
  <si>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</si>
  <si>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</si>
  <si>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</si>
  <si>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</si>
  <si>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</si>
  <si>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</si>
  <si>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</si>
  <si>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</si>
  <si>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</si>
  <si>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</si>
  <si>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</si>
  <si>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</si>
  <si>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</si>
  <si>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</si>
  <si>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</si>
  <si>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</si>
  <si>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</si>
  <si>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</si>
  <si>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</si>
  <si>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</si>
  <si>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</si>
  <si>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</si>
  <si>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</si>
  <si>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</si>
  <si>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</si>
  <si>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</si>
  <si>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</si>
  <si>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</si>
  <si>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</si>
  <si>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</si>
  <si>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</si>
  <si>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</si>
  <si>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</si>
  <si>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</si>
  <si>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</si>
  <si>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</si>
  <si>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</si>
  <si>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</si>
  <si>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</si>
  <si>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</si>
  <si>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</si>
  <si>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</si>
  <si>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</si>
  <si>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</si>
  <si>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</si>
  <si>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</si>
  <si>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</si>
  <si>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</si>
  <si>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</si>
  <si>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</si>
  <si>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</si>
  <si>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</si>
  <si>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</si>
  <si>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</si>
  <si>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</si>
  <si>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</si>
  <si>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</si>
  <si>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</si>
  <si>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</si>
  <si>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</si>
  <si>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</si>
  <si>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</si>
  <si>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</si>
  <si>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</si>
  <si>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</si>
  <si>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</si>
  <si>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</si>
  <si>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</si>
  <si>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</si>
  <si>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</si>
  <si>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</si>
  <si>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</si>
  <si>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</si>
  <si>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</si>
  <si>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</si>
  <si>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</si>
  <si>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</si>
  <si>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</si>
  <si>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</si>
  <si>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</si>
  <si>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</si>
  <si>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</si>
  <si>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</si>
  <si>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</si>
  <si>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</si>
  <si>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</si>
  <si>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</si>
  <si>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</si>
  <si>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</si>
  <si>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</si>
  <si>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</si>
  <si>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</si>
  <si>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</si>
  <si>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</si>
  <si>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</si>
  <si>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</si>
  <si>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</si>
  <si>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</si>
  <si>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</si>
  <si>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</si>
  <si>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</si>
  <si>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</si>
  <si>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</si>
  <si>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</si>
  <si>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</si>
  <si>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</si>
  <si>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</si>
  <si>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</si>
  <si>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</si>
  <si>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</si>
  <si>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</si>
  <si>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</si>
  <si>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</si>
  <si>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</si>
  <si>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</si>
  <si>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</si>
  <si>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</si>
  <si>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</si>
  <si>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</si>
  <si>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</si>
  <si>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</si>
  <si>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</si>
  <si>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</si>
  <si>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</si>
  <si>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</si>
  <si>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</si>
  <si>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</si>
  <si>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</si>
  <si>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</si>
  <si>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</si>
  <si>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</si>
  <si>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</si>
  <si>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</si>
  <si>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</si>
  <si>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</si>
  <si>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</si>
  <si>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</si>
  <si>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</si>
  <si>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</si>
  <si>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</si>
  <si>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</si>
  <si>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</si>
  <si>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</si>
  <si>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</si>
  <si>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</si>
  <si>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</si>
  <si>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</si>
  <si>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</si>
  <si>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</si>
  <si>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</si>
  <si>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</si>
  <si>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</si>
  <si>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</si>
  <si>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</si>
  <si>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</si>
  <si>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</si>
  <si>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</si>
  <si>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</si>
  <si>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</si>
  <si>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</si>
  <si>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</si>
  <si>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</si>
  <si>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</si>
  <si>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</si>
  <si>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</si>
  <si>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</si>
  <si>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</si>
  <si>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</si>
  <si>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</si>
  <si>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</si>
  <si>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</si>
  <si>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</si>
  <si>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</si>
  <si>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</si>
  <si>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</si>
  <si>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</si>
  <si>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</si>
  <si>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</si>
  <si>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</si>
  <si>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</si>
  <si>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</si>
  <si>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</si>
  <si>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</si>
  <si>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</si>
  <si>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</si>
  <si>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</si>
  <si>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</si>
  <si>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</si>
  <si>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</si>
  <si>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</si>
  <si>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</si>
  <si>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</si>
  <si>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</si>
  <si>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</si>
  <si>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</si>
  <si>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</si>
  <si>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</si>
  <si>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</si>
  <si>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</si>
  <si>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</si>
  <si>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</si>
  <si>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</si>
  <si>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</si>
  <si>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</si>
  <si>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</si>
  <si>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</si>
  <si>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</si>
  <si>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</si>
  <si>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</si>
  <si>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</si>
  <si>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</si>
  <si>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</si>
  <si>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</si>
  <si>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</si>
  <si>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</si>
  <si>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</si>
  <si>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</si>
  <si>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</si>
  <si>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</si>
  <si>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</si>
  <si>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</si>
  <si>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</si>
  <si>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</si>
  <si>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</si>
  <si>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</si>
  <si>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</si>
  <si>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</si>
  <si>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</si>
  <si>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</si>
  <si>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</si>
  <si>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</si>
  <si>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</si>
  <si>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</si>
  <si>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</si>
  <si>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</si>
  <si>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</si>
  <si>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</si>
  <si>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</si>
  <si>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</si>
  <si>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</si>
  <si>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</si>
  <si>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</si>
  <si>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</si>
  <si>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</si>
  <si>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</si>
  <si>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</si>
  <si>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</si>
  <si>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</si>
  <si>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</si>
  <si>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</si>
  <si>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</si>
  <si>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</si>
  <si>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</si>
  <si>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</si>
  <si>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</si>
  <si>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</si>
  <si>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</si>
  <si>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</si>
  <si>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</si>
  <si>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</si>
  <si>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</si>
  <si>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</si>
  <si>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</si>
  <si>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</si>
  <si>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</si>
  <si>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</si>
  <si>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</si>
  <si>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</si>
  <si>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</si>
  <si>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</si>
  <si>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</si>
  <si>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</si>
  <si>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</si>
  <si>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</si>
  <si>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</si>
  <si>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</si>
  <si>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</si>
  <si>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</si>
  <si>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</si>
  <si>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</si>
  <si>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</si>
  <si>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</si>
  <si>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</si>
  <si>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</si>
  <si>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</si>
  <si>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</si>
  <si>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</si>
  <si>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</si>
  <si>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</si>
  <si>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</si>
  <si>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</si>
  <si>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</si>
  <si>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</si>
  <si>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</si>
  <si>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</si>
  <si>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</si>
  <si>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</si>
  <si>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</si>
  <si>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</si>
  <si>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</si>
  <si>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</si>
  <si>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</si>
  <si>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</si>
  <si>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</si>
  <si>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</si>
  <si>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</si>
  <si>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</si>
  <si>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</si>
  <si>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</si>
  <si>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</si>
  <si>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</si>
  <si>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</si>
  <si>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</si>
  <si>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</si>
  <si>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</si>
  <si>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</si>
  <si>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</si>
  <si>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</si>
  <si>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</si>
  <si>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</si>
  <si>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</si>
  <si>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</si>
  <si>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</si>
  <si>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</si>
  <si>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</si>
  <si>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</si>
  <si>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</si>
  <si>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</si>
  <si>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</si>
  <si>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</si>
  <si>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</si>
  <si>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</si>
  <si>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</si>
  <si>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</si>
  <si>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</si>
  <si>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</si>
  <si>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</si>
  <si>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</si>
  <si>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</si>
  <si>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</si>
  <si>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</si>
  <si>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</si>
  <si>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</si>
  <si>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</si>
  <si>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</si>
  <si>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</si>
  <si>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</si>
  <si>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</si>
  <si>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</si>
  <si>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</si>
  <si>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</si>
  <si>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</si>
  <si>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</si>
  <si>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</si>
  <si>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</si>
  <si>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</si>
  <si>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</si>
  <si>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</si>
  <si>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</si>
  <si>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</si>
  <si>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</si>
  <si>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</si>
  <si>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</si>
  <si>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</si>
  <si>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</si>
  <si>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</si>
  <si>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</si>
  <si>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</si>
  <si>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</si>
  <si>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</si>
  <si>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</si>
  <si>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</si>
  <si>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</si>
  <si>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</si>
  <si>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</si>
  <si>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</si>
  <si>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</si>
  <si>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</si>
  <si>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</si>
  <si>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</si>
  <si>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</si>
  <si>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</si>
  <si>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</si>
  <si>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</si>
  <si>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</si>
  <si>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</si>
  <si>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</si>
  <si>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</si>
  <si>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</si>
  <si>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</si>
  <si>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</si>
  <si>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</si>
  <si>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</si>
  <si>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</si>
  <si>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</si>
  <si>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</si>
  <si>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</si>
  <si>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</si>
  <si>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</si>
  <si>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</si>
  <si>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</si>
  <si>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</si>
  <si>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</si>
  <si>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</si>
  <si>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</si>
  <si>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</si>
  <si>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</si>
  <si>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</si>
  <si>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</si>
  <si>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</si>
  <si>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</si>
  <si>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</si>
  <si>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</si>
  <si>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</si>
  <si>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</si>
  <si>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</si>
  <si>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</si>
  <si>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</si>
  <si>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</si>
  <si>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</si>
  <si>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</si>
  <si>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</si>
  <si>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</si>
  <si>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</si>
  <si>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</si>
  <si>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</si>
  <si>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</si>
  <si>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</si>
  <si>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</si>
  <si>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</si>
  <si>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</si>
  <si>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</si>
  <si>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</si>
  <si>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</si>
  <si>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</si>
  <si>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</si>
  <si>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</si>
  <si>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</si>
  <si>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</si>
  <si>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</si>
  <si>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</si>
  <si>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</si>
  <si>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</si>
  <si>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</si>
  <si>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</si>
  <si>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</si>
  <si>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</si>
  <si>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</si>
  <si>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</si>
  <si>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</si>
  <si>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</si>
  <si>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</si>
  <si>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</si>
  <si>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</si>
  <si>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</si>
  <si>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</si>
  <si>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</si>
  <si>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</si>
  <si>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</si>
  <si>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</si>
  <si>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</si>
  <si>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</si>
  <si>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</si>
  <si>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</si>
  <si>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</si>
  <si>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</si>
  <si>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</si>
  <si>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</si>
  <si>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</si>
  <si>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</si>
  <si>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</si>
  <si>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</si>
  <si>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</si>
  <si>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</si>
  <si>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</si>
  <si>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</si>
  <si>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</si>
  <si>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</si>
  <si>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</si>
  <si>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</si>
  <si>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</si>
  <si>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</si>
  <si>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</si>
  <si>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</si>
  <si>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</si>
  <si>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</si>
  <si>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</si>
  <si>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</si>
  <si>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</si>
  <si>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</si>
  <si>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</si>
  <si>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</si>
  <si>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</si>
  <si>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</si>
  <si>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</si>
  <si>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</si>
  <si>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</si>
  <si>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</si>
  <si>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</si>
  <si>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</si>
  <si>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</si>
  <si>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</si>
  <si>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</si>
  <si>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</si>
  <si>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</si>
  <si>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</si>
  <si>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</si>
  <si>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</si>
  <si>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</si>
  <si>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</si>
  <si>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</si>
  <si>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</si>
  <si>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</si>
  <si>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</si>
  <si>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</si>
  <si>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</si>
  <si>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</si>
  <si>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</si>
  <si>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</si>
  <si>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</si>
  <si>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</si>
  <si>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</si>
  <si>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</si>
  <si>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</si>
  <si>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</si>
  <si>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</si>
  <si>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</si>
  <si>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</si>
  <si>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</si>
  <si>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</si>
  <si>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</si>
  <si>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</si>
  <si>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</si>
  <si>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</si>
  <si>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</si>
  <si>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</si>
  <si>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</si>
  <si>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</si>
  <si>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</si>
  <si>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</si>
  <si>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</si>
  <si>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</si>
  <si>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</si>
  <si>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</si>
  <si>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</si>
  <si>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</si>
  <si>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</si>
  <si>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</si>
  <si>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</si>
  <si>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</si>
  <si>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</si>
  <si>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</si>
  <si>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</si>
  <si>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</si>
  <si>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</si>
  <si>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</si>
  <si>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</si>
  <si>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</si>
  <si>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</si>
  <si>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</si>
  <si>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</si>
  <si>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</si>
  <si>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</si>
  <si>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</si>
  <si>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</si>
  <si>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</si>
  <si>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</si>
  <si>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</si>
  <si>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</si>
  <si>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</si>
  <si>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</si>
  <si>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</si>
  <si>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</si>
  <si>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</si>
  <si>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</si>
  <si>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</si>
  <si>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</si>
  <si>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</si>
  <si>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</si>
  <si>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</si>
  <si>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</si>
  <si>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</si>
  <si>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</si>
  <si>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</si>
  <si>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</si>
  <si>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</si>
  <si>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</si>
  <si>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</si>
  <si>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</si>
  <si>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</si>
  <si>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</si>
  <si>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</si>
  <si>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</si>
  <si>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</si>
  <si>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</si>
  <si>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</si>
  <si>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</si>
  <si>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</si>
  <si>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</si>
  <si>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</si>
  <si>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</si>
  <si>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</si>
  <si>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</si>
  <si>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</si>
  <si>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</si>
  <si>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</si>
  <si>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</si>
  <si>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</si>
  <si>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</si>
  <si>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</si>
  <si>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</si>
  <si>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</si>
  <si>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</si>
  <si>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</si>
  <si>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</si>
  <si>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</si>
  <si>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</si>
  <si>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</si>
  <si>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</si>
  <si>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</si>
  <si>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</si>
  <si>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</si>
  <si>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</si>
  <si>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</si>
  <si>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</si>
  <si>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</si>
  <si>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</si>
  <si>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</si>
  <si>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</si>
  <si>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</si>
  <si>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</si>
  <si>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</si>
  <si>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</si>
  <si>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</si>
  <si>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</si>
  <si>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</si>
  <si>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</si>
  <si>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</si>
  <si>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</si>
  <si>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</si>
  <si>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</si>
  <si>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</si>
  <si>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</si>
  <si>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</si>
  <si>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</si>
  <si>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</si>
  <si>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</si>
  <si>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</si>
  <si>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</si>
  <si>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</si>
  <si>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</si>
  <si>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</si>
  <si>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</si>
  <si>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</si>
  <si>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</si>
  <si>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</si>
  <si>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</si>
  <si>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</si>
  <si>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</si>
  <si>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</si>
  <si>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</si>
  <si>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</si>
  <si>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</si>
  <si>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</si>
  <si>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</si>
  <si>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</si>
  <si>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</si>
  <si>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</si>
  <si>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</si>
  <si>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</si>
  <si>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</si>
  <si>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</si>
  <si>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</si>
  <si>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</si>
  <si>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</si>
  <si>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</si>
  <si>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</si>
  <si>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</si>
  <si>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</si>
  <si>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</si>
  <si>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</si>
  <si>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</si>
  <si>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</si>
  <si>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</si>
  <si>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</si>
  <si>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</si>
  <si>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</si>
  <si>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</si>
  <si>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</si>
  <si>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</si>
  <si>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</si>
  <si>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</si>
  <si>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</si>
  <si>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</si>
  <si>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</si>
  <si>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</si>
  <si>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</si>
  <si>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</si>
  <si>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</si>
  <si>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</si>
  <si>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</si>
  <si>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</si>
  <si>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</si>
  <si>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</si>
  <si>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</si>
  <si>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</si>
  <si>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</si>
  <si>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</si>
  <si>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</si>
  <si>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</si>
  <si>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</si>
  <si>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</si>
  <si>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</si>
  <si>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</si>
  <si>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</si>
  <si>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</si>
  <si>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</si>
  <si>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</si>
  <si>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</si>
  <si>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</si>
  <si>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</si>
  <si>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</si>
  <si>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</si>
  <si>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</si>
  <si>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</si>
  <si>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</si>
  <si>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</si>
  <si>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</si>
  <si>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</si>
  <si>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</si>
  <si>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</si>
  <si>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</si>
  <si>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</si>
  <si>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</si>
  <si>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</si>
  <si>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</si>
  <si>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</si>
  <si>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</si>
  <si>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</si>
  <si>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</si>
  <si>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</si>
  <si>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</si>
  <si>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</si>
  <si>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</si>
  <si>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</si>
  <si>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</si>
  <si>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</si>
  <si>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</si>
  <si>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</si>
  <si>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</si>
  <si>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</si>
  <si>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</si>
  <si>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</si>
  <si>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</si>
  <si>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</si>
  <si>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</si>
  <si>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</si>
  <si>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</si>
  <si>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</si>
  <si>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</si>
  <si>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</si>
  <si>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</si>
  <si>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</si>
  <si>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</si>
  <si>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</si>
  <si>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</si>
  <si>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</si>
  <si>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</si>
  <si>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</si>
  <si>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</si>
  <si>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</si>
  <si>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</si>
  <si>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</si>
  <si>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</si>
  <si>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</si>
  <si>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</si>
  <si>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</si>
  <si>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</si>
  <si>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</si>
  <si>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</si>
  <si>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</si>
  <si>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</si>
  <si>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</si>
  <si>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</si>
  <si>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</si>
  <si>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</si>
  <si>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</si>
  <si>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</si>
  <si>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</si>
  <si>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</si>
  <si>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</si>
  <si>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</si>
  <si>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</si>
  <si>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</si>
  <si>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</si>
  <si>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</si>
  <si>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</si>
  <si>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</si>
  <si>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</si>
  <si>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</si>
  <si>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</si>
  <si>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</si>
  <si>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</si>
  <si>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</si>
  <si>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</si>
  <si>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</si>
  <si>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</si>
  <si>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</si>
  <si>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</si>
  <si>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</si>
  <si>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</si>
  <si>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</si>
  <si>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</si>
  <si>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</si>
  <si>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</si>
  <si>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</si>
  <si>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</si>
  <si>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</si>
  <si>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</si>
  <si>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</si>
  <si>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</si>
  <si>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</si>
  <si>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</si>
  <si>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</si>
  <si>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</si>
  <si>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</si>
  <si>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</si>
  <si>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</si>
  <si>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</si>
  <si>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</si>
  <si>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</si>
  <si>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</si>
  <si>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</si>
  <si>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</si>
  <si>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</si>
  <si>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</si>
  <si>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</si>
  <si>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</si>
  <si>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</si>
  <si>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</si>
  <si>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</si>
  <si>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</si>
  <si>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</si>
  <si>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</si>
  <si>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</si>
  <si>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</si>
  <si>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</si>
  <si>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</si>
  <si>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</si>
  <si>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</si>
  <si>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</si>
  <si>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</si>
  <si>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</si>
  <si>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</si>
  <si>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</si>
  <si>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</si>
  <si>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</si>
  <si>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</si>
  <si>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</si>
  <si>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</si>
  <si>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</si>
  <si>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</si>
  <si>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</si>
  <si>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</si>
  <si>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</si>
  <si>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</si>
  <si>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</si>
  <si>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</si>
  <si>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</si>
  <si>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</si>
  <si>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</si>
  <si>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</si>
  <si>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</si>
  <si>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</si>
  <si>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</si>
  <si>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</si>
  <si>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</si>
  <si>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</si>
  <si>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</si>
  <si>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</si>
  <si>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</si>
  <si>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</si>
  <si>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</si>
  <si>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</si>
  <si>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</si>
  <si>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</si>
  <si>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</si>
  <si>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</si>
  <si>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</si>
  <si>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</si>
  <si>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</si>
  <si>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</si>
  <si>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</si>
  <si>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</si>
  <si>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</si>
  <si>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</si>
  <si>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</si>
  <si>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</si>
  <si>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</si>
  <si>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</si>
  <si>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</si>
  <si>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</si>
  <si>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</si>
  <si>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</si>
  <si>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</si>
  <si>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</si>
  <si>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</si>
  <si>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</si>
  <si>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</si>
  <si>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</si>
  <si>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</si>
  <si>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</si>
  <si>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</si>
  <si>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</si>
  <si>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</si>
  <si>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</si>
  <si>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</si>
  <si>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</si>
  <si>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</si>
  <si>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</si>
  <si>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</si>
  <si>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</si>
  <si>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</si>
  <si>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</si>
  <si>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</si>
  <si>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</si>
  <si>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</si>
  <si>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</si>
  <si>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</si>
  <si>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</si>
  <si>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</si>
  <si>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</si>
  <si>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</si>
  <si>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</si>
  <si>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</si>
  <si>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</si>
  <si>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</si>
  <si>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</si>
  <si>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</si>
  <si>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</si>
  <si>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</si>
  <si>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</si>
  <si>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</si>
  <si>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</si>
  <si>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</si>
  <si>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</si>
  <si>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</si>
  <si>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</si>
  <si>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</si>
  <si>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</si>
  <si>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</si>
  <si>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</si>
  <si>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</si>
  <si>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</si>
  <si>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</si>
  <si>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</si>
  <si>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</si>
  <si>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</si>
  <si>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</si>
  <si>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</si>
  <si>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</si>
  <si>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</si>
  <si>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</si>
  <si>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</si>
  <si>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</si>
  <si>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</si>
  <si>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</si>
  <si>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</si>
  <si>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</si>
  <si>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</si>
  <si>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</si>
  <si>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</si>
  <si>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</si>
  <si>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</si>
  <si>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</si>
  <si>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</si>
  <si>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</si>
  <si>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</si>
  <si>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</si>
  <si>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</si>
  <si>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</si>
  <si>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</si>
  <si>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</si>
  <si>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</si>
  <si>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</si>
  <si>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</si>
  <si>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</si>
  <si>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</si>
  <si>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</si>
  <si>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</si>
  <si>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</si>
  <si>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</si>
  <si>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</si>
  <si>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</si>
  <si>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</si>
  <si>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</si>
  <si>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</si>
  <si>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</si>
  <si>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</si>
  <si>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</si>
  <si>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</si>
  <si>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</si>
  <si>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</si>
  <si>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</si>
  <si>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</si>
  <si>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</si>
  <si>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</si>
  <si>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</si>
  <si>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</si>
  <si>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</si>
  <si>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</si>
  <si>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</si>
  <si>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</si>
  <si>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</si>
  <si>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</si>
  <si>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</si>
  <si>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</si>
  <si>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</si>
  <si>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</si>
  <si>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</si>
  <si>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</si>
  <si>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</si>
  <si>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</si>
  <si>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</si>
  <si>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</si>
  <si>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</si>
  <si>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</si>
  <si>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</si>
  <si>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</si>
  <si>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</si>
  <si>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</si>
  <si>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</si>
  <si>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</si>
  <si>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</si>
  <si>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</si>
  <si>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</si>
  <si>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</si>
  <si>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</si>
  <si>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</si>
  <si>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</si>
  <si>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</si>
  <si>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</si>
  <si>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</si>
  <si>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</si>
  <si>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</si>
  <si>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</si>
  <si>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</si>
  <si>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</si>
  <si>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</si>
  <si>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</si>
  <si>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</si>
  <si>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</si>
  <si>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</si>
  <si>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</si>
  <si>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</si>
  <si>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</si>
  <si>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</si>
  <si>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</si>
  <si>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</si>
  <si>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</si>
  <si>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</si>
  <si>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</si>
  <si>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</si>
  <si>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</si>
  <si>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</si>
  <si>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</si>
  <si>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</si>
  <si>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</si>
  <si>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</si>
  <si>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</si>
  <si>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</si>
  <si>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</si>
  <si>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</si>
  <si>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</si>
  <si>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</si>
  <si>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</si>
  <si>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</si>
  <si>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</si>
  <si>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</si>
  <si>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</si>
  <si>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</si>
  <si>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</si>
  <si>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</si>
  <si>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</si>
  <si>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</si>
  <si>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</si>
  <si>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</si>
  <si>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</si>
  <si>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</si>
  <si>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</si>
  <si>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</si>
  <si>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</si>
  <si>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</si>
  <si>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</si>
  <si>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</si>
  <si>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</si>
  <si>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</si>
  <si>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</si>
  <si>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</si>
  <si>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</si>
  <si>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</si>
  <si>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</si>
  <si>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</si>
  <si>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</si>
  <si>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</si>
  <si>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</si>
  <si>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</si>
  <si>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</si>
  <si>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</si>
  <si>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</si>
  <si>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</si>
  <si>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</si>
  <si>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</si>
  <si>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</si>
  <si>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</si>
  <si>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</si>
  <si>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</si>
  <si>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</si>
  <si>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</si>
  <si>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</si>
  <si>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</si>
  <si>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</si>
  <si>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</si>
  <si>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</si>
  <si>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</si>
  <si>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</si>
  <si>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</si>
  <si>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</si>
  <si>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</si>
  <si>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</si>
  <si>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</si>
  <si>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</si>
  <si>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</si>
  <si>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</si>
  <si>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</si>
  <si>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</si>
  <si>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</si>
  <si>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</si>
  <si>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</si>
  <si>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</si>
  <si>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</si>
  <si>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</si>
  <si>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</si>
  <si>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</si>
  <si>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</si>
  <si>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</si>
  <si>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</si>
  <si>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</si>
  <si>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</si>
  <si>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</si>
  <si>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</si>
  <si>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</si>
  <si>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</si>
  <si>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</si>
  <si>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</si>
  <si>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</si>
  <si>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</si>
  <si>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</si>
  <si>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</si>
  <si>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</si>
  <si>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</si>
  <si>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</si>
  <si>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</si>
  <si>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</si>
  <si>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</si>
  <si>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</si>
  <si>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</si>
  <si>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</si>
  <si>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</si>
  <si>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</si>
  <si>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</si>
  <si>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</si>
  <si>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</si>
  <si>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</si>
  <si>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</si>
  <si>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</si>
  <si>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</si>
  <si>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</si>
  <si>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</si>
  <si>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</si>
  <si>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</si>
  <si>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</si>
  <si>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</si>
  <si>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</si>
  <si>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</si>
  <si>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</si>
  <si>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</si>
  <si>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</si>
  <si>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</si>
  <si>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</si>
  <si>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</si>
  <si>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</si>
  <si>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</si>
  <si>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</si>
  <si>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</si>
  <si>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</si>
  <si>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</si>
  <si>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</si>
  <si>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</si>
  <si>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</si>
  <si>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</si>
  <si>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</si>
  <si>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</si>
  <si>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</si>
  <si>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</si>
  <si>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</si>
  <si>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</si>
  <si>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</si>
  <si>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</si>
  <si>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</si>
  <si>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</si>
  <si>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</si>
  <si>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</si>
  <si>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</si>
  <si>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</si>
  <si>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</si>
  <si>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</si>
  <si>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</si>
  <si>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</si>
  <si>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</si>
  <si>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</si>
  <si>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</si>
  <si>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</si>
  <si>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</si>
  <si>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</si>
  <si>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</si>
  <si>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</si>
  <si>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</si>
  <si>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</si>
  <si>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</si>
  <si>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</si>
  <si>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</si>
  <si>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</si>
  <si>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</si>
  <si>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</si>
  <si>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</si>
  <si>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</si>
  <si>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</si>
  <si>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</si>
  <si>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</si>
  <si>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</si>
  <si>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</si>
  <si>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</si>
  <si>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</si>
  <si>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</si>
  <si>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</si>
  <si>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</si>
  <si>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</si>
  <si>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</si>
  <si>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</si>
  <si>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</si>
  <si>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</si>
  <si>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</si>
  <si>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</si>
  <si>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</si>
  <si>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</si>
  <si>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</si>
  <si>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</si>
  <si>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</si>
  <si>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</si>
  <si>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</si>
  <si>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</si>
  <si>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</si>
  <si>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</si>
  <si>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</si>
  <si>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</si>
  <si>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</si>
  <si>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</si>
  <si>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</si>
  <si>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</si>
  <si>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</si>
  <si>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</si>
  <si>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</si>
  <si>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</si>
  <si>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</si>
  <si>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</si>
  <si>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</si>
  <si>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</si>
  <si>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</si>
  <si>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</si>
  <si>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</si>
  <si>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</si>
  <si>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</si>
  <si>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</si>
  <si>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</si>
  <si>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</si>
  <si>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</si>
  <si>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</si>
  <si>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</si>
  <si>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</si>
  <si>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</si>
  <si>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</si>
  <si>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</si>
  <si>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</si>
  <si>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</si>
  <si>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</si>
  <si>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</si>
  <si>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</si>
  <si>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</si>
  <si>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</si>
  <si>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</si>
  <si>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</si>
  <si>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</si>
  <si>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</si>
  <si>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</si>
  <si>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</si>
  <si>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</si>
  <si>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</si>
  <si>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</si>
  <si>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</si>
  <si>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</si>
  <si>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</si>
  <si>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</si>
  <si>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</si>
  <si>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</si>
  <si>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</si>
  <si>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</si>
  <si>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</si>
  <si>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</si>
  <si>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</si>
  <si>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</si>
  <si>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</si>
  <si>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</si>
  <si>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</si>
  <si>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</si>
  <si>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</si>
  <si>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</si>
  <si>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</si>
  <si>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</si>
  <si>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</si>
  <si>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</si>
  <si>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</si>
  <si>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</si>
  <si>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</si>
  <si>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</si>
  <si>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</si>
  <si>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</si>
  <si>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</si>
  <si>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</si>
  <si>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</si>
  <si>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</si>
  <si>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</si>
  <si>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</si>
  <si>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</si>
  <si>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</si>
  <si>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</si>
  <si>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</si>
  <si>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</si>
  <si>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</si>
  <si>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</si>
  <si>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</si>
  <si>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</si>
  <si>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</si>
  <si>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</si>
  <si>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</si>
  <si>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</si>
  <si>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</si>
  <si>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</si>
  <si>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</si>
  <si>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</si>
  <si>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</si>
  <si>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</si>
  <si>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</si>
  <si>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</si>
  <si>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</si>
  <si>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</si>
  <si>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</si>
  <si>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</si>
  <si>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</si>
  <si>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</si>
  <si>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</si>
  <si>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</si>
  <si>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</si>
  <si>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</si>
  <si>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</si>
  <si>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</si>
  <si>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</si>
  <si>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</si>
  <si>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</si>
  <si>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</si>
  <si>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</si>
  <si>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</si>
  <si>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</si>
  <si>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</si>
  <si>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</si>
  <si>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</si>
  <si>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</si>
  <si>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</si>
  <si>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</si>
  <si>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</si>
  <si>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</si>
  <si>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</si>
  <si>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</si>
  <si>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</si>
  <si>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</si>
  <si>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</si>
  <si>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</si>
  <si>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</si>
  <si>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</si>
  <si>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</si>
  <si>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</si>
  <si>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</si>
  <si>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</si>
  <si>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</si>
  <si>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</si>
  <si>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</si>
  <si>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</si>
  <si>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</si>
  <si>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</si>
  <si>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</si>
  <si>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</si>
  <si>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</si>
  <si>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</si>
  <si>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</si>
  <si>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</si>
  <si>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</si>
  <si>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</si>
  <si>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</si>
  <si>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</si>
  <si>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</si>
  <si>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</si>
  <si>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</si>
  <si>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</si>
  <si>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</si>
  <si>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</si>
  <si>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</si>
  <si>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</si>
  <si>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</si>
  <si>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</si>
  <si>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</si>
  <si>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</si>
  <si>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</si>
  <si>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</si>
  <si>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</si>
  <si>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</si>
  <si>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</si>
  <si>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</si>
  <si>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</si>
  <si>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</si>
  <si>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</si>
  <si>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</si>
  <si>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</si>
  <si>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</si>
  <si>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</si>
  <si>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</si>
  <si>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</si>
  <si>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</si>
  <si>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</si>
  <si>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</si>
  <si>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</si>
  <si>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</si>
  <si>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</si>
  <si>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</si>
  <si>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</si>
  <si>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</si>
  <si>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</si>
  <si>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</si>
  <si>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</si>
  <si>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</si>
  <si>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</si>
  <si>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</si>
  <si>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</si>
  <si>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</si>
  <si>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</si>
  <si>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</si>
  <si>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</si>
  <si>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</si>
  <si>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</si>
  <si>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</si>
  <si>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</si>
  <si>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</si>
  <si>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</si>
  <si>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</si>
  <si>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</si>
  <si>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</si>
  <si>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</si>
  <si>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</si>
  <si>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</si>
  <si>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</si>
  <si>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</si>
  <si>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</si>
  <si>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</si>
  <si>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</si>
  <si>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</si>
  <si>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</si>
  <si>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</si>
  <si>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</si>
  <si>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</si>
  <si>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</si>
  <si>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</si>
  <si>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</si>
  <si>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</si>
  <si>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</si>
  <si>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</si>
  <si>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</si>
  <si>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</si>
  <si>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</si>
  <si>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</si>
  <si>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</si>
  <si>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</si>
  <si>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</si>
  <si>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</si>
  <si>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</si>
  <si>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</si>
  <si>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</si>
  <si>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</si>
  <si>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</si>
  <si>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</si>
  <si>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</si>
  <si>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</si>
  <si>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</si>
  <si>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</si>
  <si>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</si>
  <si>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</si>
  <si>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</si>
  <si>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</si>
  <si>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</si>
  <si>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</si>
  <si>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</si>
  <si>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</si>
  <si>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</si>
  <si>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</si>
  <si>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</si>
  <si>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</si>
  <si>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</si>
  <si>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</si>
  <si>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</si>
  <si>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</si>
  <si>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</si>
  <si>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</si>
  <si>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</si>
  <si>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</si>
  <si>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</si>
  <si>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</si>
  <si>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</si>
  <si>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</si>
  <si>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</si>
  <si>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</si>
  <si>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</si>
  <si>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</si>
  <si>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</si>
  <si>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</si>
  <si>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</si>
  <si>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</si>
  <si>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</si>
  <si>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</si>
  <si>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</si>
  <si>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</si>
  <si>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</si>
  <si>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</si>
  <si>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</si>
  <si>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</si>
  <si>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</si>
  <si>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</si>
  <si>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</si>
  <si>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</si>
  <si>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</si>
  <si>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</si>
  <si>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</si>
  <si>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</si>
  <si>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</si>
  <si>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</si>
  <si>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</si>
  <si>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</si>
  <si>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</si>
  <si>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</si>
  <si>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</si>
  <si>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</si>
  <si>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</si>
  <si>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</si>
  <si>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</si>
  <si>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</si>
  <si>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</si>
  <si>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</si>
  <si>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</si>
  <si>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</si>
  <si>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</si>
  <si>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</si>
  <si>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</si>
  <si>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</si>
  <si>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</si>
  <si>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</si>
  <si>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</si>
  <si>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</si>
  <si>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</si>
  <si>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</si>
  <si>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</si>
  <si>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</si>
  <si>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</si>
  <si>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</si>
  <si>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</si>
  <si>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</si>
  <si>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</si>
  <si>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</si>
  <si>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</si>
  <si>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</si>
  <si>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</si>
  <si>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</si>
  <si>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</si>
  <si>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</si>
  <si>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</si>
  <si>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</si>
  <si>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</si>
  <si>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</si>
  <si>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</si>
  <si>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</si>
  <si>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</si>
  <si>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</si>
  <si>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</si>
  <si>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</si>
  <si>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</si>
  <si>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</si>
  <si>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</si>
  <si>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</si>
  <si>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</si>
  <si>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</si>
  <si>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</si>
  <si>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</si>
  <si>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</si>
  <si>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</si>
  <si>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</si>
  <si>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</si>
  <si>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</si>
  <si>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</si>
  <si>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</si>
  <si>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</si>
  <si>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</si>
  <si>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</si>
  <si>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</si>
  <si>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</si>
  <si>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</si>
  <si>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</si>
  <si>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</si>
  <si>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</si>
  <si>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</si>
  <si>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</si>
  <si>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</si>
  <si>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</si>
  <si>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</si>
  <si>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</si>
  <si>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</si>
  <si>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</si>
  <si>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</si>
  <si>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</si>
  <si>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</si>
  <si>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</si>
  <si>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</si>
  <si>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</si>
  <si>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</si>
  <si>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</si>
  <si>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</si>
  <si>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</si>
  <si>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</si>
  <si>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</si>
  <si>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</si>
  <si>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</si>
  <si>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</si>
  <si>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</si>
  <si>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</si>
  <si>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</si>
  <si>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</si>
  <si>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</si>
  <si>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</si>
  <si>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</si>
  <si>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</si>
  <si>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</si>
  <si>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</si>
  <si>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</si>
  <si>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</si>
  <si>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</si>
  <si>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</si>
  <si>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</si>
  <si>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</si>
  <si>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</si>
  <si>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</si>
  <si>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</si>
  <si>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</si>
  <si>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</si>
  <si>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</si>
  <si>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</si>
  <si>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</si>
  <si>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</si>
  <si>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</si>
  <si>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</si>
  <si>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</si>
  <si>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</si>
  <si>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</si>
  <si>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</si>
  <si>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</si>
  <si>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</si>
  <si>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</si>
  <si>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</si>
  <si>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</si>
  <si>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</si>
  <si>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</si>
  <si>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</si>
  <si>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</si>
  <si>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</si>
  <si>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</si>
  <si>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</si>
  <si>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</si>
  <si>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</si>
  <si>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</si>
  <si>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</si>
  <si>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</si>
  <si>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</si>
  <si>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</si>
  <si>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</si>
  <si>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</si>
  <si>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</si>
  <si>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</si>
  <si>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</si>
  <si>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</si>
  <si>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</si>
  <si>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</si>
  <si>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</si>
  <si>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</si>
  <si>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</si>
  <si>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</si>
  <si>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</si>
  <si>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</si>
  <si>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</si>
  <si>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</si>
  <si>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</si>
  <si>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</si>
  <si>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</si>
  <si>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</si>
  <si>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</si>
  <si>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</si>
  <si>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</si>
  <si>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</si>
  <si>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</si>
  <si>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</si>
  <si>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</si>
  <si>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</si>
  <si>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</si>
  <si>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</si>
  <si>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</si>
  <si>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</si>
  <si>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</si>
  <si>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</si>
  <si>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</si>
  <si>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</si>
  <si>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</si>
  <si>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</si>
  <si>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</si>
  <si>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</si>
  <si>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</si>
  <si>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</si>
  <si>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</si>
  <si>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</si>
  <si>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</si>
  <si>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</si>
  <si>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</si>
  <si>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</si>
  <si>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</si>
  <si>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</si>
  <si>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</si>
  <si>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</si>
  <si>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</si>
  <si>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</si>
  <si>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</si>
  <si>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</si>
  <si>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</si>
  <si>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</si>
  <si>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</si>
  <si>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</si>
  <si>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</si>
  <si>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</si>
  <si>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</si>
  <si>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</si>
  <si>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</si>
  <si>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</si>
  <si>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</si>
  <si>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</si>
  <si>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</si>
  <si>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</si>
  <si>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</si>
  <si>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</si>
  <si>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</si>
  <si>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</si>
  <si>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</si>
  <si>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</si>
  <si>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</si>
  <si>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</si>
  <si>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</si>
  <si>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</si>
  <si>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</si>
  <si>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</si>
  <si>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</si>
  <si>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</si>
  <si>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</si>
  <si>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</si>
  <si>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</si>
  <si>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</si>
  <si>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</si>
  <si>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</si>
  <si>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</si>
  <si>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</si>
  <si>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</si>
  <si>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</si>
  <si>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</si>
  <si>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</si>
  <si>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</si>
  <si>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</si>
  <si>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</si>
  <si>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</si>
  <si>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</si>
  <si>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</si>
  <si>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</si>
  <si>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</si>
  <si>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</si>
  <si>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</si>
  <si>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</si>
  <si>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</si>
  <si>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</si>
  <si>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</si>
  <si>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</si>
  <si>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</si>
  <si>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</si>
  <si>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</si>
  <si>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</si>
  <si>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</si>
  <si>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</si>
  <si>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</si>
  <si>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</si>
  <si>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</si>
  <si>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</si>
  <si>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</si>
  <si>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</si>
  <si>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</si>
  <si>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</si>
  <si>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</si>
  <si>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</si>
  <si>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</si>
  <si>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</si>
  <si>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</si>
  <si>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</si>
  <si>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</si>
  <si>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</si>
  <si>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</si>
  <si>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</si>
  <si>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</si>
  <si>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</si>
  <si>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</si>
  <si>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</si>
  <si>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</si>
  <si>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</si>
  <si>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</si>
  <si>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</si>
  <si>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</si>
  <si>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</si>
  <si>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</si>
  <si>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</si>
  <si>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</si>
  <si>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</si>
  <si>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</si>
  <si>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</si>
  <si>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</si>
  <si>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</si>
  <si>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</si>
  <si>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</si>
  <si>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</si>
  <si>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</si>
  <si>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</si>
  <si>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</si>
  <si>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</si>
  <si>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</si>
  <si>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</si>
  <si>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</si>
  <si>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</si>
  <si>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</si>
  <si>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</si>
  <si>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</si>
  <si>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</si>
  <si>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</si>
  <si>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</si>
  <si>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</si>
  <si>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</si>
  <si>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</si>
  <si>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</si>
  <si>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</si>
  <si>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</si>
  <si>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</si>
  <si>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</si>
  <si>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</si>
  <si>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</si>
  <si>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</si>
  <si>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</si>
  <si>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</si>
  <si>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</si>
  <si>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</si>
  <si>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</si>
  <si>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</si>
  <si>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</si>
  <si>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</si>
  <si>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</si>
  <si>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</si>
  <si>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</si>
  <si>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</si>
  <si>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</si>
  <si>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</si>
  <si>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</si>
  <si>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</si>
  <si>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</si>
  <si>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</si>
  <si>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</si>
  <si>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</si>
  <si>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</si>
  <si>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</si>
  <si>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</si>
  <si>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</si>
  <si>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</si>
  <si>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</si>
  <si>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</si>
  <si>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</si>
  <si>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</si>
  <si>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</si>
  <si>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</si>
  <si>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</si>
  <si>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</si>
  <si>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</si>
  <si>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</si>
  <si>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</si>
  <si>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</si>
  <si>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</si>
  <si>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</si>
  <si>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</si>
  <si>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</si>
  <si>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</si>
  <si>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</si>
  <si>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</si>
  <si>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</si>
  <si>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</si>
  <si>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</si>
  <si>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</si>
  <si>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</si>
  <si>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</si>
  <si>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</si>
  <si>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</si>
  <si>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</si>
  <si>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</si>
  <si>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</si>
  <si>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</si>
  <si>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</si>
  <si>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</si>
  <si>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</si>
  <si>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</si>
  <si>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</si>
  <si>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</si>
  <si>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</si>
  <si>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</si>
  <si>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</si>
  <si>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</si>
  <si>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</si>
  <si>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</si>
  <si>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</si>
  <si>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</si>
  <si>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</si>
  <si>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</si>
  <si>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</si>
  <si>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</si>
  <si>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</si>
  <si>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</si>
  <si>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</si>
  <si>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</si>
  <si>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</si>
  <si>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</si>
  <si>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</si>
  <si>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</si>
  <si>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</si>
  <si>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</si>
  <si>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</si>
  <si>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</si>
  <si>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</si>
  <si>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</si>
  <si>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</si>
  <si>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</si>
  <si>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</si>
  <si>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</si>
  <si>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</si>
  <si>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</si>
  <si>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</si>
  <si>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</si>
  <si>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</si>
  <si>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</si>
  <si>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</si>
  <si>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</si>
  <si>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</si>
  <si>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</si>
  <si>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</si>
  <si>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</si>
  <si>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</si>
  <si>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</si>
  <si>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</si>
  <si>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</si>
  <si>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</si>
  <si>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</si>
  <si>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</si>
  <si>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</si>
  <si>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</si>
  <si>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</si>
  <si>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</si>
  <si>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</si>
  <si>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</si>
  <si>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</si>
  <si>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</si>
  <si>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</si>
  <si>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</si>
  <si>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</si>
  <si>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</si>
  <si>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</si>
  <si>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</si>
  <si>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</si>
  <si>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</si>
  <si>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</si>
  <si>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</si>
  <si>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</si>
  <si>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</si>
  <si>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</si>
  <si>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</si>
  <si>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</si>
  <si>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</si>
  <si>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</si>
  <si>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</si>
  <si>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</si>
  <si>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</si>
  <si>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</si>
  <si>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</si>
  <si>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</si>
  <si>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</si>
  <si>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</si>
  <si>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</si>
  <si>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</si>
  <si>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</si>
  <si>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</si>
  <si>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</si>
  <si>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</si>
  <si>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</si>
  <si>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</si>
  <si>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</si>
  <si>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</si>
  <si>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</si>
  <si>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</si>
  <si>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</si>
  <si>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</si>
  <si>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</si>
  <si>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</si>
  <si>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</si>
  <si>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</si>
  <si>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</si>
  <si>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</si>
  <si>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</si>
  <si>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</si>
  <si>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</si>
  <si>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</si>
  <si>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是</t>
  </si>
  <si>
    <t>地上</t>
  </si>
  <si>
    <t>酒店</t>
  </si>
  <si>
    <t>酒店</t>
    <phoneticPr fontId="7" type="noConversion"/>
  </si>
  <si>
    <t>成新度</t>
  </si>
  <si>
    <t>利息：取LPR加浮动点数</t>
  </si>
  <si>
    <t>自定义容积率</t>
  </si>
  <si>
    <t>不临65条商业街</t>
  </si>
  <si>
    <t>通路</t>
  </si>
  <si>
    <t>通电</t>
  </si>
  <si>
    <t>通讯</t>
  </si>
  <si>
    <t>通上水</t>
  </si>
  <si>
    <t>通下水</t>
  </si>
  <si>
    <t>平整</t>
  </si>
  <si>
    <t>较好</t>
  </si>
  <si>
    <t>一般</t>
  </si>
  <si>
    <t>好</t>
  </si>
  <si>
    <t>未包含在土地购买价格中</t>
  </si>
  <si>
    <t>已包含在土地取得成本中</t>
  </si>
  <si>
    <t>押一</t>
  </si>
  <si>
    <t>钢混</t>
  </si>
  <si>
    <t>非生产用房</t>
  </si>
  <si>
    <t>否</t>
  </si>
  <si>
    <t>收益法 (元)</t>
  </si>
  <si>
    <t>成本比率</t>
  </si>
  <si>
    <t>成本法 (元)</t>
  </si>
  <si>
    <t>单套模式</t>
  </si>
  <si>
    <t>售价</t>
  </si>
  <si>
    <t>正常</t>
  </si>
  <si>
    <t>比较法-办公</t>
  </si>
  <si>
    <t>泰禾长安中心</t>
    <phoneticPr fontId="3"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</si>
  <si>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</si>
  <si>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</si>
  <si>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</si>
  <si>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</si>
  <si>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</si>
  <si>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</si>
  <si>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</si>
  <si>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</si>
  <si>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标准</t>
  </si>
  <si>
    <t>标准</t>
    <phoneticPr fontId="31" type="noConversion"/>
  </si>
  <si>
    <t>高区</t>
  </si>
  <si>
    <t>高区</t>
    <phoneticPr fontId="31" type="noConversion"/>
  </si>
  <si>
    <t>中区</t>
    <phoneticPr fontId="31" type="noConversion"/>
  </si>
  <si>
    <t>低区</t>
  </si>
  <si>
    <t>低区</t>
    <phoneticPr fontId="31" type="noConversion"/>
  </si>
  <si>
    <t>七通</t>
  </si>
  <si>
    <t>标准写字楼</t>
  </si>
  <si>
    <t>标准写字楼</t>
    <phoneticPr fontId="31" type="noConversion"/>
  </si>
  <si>
    <t>多层商业楼</t>
    <phoneticPr fontId="31" type="noConversion"/>
  </si>
  <si>
    <t>商业</t>
    <phoneticPr fontId="31" type="noConversion"/>
  </si>
  <si>
    <t>办公</t>
    <phoneticPr fontId="31" type="noConversion"/>
  </si>
  <si>
    <t>挂牌</t>
  </si>
  <si>
    <t>挂牌</t>
    <phoneticPr fontId="31" type="noConversion"/>
  </si>
  <si>
    <r>
      <t>0</t>
    </r>
    <r>
      <rPr>
        <sz val="11"/>
        <rFont val="宋体"/>
        <family val="3"/>
        <charset val="134"/>
      </rPr>
      <t>（含）</t>
    </r>
    <r>
      <rPr>
        <sz val="11"/>
        <rFont val="Arial"/>
        <family val="2"/>
      </rPr>
      <t>-10</t>
    </r>
    <phoneticPr fontId="31" type="noConversion"/>
  </si>
  <si>
    <r>
      <t>10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</si>
  <si>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</si>
  <si>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</si>
  <si>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-50</t>
    </r>
    <phoneticPr fontId="31" type="noConversion"/>
  </si>
  <si>
    <r>
      <t>40</t>
    </r>
    <r>
      <rPr>
        <sz val="11"/>
        <color indexed="8"/>
        <rFont val="宋体"/>
        <family val="3"/>
        <charset val="134"/>
      </rPr>
      <t>（含）</t>
    </r>
    <r>
      <rPr>
        <sz val="11"/>
        <color indexed="8"/>
        <rFont val="Arial"/>
        <family val="2"/>
      </rPr>
      <t>-50</t>
    </r>
    <phoneticPr fontId="31" type="noConversion"/>
  </si>
  <si>
    <r>
      <t>20</t>
    </r>
    <r>
      <rPr>
        <sz val="11"/>
        <color indexed="8"/>
        <rFont val="宋体"/>
        <family val="3"/>
        <charset val="134"/>
      </rPr>
      <t>（含）</t>
    </r>
    <r>
      <rPr>
        <sz val="11"/>
        <color indexed="8"/>
        <rFont val="Arial"/>
        <family val="2"/>
      </rPr>
      <t>-30</t>
    </r>
    <phoneticPr fontId="31" type="noConversion"/>
  </si>
  <si>
    <t>七通</t>
    <phoneticPr fontId="31" type="noConversion"/>
  </si>
  <si>
    <t>六通</t>
  </si>
  <si>
    <t>六通</t>
    <phoneticPr fontId="31" type="noConversion"/>
  </si>
  <si>
    <t>五通</t>
  </si>
  <si>
    <t>五通</t>
    <phoneticPr fontId="31" type="noConversion"/>
  </si>
  <si>
    <t>四通</t>
    <phoneticPr fontId="31" type="noConversion"/>
  </si>
  <si>
    <t>金融街长安中心</t>
    <phoneticPr fontId="3" type="noConversion"/>
  </si>
  <si>
    <t>租金</t>
  </si>
  <si>
    <t>茂华大厦</t>
    <phoneticPr fontId="3" type="noConversion"/>
  </si>
  <si>
    <r>
      <t>30</t>
    </r>
    <r>
      <rPr>
        <sz val="11"/>
        <color indexed="8"/>
        <rFont val="宋体"/>
        <family val="3"/>
        <charset val="134"/>
      </rPr>
      <t>（含）</t>
    </r>
    <r>
      <rPr>
        <sz val="11"/>
        <color indexed="8"/>
        <rFont val="Arial"/>
        <family val="2"/>
      </rPr>
      <t>-40</t>
    </r>
    <phoneticPr fontId="31" type="noConversion"/>
  </si>
  <si>
    <t>融科大厦</t>
    <phoneticPr fontId="3" type="noConversion"/>
  </si>
  <si>
    <t>金都大厦</t>
    <phoneticPr fontId="3" type="noConversion"/>
  </si>
  <si>
    <t>起始日期</t>
    <phoneticPr fontId="134" type="noConversion"/>
  </si>
  <si>
    <t>终止日期</t>
    <phoneticPr fontId="134" type="noConversion"/>
  </si>
  <si>
    <t>年数</t>
    <phoneticPr fontId="134" type="noConversion"/>
  </si>
  <si>
    <t>年租金</t>
    <phoneticPr fontId="134" type="noConversion"/>
  </si>
  <si>
    <t>租金单价</t>
    <phoneticPr fontId="134" type="noConversion"/>
  </si>
  <si>
    <t>估价对象建筑面积</t>
    <phoneticPr fontId="134" type="noConversion"/>
  </si>
  <si>
    <t>剩余年数</t>
    <phoneticPr fontId="134" type="noConversion"/>
  </si>
  <si>
    <t>自定义</t>
  </si>
  <si>
    <t>郑燚</t>
  </si>
  <si>
    <t>商务金融用地</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</si>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</sst>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269" fillId="0" borderId="0" xfId="0" applyFont="1" applyAlignment="1">
      <alignment horizontal="left" vertical="center"/>
    </xf>
    <xf numFmtId="14" fontId="269" fillId="0" borderId="0" xfId="0" applyNumberFormat="1" applyFont="1" applyAlignment="1">
      <alignment horizontal="left" vertical="center"/>
    </xf>
    <xf numFmtId="181" fontId="99" fillId="9" borderId="1" xfId="0" applyNumberFormat="1" applyFont="1" applyFill="1" applyBorder="1" applyAlignment="1" applyProtection="1">
      <alignment horizontal="center" vertical="center"/>
      <protection locked="0"/>
    </xf>
    <xf numFmtId="181" fontId="44" fillId="9" borderId="1" xfId="0" applyNumberFormat="1" applyFont="1" applyFill="1" applyBorder="1" applyAlignment="1" applyProtection="1">
      <alignment horizontal="center" vertical="center"/>
      <protection locked="0"/>
    </xf>
    <xf numFmtId="0" fontId="44" fillId="9" borderId="3" xfId="0" applyFont="1" applyFill="1" applyBorder="1" applyAlignment="1" applyProtection="1">
      <alignment vertical="center"/>
      <protection locked="0"/>
    </xf>
    <xf numFmtId="181" fontId="44" fillId="0" borderId="5"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15" borderId="1" xfId="0" applyFont="1" applyFill="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4" fillId="15" borderId="13" xfId="0" applyFont="1" applyFill="1" applyBorder="1" applyAlignment="1" applyProtection="1">
      <alignment horizontal="center" vertical="center"/>
      <protection locked="0"/>
    </xf>
    <xf numFmtId="0" fontId="44" fillId="15" borderId="15" xfId="0" applyFont="1" applyFill="1" applyBorder="1" applyAlignment="1" applyProtection="1">
      <alignment horizontal="center" vertical="center"/>
      <protection locked="0"/>
    </xf>
    <xf numFmtId="0" fontId="44" fillId="15" borderId="2" xfId="0" applyFont="1" applyFill="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1</xdr:row>
      <xdr:rowOff>66675</xdr:rowOff>
    </xdr:from>
    <xdr:to>
      <xdr:col>9</xdr:col>
      <xdr:colOff>399277</xdr:colOff>
      <xdr:row>3</xdr:row>
      <xdr:rowOff>142823</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238125"/>
          <a:ext cx="6190477" cy="419048"/>
        </a:xfrm>
        <a:prstGeom prst="rect">
          <a:avLst/>
        </a:prstGeom>
      </xdr:spPr>
    </xdr:pic>
    <xdr:clientData/>
  </xdr:twoCellAnchor>
  <xdr:twoCellAnchor editAs="oneCell">
    <xdr:from>
      <xdr:col>0</xdr:col>
      <xdr:colOff>381000</xdr:colOff>
      <xdr:row>4</xdr:row>
      <xdr:rowOff>152400</xdr:rowOff>
    </xdr:from>
    <xdr:to>
      <xdr:col>15</xdr:col>
      <xdr:colOff>122572</xdr:colOff>
      <xdr:row>32</xdr:row>
      <xdr:rowOff>27991</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838200"/>
          <a:ext cx="10028572" cy="4676191"/>
        </a:xfrm>
        <a:prstGeom prst="rect">
          <a:avLst/>
        </a:prstGeom>
      </xdr:spPr>
    </xdr:pic>
    <xdr:clientData/>
  </xdr:twoCellAnchor>
  <xdr:twoCellAnchor editAs="oneCell">
    <xdr:from>
      <xdr:col>0</xdr:col>
      <xdr:colOff>476250</xdr:colOff>
      <xdr:row>33</xdr:row>
      <xdr:rowOff>114300</xdr:rowOff>
    </xdr:from>
    <xdr:to>
      <xdr:col>7</xdr:col>
      <xdr:colOff>599460</xdr:colOff>
      <xdr:row>37</xdr:row>
      <xdr:rowOff>133262</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50" y="5772150"/>
          <a:ext cx="4923810" cy="704762"/>
        </a:xfrm>
        <a:prstGeom prst="rect">
          <a:avLst/>
        </a:prstGeom>
      </xdr:spPr>
    </xdr:pic>
    <xdr:clientData/>
  </xdr:twoCellAnchor>
  <xdr:twoCellAnchor editAs="oneCell">
    <xdr:from>
      <xdr:col>0</xdr:col>
      <xdr:colOff>447675</xdr:colOff>
      <xdr:row>38</xdr:row>
      <xdr:rowOff>38100</xdr:rowOff>
    </xdr:from>
    <xdr:to>
      <xdr:col>15</xdr:col>
      <xdr:colOff>84485</xdr:colOff>
      <xdr:row>66</xdr:row>
      <xdr:rowOff>132738</xdr:rowOff>
    </xdr:to>
    <xdr:pic>
      <xdr:nvPicPr>
        <xdr:cNvPr id="5" name="图片 4"/>
        <xdr:cNvPicPr>
          <a:picLocks noChangeAspect="1"/>
        </xdr:cNvPicPr>
      </xdr:nvPicPr>
      <xdr:blipFill>
        <a:blip xmlns:r="http://schemas.openxmlformats.org/officeDocument/2006/relationships" r:embed="rId4"/>
        <a:stretch>
          <a:fillRect/>
        </a:stretch>
      </xdr:blipFill>
      <xdr:spPr>
        <a:xfrm>
          <a:off x="447675" y="6553200"/>
          <a:ext cx="9923810" cy="4895238"/>
        </a:xfrm>
        <a:prstGeom prst="rect">
          <a:avLst/>
        </a:prstGeom>
      </xdr:spPr>
    </xdr:pic>
    <xdr:clientData/>
  </xdr:twoCellAnchor>
  <xdr:twoCellAnchor editAs="oneCell">
    <xdr:from>
      <xdr:col>0</xdr:col>
      <xdr:colOff>400050</xdr:colOff>
      <xdr:row>67</xdr:row>
      <xdr:rowOff>142875</xdr:rowOff>
    </xdr:from>
    <xdr:to>
      <xdr:col>11</xdr:col>
      <xdr:colOff>303870</xdr:colOff>
      <xdr:row>72</xdr:row>
      <xdr:rowOff>57054</xdr:rowOff>
    </xdr:to>
    <xdr:pic>
      <xdr:nvPicPr>
        <xdr:cNvPr id="6" name="图片 5"/>
        <xdr:cNvPicPr>
          <a:picLocks noChangeAspect="1"/>
        </xdr:cNvPicPr>
      </xdr:nvPicPr>
      <xdr:blipFill>
        <a:blip xmlns:r="http://schemas.openxmlformats.org/officeDocument/2006/relationships" r:embed="rId5"/>
        <a:stretch>
          <a:fillRect/>
        </a:stretch>
      </xdr:blipFill>
      <xdr:spPr>
        <a:xfrm>
          <a:off x="400050" y="11630025"/>
          <a:ext cx="7447620" cy="771429"/>
        </a:xfrm>
        <a:prstGeom prst="rect">
          <a:avLst/>
        </a:prstGeom>
      </xdr:spPr>
    </xdr:pic>
    <xdr:clientData/>
  </xdr:twoCellAnchor>
  <xdr:twoCellAnchor editAs="oneCell">
    <xdr:from>
      <xdr:col>0</xdr:col>
      <xdr:colOff>323850</xdr:colOff>
      <xdr:row>73</xdr:row>
      <xdr:rowOff>76200</xdr:rowOff>
    </xdr:from>
    <xdr:to>
      <xdr:col>15</xdr:col>
      <xdr:colOff>122565</xdr:colOff>
      <xdr:row>87</xdr:row>
      <xdr:rowOff>152091</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12592050"/>
          <a:ext cx="10085715" cy="2476191"/>
        </a:xfrm>
        <a:prstGeom prst="rect">
          <a:avLst/>
        </a:prstGeom>
      </xdr:spPr>
    </xdr:pic>
    <xdr:clientData/>
  </xdr:twoCellAnchor>
  <xdr:twoCellAnchor editAs="oneCell">
    <xdr:from>
      <xdr:col>0</xdr:col>
      <xdr:colOff>361950</xdr:colOff>
      <xdr:row>88</xdr:row>
      <xdr:rowOff>133350</xdr:rowOff>
    </xdr:from>
    <xdr:to>
      <xdr:col>16</xdr:col>
      <xdr:colOff>617722</xdr:colOff>
      <xdr:row>118</xdr:row>
      <xdr:rowOff>8898</xdr:rowOff>
    </xdr:to>
    <xdr:pic>
      <xdr:nvPicPr>
        <xdr:cNvPr id="8" name="图片 7"/>
        <xdr:cNvPicPr>
          <a:picLocks noChangeAspect="1"/>
        </xdr:cNvPicPr>
      </xdr:nvPicPr>
      <xdr:blipFill>
        <a:blip xmlns:r="http://schemas.openxmlformats.org/officeDocument/2006/relationships" r:embed="rId7"/>
        <a:stretch>
          <a:fillRect/>
        </a:stretch>
      </xdr:blipFill>
      <xdr:spPr>
        <a:xfrm>
          <a:off x="361950" y="15220950"/>
          <a:ext cx="11228572" cy="5019048"/>
        </a:xfrm>
        <a:prstGeom prst="rect">
          <a:avLst/>
        </a:prstGeom>
      </xdr:spPr>
    </xdr:pic>
    <xdr:clientData/>
  </xdr:twoCellAnchor>
  <xdr:twoCellAnchor editAs="oneCell">
    <xdr:from>
      <xdr:col>0</xdr:col>
      <xdr:colOff>295275</xdr:colOff>
      <xdr:row>119</xdr:row>
      <xdr:rowOff>0</xdr:rowOff>
    </xdr:from>
    <xdr:to>
      <xdr:col>17</xdr:col>
      <xdr:colOff>350962</xdr:colOff>
      <xdr:row>148</xdr:row>
      <xdr:rowOff>66046</xdr:rowOff>
    </xdr:to>
    <xdr:pic>
      <xdr:nvPicPr>
        <xdr:cNvPr id="9" name="图片 8"/>
        <xdr:cNvPicPr>
          <a:picLocks noChangeAspect="1"/>
        </xdr:cNvPicPr>
      </xdr:nvPicPr>
      <xdr:blipFill>
        <a:blip xmlns:r="http://schemas.openxmlformats.org/officeDocument/2006/relationships" r:embed="rId8"/>
        <a:stretch>
          <a:fillRect/>
        </a:stretch>
      </xdr:blipFill>
      <xdr:spPr>
        <a:xfrm>
          <a:off x="295275" y="20402550"/>
          <a:ext cx="11714287" cy="50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估价对象为北京市房地产，为所有。根据《国有土地使用证》[]，估价对象（分摊）出让国有建设用地使用权面积为0平方米，建筑面积为1010.54平方米。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估价对象为北京市房地产,属开发建设的，该项目尚在开发建设中。根据《国有土地使用证》[]，估价对象（分摊）出让国有建设用地使用权面积为0平方米，规划建筑面积为1010.54平方米。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2023年3月15日</v>
      </c>
    </row>
    <row r="13" spans="1:2" s="1203" customFormat="1">
      <c r="A13" s="1201" t="s">
        <v>529</v>
      </c>
      <c r="B13" s="1202" t="str">
        <f>'预评函-1'!A18</f>
        <v>本次估价的“房地产价值”是指在正常市场情况下，在价值时点2023年3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3447</v>
      </c>
    </row>
    <row r="21" spans="1:2" s="1203" customFormat="1">
      <c r="A21" s="1201" t="s">
        <v>537</v>
      </c>
      <c r="B21" s="1202">
        <f ca="1">'预评函-2'!D7</f>
        <v>34113</v>
      </c>
    </row>
    <row r="22" spans="1:2" s="1203" customFormat="1">
      <c r="A22" s="1201" t="s">
        <v>538</v>
      </c>
      <c r="B22" s="1202" t="str">
        <f ca="1">'预评函-2'!D6</f>
        <v>叁仟肆佰肆拾柒万元整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3447</v>
      </c>
    </row>
    <row r="31" spans="1:2" s="1203" customFormat="1">
      <c r="A31" s="1201" t="s">
        <v>576</v>
      </c>
      <c r="B31" s="1202">
        <f ca="1">'预评函-2'!D15</f>
        <v>34113</v>
      </c>
    </row>
    <row r="32" spans="1:2" s="1203" customFormat="1">
      <c r="A32" s="1201" t="s">
        <v>543</v>
      </c>
      <c r="B32" s="1202" t="str">
        <f ca="1">'预评函-2'!D14</f>
        <v>叁仟肆佰肆拾柒万元整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1010.54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2358</v>
      </c>
    </row>
    <row r="48" spans="1:2" s="1203" customFormat="1">
      <c r="A48" s="1201" t="s">
        <v>549</v>
      </c>
      <c r="B48" s="1202">
        <f ca="1">'预评函-3'!E4</f>
        <v>23333</v>
      </c>
    </row>
    <row r="49" spans="1:2" s="1203" customFormat="1">
      <c r="A49" s="1201" t="s">
        <v>550</v>
      </c>
      <c r="B49" s="1202" t="str">
        <f ca="1">'预评函-3'!D5</f>
        <v>贰仟叁佰伍拾捌万元整</v>
      </c>
    </row>
    <row r="50" spans="1:2" s="1203" customFormat="1">
      <c r="A50" s="1201" t="s">
        <v>574</v>
      </c>
      <c r="B50" s="1202" t="str">
        <f>'预评函-3'!F2</f>
        <v>在建建筑物价值</v>
      </c>
    </row>
    <row r="51" spans="1:2" s="1203" customFormat="1">
      <c r="A51" s="1201" t="s">
        <v>551</v>
      </c>
      <c r="B51" s="1202">
        <f ca="1">'预评函-3'!F4</f>
        <v>1089</v>
      </c>
    </row>
    <row r="52" spans="1:2" s="1203" customFormat="1">
      <c r="A52" s="1201" t="s">
        <v>552</v>
      </c>
      <c r="B52" s="1202">
        <f ca="1">'预评函-3'!G4</f>
        <v>10780</v>
      </c>
    </row>
    <row r="53" spans="1:2" s="1203" customFormat="1">
      <c r="A53" s="1201" t="s">
        <v>580</v>
      </c>
      <c r="B53" s="1202" t="str">
        <f ca="1">'预评函-3'!F5</f>
        <v>壹仟零捌拾玖万元整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8" sqref="B8"/>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11" t="s">
        <v>2583</v>
      </c>
      <c r="J2" s="3511"/>
      <c r="K2" s="3511"/>
      <c r="L2" s="3511"/>
      <c r="M2" s="3511"/>
      <c r="N2" s="3511"/>
      <c r="O2" s="3511"/>
      <c r="P2" s="3511"/>
      <c r="Q2" s="3511"/>
      <c r="R2" s="3511"/>
    </row>
    <row r="3" spans="1:18">
      <c r="A3" s="3020" t="s">
        <v>2504</v>
      </c>
      <c r="B3" s="3021">
        <f>项目基本情况!D3</f>
        <v>45000</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3.76</v>
      </c>
      <c r="D5" s="3025">
        <f>IF(ISERROR(ROUND(POWER(1+E5,A5-C5)*(POWER(1+E5,C5)-1)/(POWER(1+E5,A5)-1),3)),0,ROUND(POWER(1+E5,A5-C5)*(POWER(1+E5,C5)-1)/(POWER(1+E5,A5)-1),4))</f>
        <v>0.17319999999999999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13.77</v>
      </c>
      <c r="D6" s="3025">
        <f>IF(ISERROR(ROUND(POWER(1+E6,A6-C6)*(POWER(1+E6,C6)-1)/(POWER(1+E6,A6)-1),3)),0,ROUND(POWER(1+E6,A6-C6)*(POWER(1+E6,C6)-1)/(POWER(1+E6,A6)-1),4))</f>
        <v>0.48559999999999998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45291</v>
      </c>
      <c r="C7" s="3023">
        <f>ROUNDDOWN(MIN((B7-B3)/365,A7),2)</f>
        <v>0.79</v>
      </c>
      <c r="D7" s="3025">
        <f>IF(ISERROR(ROUND(POWER(1+E7,A7-C7)*(POWER(1+E7,C7)-1)/(POWER(1+E7,A7)-1),3)),0,ROUND(POWER(1+E7,A7-C7)*(POWER(1+E7,C7)-1)/(POWER(1+E7,A7)-1),4))</f>
        <v>3.2599999999999997E-2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2" t="str">
        <f>IF(B10="北京市","北京市",C10)&amp;F10&amp;IF(结果表!G1="在建","出让国有建设用地使用权及在建建筑物",IF(结果表!G1="土地","出让国有建设用地使用权",))&amp;B9&amp;"预评估"</f>
        <v>北京市房地产抵押价值预评估</v>
      </c>
      <c r="C1" s="3513"/>
      <c r="D1" s="3513"/>
      <c r="E1" s="3513"/>
      <c r="F1" s="3513"/>
      <c r="G1" s="3513"/>
      <c r="H1" s="3513"/>
      <c r="I1" s="351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45000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3464</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15"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16"/>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v>52727</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21.16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2"/>
      <c r="C16" s="3523"/>
      <c r="D16" s="3524"/>
      <c r="E16" s="2413" t="s">
        <v>2194</v>
      </c>
      <c r="F16" s="3525"/>
      <c r="G16" s="3526"/>
      <c r="H16" s="3526"/>
      <c r="I16" s="3527"/>
      <c r="J16" s="2439"/>
      <c r="K16" s="2617"/>
      <c r="L16" s="2451"/>
      <c r="M16" s="2451"/>
      <c r="N16" s="2509"/>
      <c r="O16" s="2451"/>
      <c r="P16" s="2509"/>
      <c r="Q16" s="2439"/>
      <c r="R16" s="2439"/>
    </row>
    <row r="17" spans="1:28">
      <c r="A17" s="313" t="s">
        <v>2195</v>
      </c>
      <c r="B17" s="302" t="s">
        <v>2196</v>
      </c>
      <c r="C17" s="8">
        <f>'数据-汇总表'!E3</f>
        <v>1010.54</v>
      </c>
      <c r="D17" s="2322" t="s">
        <v>2197</v>
      </c>
      <c r="E17" s="3528" t="s">
        <v>2198</v>
      </c>
      <c r="F17" s="3529"/>
      <c r="G17" s="3529"/>
      <c r="H17" s="3529"/>
      <c r="I17" s="353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1" t="s">
        <v>2202</v>
      </c>
      <c r="F18" s="3532"/>
      <c r="G18" s="3532"/>
      <c r="H18" s="3532"/>
      <c r="I18" s="353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8" t="s">
        <v>2206</v>
      </c>
      <c r="C20" s="3519"/>
      <c r="D20" s="3520" t="s">
        <v>2207</v>
      </c>
      <c r="E20" s="3521"/>
      <c r="F20" s="2647" t="s">
        <v>1056</v>
      </c>
      <c r="G20" s="2664"/>
      <c r="H20" s="2664"/>
      <c r="I20" s="2664"/>
      <c r="J20" s="2439"/>
      <c r="K20" s="351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6"/>
      <c r="B30" s="302" t="s">
        <v>2218</v>
      </c>
      <c r="C30" s="3537"/>
      <c r="D30" s="3538"/>
      <c r="E30" s="2664"/>
      <c r="F30" s="2664"/>
      <c r="G30" s="2664"/>
      <c r="H30" s="2664"/>
      <c r="I30" s="2664"/>
      <c r="J30" s="2439"/>
      <c r="K30" s="2616"/>
      <c r="L30" s="2613"/>
      <c r="M30" s="2613"/>
      <c r="N30" s="2439"/>
      <c r="O30" s="2450"/>
      <c r="P30" s="2439"/>
      <c r="Q30" s="2439"/>
      <c r="R30" s="2439"/>
      <c r="S30" s="2439"/>
      <c r="T30" s="2439"/>
      <c r="U30" s="2439"/>
      <c r="V30" s="2439"/>
    </row>
    <row r="31" spans="1:28">
      <c r="A31" s="353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4" t="s">
        <v>2228</v>
      </c>
      <c r="T34" s="2428" t="str">
        <f>NUMBERSTRING(7-K34,1)&amp;"通"</f>
        <v>七通</v>
      </c>
      <c r="U34" s="2439"/>
      <c r="V34" s="2439"/>
    </row>
    <row r="35" spans="1:30">
      <c r="A35" s="2429"/>
      <c r="B35" s="3541" t="s">
        <v>2229</v>
      </c>
      <c r="C35" s="3541"/>
      <c r="D35" s="3541"/>
      <c r="E35" s="354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29</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172</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1010.54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1010.54</v>
      </c>
      <c r="H5" s="13">
        <f t="shared" ref="H5:AT5" si="0">SUM(H13:H656)</f>
        <v>1010.54</v>
      </c>
      <c r="I5" s="13">
        <f t="shared" si="0"/>
        <v>1010.54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1010.54</v>
      </c>
      <c r="BA5" s="15">
        <f t="shared" si="1"/>
        <v>1010.54</v>
      </c>
      <c r="BB5" s="15">
        <f t="shared" si="1"/>
        <v>1010.54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1010.54</v>
      </c>
      <c r="H13" s="17">
        <f>SUMIF(I$12:AB$12,"总值",I13:AB13)</f>
        <v>1010.54</v>
      </c>
      <c r="I13" s="1626">
        <v>1010.54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1010.54</v>
      </c>
      <c r="BA13" s="13">
        <f>SUM(BB13:BK13)</f>
        <v>1010.54</v>
      </c>
      <c r="BB13" s="13">
        <f>IF($D13="是",I13-J13,0)</f>
        <v>1010.54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1" t="s">
        <v>1131</v>
      </c>
      <c r="B2" s="3551"/>
      <c r="C2" s="3551"/>
      <c r="D2" s="796" t="s">
        <v>1107</v>
      </c>
      <c r="E2" s="1639" t="s">
        <v>1108</v>
      </c>
      <c r="F2" s="2659"/>
      <c r="G2" s="2650"/>
      <c r="H2" s="2651"/>
      <c r="I2" s="2325" t="s">
        <v>1132</v>
      </c>
      <c r="J2" s="2659"/>
      <c r="K2" s="2659"/>
      <c r="L2" s="2659"/>
      <c r="M2" s="2659"/>
      <c r="N2" s="2661"/>
      <c r="O2" s="2659"/>
      <c r="P2" s="2659"/>
    </row>
    <row r="3" spans="1:16" ht="15.75" thickBot="1">
      <c r="A3" s="3552" t="s">
        <v>1105</v>
      </c>
      <c r="B3" s="3552"/>
      <c r="C3" s="3552"/>
      <c r="D3" s="43">
        <f>'数据-基础表'!AY6</f>
        <v>0</v>
      </c>
      <c r="E3" s="43">
        <f>'数据-基础表'!AZ5</f>
        <v>1010.54</v>
      </c>
      <c r="F3" s="2659"/>
      <c r="G3" s="1145"/>
      <c r="H3" s="1026" t="s">
        <v>1106</v>
      </c>
      <c r="I3" s="855" t="e">
        <f>ROUND('数据-基础表'!B3/'数据-基础表'!A3,2)</f>
        <v>#DIV/0!</v>
      </c>
      <c r="J3" s="2659"/>
      <c r="K3" s="2659"/>
      <c r="L3" s="2659"/>
      <c r="M3" s="2659"/>
      <c r="N3" s="2661"/>
      <c r="O3" s="2659"/>
      <c r="P3" s="2659"/>
    </row>
    <row r="4" spans="1:16" ht="15">
      <c r="A4" s="3553"/>
      <c r="B4" s="3554"/>
      <c r="C4" s="355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6" t="s">
        <v>1110</v>
      </c>
      <c r="C5" s="355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6" t="s">
        <v>1111</v>
      </c>
      <c r="C6" s="3556"/>
      <c r="D6" s="45">
        <f>ROUND($D$3*E6/$E$3,2)</f>
        <v>0</v>
      </c>
      <c r="E6" s="46">
        <f>E3-E5</f>
        <v>1010.54</v>
      </c>
      <c r="F6" s="2659"/>
      <c r="G6" s="2653" t="s">
        <v>1112</v>
      </c>
      <c r="H6" s="1146" t="s">
        <v>1113</v>
      </c>
      <c r="I6" s="2654" t="e">
        <f>ROUND(F31/D31,2)</f>
        <v>#DIV/0!</v>
      </c>
      <c r="J6" s="2659"/>
      <c r="K6" s="2659"/>
      <c r="L6" s="2659"/>
      <c r="M6" s="2659"/>
      <c r="N6" s="2659"/>
      <c r="O6" s="2659"/>
      <c r="P6" s="2659"/>
    </row>
    <row r="7" spans="1:16" ht="15.75" thickBot="1">
      <c r="A7" s="3548"/>
      <c r="B7" s="3549"/>
      <c r="C7" s="3550"/>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1010.54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1010.54</v>
      </c>
      <c r="F16" s="2659"/>
      <c r="G16" s="2660"/>
      <c r="H16" s="1648" t="s">
        <v>1135</v>
      </c>
      <c r="I16" s="1649"/>
      <c r="J16" s="1139"/>
      <c r="K16" s="3545" t="s">
        <v>1135</v>
      </c>
      <c r="L16" s="3546"/>
      <c r="M16" s="3546"/>
      <c r="N16" s="3546"/>
      <c r="O16" s="3546"/>
      <c r="P16" s="3547"/>
    </row>
    <row r="17" spans="1:19" ht="15">
      <c r="A17" s="1650" t="s">
        <v>1136</v>
      </c>
      <c r="B17" s="1651" t="s">
        <v>1137</v>
      </c>
      <c r="C17" s="1652" t="s">
        <v>1138</v>
      </c>
      <c r="D17" s="1653" t="s">
        <v>1126</v>
      </c>
      <c r="E17" s="1654" t="s">
        <v>1127</v>
      </c>
      <c r="F17" s="1655"/>
      <c r="G17" s="1656"/>
      <c r="H17" s="1657" t="s">
        <v>1139</v>
      </c>
      <c r="I17" s="1658" t="s">
        <v>1124</v>
      </c>
      <c r="J17" s="1139"/>
      <c r="K17" s="3542" t="s">
        <v>1140</v>
      </c>
      <c r="L17" s="3543"/>
      <c r="M17" s="3544"/>
      <c r="N17" s="3542" t="s">
        <v>1141</v>
      </c>
      <c r="O17" s="3543"/>
      <c r="P17" s="354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1010.54</v>
      </c>
      <c r="F19" s="2795">
        <f>'数据-基础表'!I13</f>
        <v>1010.54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1010.54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1010.54</v>
      </c>
      <c r="F27" s="1140">
        <f>IF(SUM(F19:F26)=E8,SUM(F19:F26),"地上面积有误")</f>
        <v>1010.54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1010.54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1010.54</v>
      </c>
      <c r="F31" s="677">
        <f>F27+F30</f>
        <v>1010.54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O22" sqref="O22"/>
    </sheetView>
  </sheetViews>
  <sheetFormatPr defaultColWidth="13.75" defaultRowHeight="12.75"/>
  <cols>
    <col min="1" max="1" width="22.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45000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酒店</v>
      </c>
      <c r="B6" s="1713" t="str">
        <f>IF(A6=0,"","经营性")</f>
        <v>经营性</v>
      </c>
      <c r="C6" s="1714" t="s">
        <v>673</v>
      </c>
      <c r="D6" s="858">
        <f>SUMIF(项目基本情况!C$12:I$12,C6,项目基本情况!C$14:I$14)</f>
        <v>40</v>
      </c>
      <c r="E6" s="857">
        <f>IF(B6="","",SUMIF(项目基本情况!C$12:I$12,C6,项目基本情况!C$13:I$13))</f>
        <v>52727</v>
      </c>
      <c r="F6" s="64">
        <f>SUMIF(项目基本情况!C$12:I$12,C6,项目基本情况!C$15:I$15)</f>
        <v>21.16</v>
      </c>
      <c r="G6" s="65">
        <f>IF(ISERROR(ROUND(POWER(1+H6,D6-F6)*(POWER(1+H6,F6)-1)/(POWER(1+H6,D6)-1),3)),0,ROUND(POWER(1+H6,D6-F6)*(POWER(1+H6,F6)-1)/(POWER(1+H6,D6)-1),3))</f>
        <v>0.73199999999999998</v>
      </c>
      <c r="H6" s="3466">
        <v>4.4999999999999998E-2</v>
      </c>
      <c r="I6" s="3466">
        <v>0.05</v>
      </c>
      <c r="J6" s="3467">
        <v>7.0000000000000007E-2</v>
      </c>
      <c r="K6" s="1030">
        <f>SUMIF('数据-汇总表'!C$19:C$33,A6,'数据-汇总表'!E$19:E$33)</f>
        <v>1010.54</v>
      </c>
      <c r="L6" s="733">
        <v>5000</v>
      </c>
      <c r="M6" s="67">
        <f t="shared" ref="M6:M14" si="0">ROUND(K6*L6/10000,0)</f>
        <v>505</v>
      </c>
      <c r="N6" s="731">
        <f>N21</f>
        <v>0.92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f>租赁合同!K7</f>
        <v>4.2699999999999996</v>
      </c>
      <c r="V6" s="70">
        <v>0</v>
      </c>
      <c r="W6" s="70">
        <v>0</v>
      </c>
      <c r="X6" s="1040"/>
      <c r="Y6" s="71">
        <f>N6</f>
        <v>0.92</v>
      </c>
      <c r="Z6" s="3468">
        <f>Z18</f>
        <v>5.5</v>
      </c>
      <c r="AA6" s="66">
        <v>0.03</v>
      </c>
      <c r="AB6" s="66">
        <v>0.1</v>
      </c>
      <c r="AC6" s="1040"/>
      <c r="AD6" s="3469">
        <v>0.77</v>
      </c>
      <c r="AE6" s="1041">
        <f ca="1">IF(AN6="",0,SUMIF(INDIRECT("'"&amp;AN6&amp;"'"&amp;"!E:E"),$AE$5,INDIRECT("'"&amp;AN6&amp;"'"&amp;"!F:F")))</f>
        <v>21.16</v>
      </c>
      <c r="AF6" s="1348">
        <f>租赁合同!I7</f>
        <v>6.8</v>
      </c>
      <c r="AG6" s="138">
        <f ca="1">IF(AF6="",0,AE6-AF6)</f>
        <v>14.36</v>
      </c>
      <c r="AH6" s="74"/>
      <c r="AI6" s="76">
        <v>365</v>
      </c>
      <c r="AJ6" s="77"/>
      <c r="AK6" s="78">
        <v>5.0000000000000001E-3</v>
      </c>
      <c r="AL6" s="79">
        <v>1E-3</v>
      </c>
      <c r="AM6" s="80">
        <v>5.0000000000000001E-3</v>
      </c>
      <c r="AN6" s="1715" t="s">
        <v>3406</v>
      </c>
      <c r="AO6" s="52">
        <f ca="1">SUMIF(INDIRECT("'"&amp;AN6&amp;"'"&amp;"!A:A"),"总价",INDIRECT("'"&amp;AN6&amp;"'"&amp;"!B:B"))</f>
        <v>2072.8184000000001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14.25">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0.73199999999999998</v>
      </c>
      <c r="H16" s="90">
        <f>ROUND(SUMPRODUCT(H6:H13,K6:K13)/SUMPRODUCT((H6:H13&gt;0)*(K6:K13)),3)</f>
        <v>4.4999999999999998E-2</v>
      </c>
      <c r="I16" s="91"/>
      <c r="J16" s="91"/>
      <c r="K16" s="92">
        <f>SUM(K6:K15)</f>
        <v>1010.54</v>
      </c>
      <c r="L16" s="93">
        <f>ROUND(M16*10000/SUM(K6:K14),0)</f>
        <v>4997</v>
      </c>
      <c r="M16" s="93">
        <f>SUM(M6:M14)</f>
        <v>505</v>
      </c>
      <c r="N16" s="94">
        <f>ROUND(SUMPRODUCT(M6:M14,N6:N14)/M16,3)</f>
        <v>0.92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2016</v>
      </c>
      <c r="O18" s="2671"/>
      <c r="P18" s="2671"/>
      <c r="Q18" s="2671"/>
      <c r="R18" s="2671"/>
      <c r="S18" s="2671"/>
      <c r="T18" s="2671"/>
      <c r="U18" s="2671"/>
      <c r="V18" s="2671"/>
      <c r="W18" s="2671"/>
      <c r="X18" s="2671"/>
      <c r="Y18" s="2671"/>
      <c r="Z18" s="2671">
        <f>ROUND(4.5*(1+AA6)^AF6,2)</f>
        <v>5.5</v>
      </c>
      <c r="AA18" s="2671"/>
      <c r="AB18" s="2671"/>
      <c r="AC18" s="2671"/>
      <c r="AD18" s="2671">
        <v>2030</v>
      </c>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0.88</v>
      </c>
      <c r="O19" s="2671"/>
      <c r="P19" s="2671"/>
      <c r="Q19" s="2671"/>
      <c r="R19" s="2671"/>
      <c r="S19" s="2671"/>
      <c r="T19" s="2671"/>
      <c r="U19" s="2671"/>
      <c r="V19" s="2671"/>
      <c r="W19" s="2671"/>
      <c r="X19" s="2671"/>
      <c r="Y19" s="2671"/>
      <c r="Z19" s="2671"/>
      <c r="AA19" s="2671"/>
      <c r="AB19" s="2671"/>
      <c r="AC19" s="2671"/>
      <c r="AD19" s="2671">
        <f>ROUND(1-(2030-N18)/60,2)</f>
        <v>0.77</v>
      </c>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0.95</v>
      </c>
      <c r="O20" s="2671"/>
      <c r="P20" s="2671"/>
      <c r="Q20" s="2671"/>
      <c r="R20" s="2671"/>
      <c r="S20" s="2671"/>
      <c r="T20" s="2671"/>
      <c r="U20" s="2671"/>
      <c r="V20" s="2671"/>
      <c r="W20" s="2671"/>
      <c r="X20" s="2671"/>
      <c r="Y20" s="2671"/>
      <c r="Z20" s="2671"/>
      <c r="AA20" s="2671"/>
      <c r="AB20" s="2671"/>
      <c r="AC20" s="2671"/>
      <c r="AD20" s="2671">
        <v>0.85</v>
      </c>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ROUND((N19+N20)/2,2)</f>
        <v>0.92</v>
      </c>
      <c r="O21" s="2671"/>
      <c r="P21" s="2671"/>
      <c r="Q21" s="2671"/>
      <c r="R21" s="2671"/>
      <c r="S21" s="2671"/>
      <c r="T21" s="2671"/>
      <c r="U21" s="2671"/>
      <c r="V21" s="2671"/>
      <c r="W21" s="2671"/>
      <c r="X21" s="2671"/>
      <c r="Y21" s="2671"/>
      <c r="Z21" s="2671"/>
      <c r="AA21" s="2671"/>
      <c r="AB21" s="2671"/>
      <c r="AC21" s="2671"/>
      <c r="AD21" s="2671">
        <f>AD19*0.5+AD20*0.5</f>
        <v>0.81</v>
      </c>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14.2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202108</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f ca="1">结果表!G20</f>
        <v>34113</v>
      </c>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7" t="s">
        <v>2286</v>
      </c>
      <c r="B1" s="3558"/>
      <c r="C1" s="3558"/>
      <c r="D1" s="3558"/>
      <c r="E1" s="3558"/>
      <c r="F1" s="3558"/>
      <c r="G1" s="355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32" sqref="B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1010.54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45000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3447.2550999999999</v>
      </c>
      <c r="C5" s="2512">
        <f ca="1">IF(B5=D14,结果表!H102,ROUND(B5*10000/$B$1,0))</f>
        <v>34113</v>
      </c>
      <c r="D5" s="2512" t="e">
        <f ca="1">ROUND(B5*10000/$B$2,0)</f>
        <v>#DIV/0!</v>
      </c>
      <c r="E5" s="2686"/>
      <c r="F5" s="2687"/>
      <c r="G5" s="2687"/>
      <c r="H5" s="2688"/>
      <c r="I5" s="2688"/>
      <c r="J5" s="2688"/>
      <c r="K5" s="2688"/>
    </row>
    <row r="6" spans="1:11" ht="16.5">
      <c r="A6" s="2512" t="s">
        <v>656</v>
      </c>
      <c r="B6" s="2512">
        <f ca="1">SUM(G14:G23)</f>
        <v>3447.2550999999999</v>
      </c>
      <c r="C6" s="2512">
        <f ca="1">IF(B6=G14,结果表!H108,ROUND(B6*10000/$B$1,0))</f>
        <v>34113</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'数据-基础表'!I13</f>
        <v>1010.54</v>
      </c>
      <c r="C14" s="2518"/>
      <c r="D14" s="2518">
        <f ca="1">ROUND(B14*E14/10000,4)</f>
        <v>3447.2550999999999</v>
      </c>
      <c r="E14" s="2518">
        <f ca="1">结果表!G20</f>
        <v>34113</v>
      </c>
      <c r="F14" s="2518" t="e">
        <f ca="1">ROUND(D14*10000/C14,0)</f>
        <v>#DIV/0!</v>
      </c>
      <c r="G14" s="2518">
        <f ca="1">D14</f>
        <v>3447.2550999999999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22" zoomScale="90" zoomScaleNormal="100" zoomScaleSheetLayoutView="90" zoomScalePageLayoutView="80" workbookViewId="0">
      <selection activeCell="F26" sqref="F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6" t="str">
        <f>项目基本情况!S2</f>
        <v>北京市房地产</v>
      </c>
      <c r="B2" s="3627"/>
      <c r="C2" s="3627"/>
      <c r="D2" s="3627"/>
      <c r="E2" s="3627"/>
      <c r="F2" s="3627"/>
      <c r="G2" s="3627"/>
      <c r="H2" s="3627"/>
      <c r="I2" s="3628"/>
    </row>
    <row r="3" spans="1:12" ht="12.75">
      <c r="A3" s="3631" t="s">
        <v>1264</v>
      </c>
      <c r="B3" s="3632"/>
      <c r="C3" s="3632"/>
      <c r="D3" s="3632"/>
      <c r="E3" s="3632"/>
      <c r="F3" s="3632"/>
      <c r="G3" s="3632"/>
      <c r="H3" s="3632"/>
      <c r="I3" s="3632"/>
    </row>
    <row r="4" spans="1:12" ht="14.25">
      <c r="A4" s="1754" t="s">
        <v>1265</v>
      </c>
      <c r="B4" s="1755" t="s">
        <v>1266</v>
      </c>
      <c r="C4" s="1756" t="s">
        <v>3412</v>
      </c>
      <c r="D4" s="1756" t="s">
        <v>3406</v>
      </c>
      <c r="E4" s="3636" t="s">
        <v>1267</v>
      </c>
      <c r="F4" s="3637"/>
      <c r="G4" s="3637"/>
      <c r="H4" s="3637"/>
      <c r="I4" s="363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4" t="s">
        <v>1268</v>
      </c>
      <c r="B5" s="3629">
        <v>25</v>
      </c>
      <c r="C5" s="3633"/>
      <c r="D5" s="3630"/>
      <c r="E5" s="131" t="s">
        <v>1269</v>
      </c>
      <c r="F5" s="1757"/>
      <c r="G5" s="1757"/>
      <c r="H5" s="1757"/>
      <c r="I5" s="1373"/>
    </row>
    <row r="6" spans="1:12" ht="12.75">
      <c r="A6" s="3574"/>
      <c r="B6" s="3629"/>
      <c r="C6" s="3635"/>
      <c r="D6" s="3630"/>
      <c r="E6" s="131" t="s">
        <v>1270</v>
      </c>
      <c r="F6" s="1757"/>
      <c r="G6" s="1757"/>
      <c r="H6" s="1757"/>
      <c r="I6" s="1373"/>
    </row>
    <row r="7" spans="1:12" ht="12.75">
      <c r="A7" s="3574"/>
      <c r="B7" s="3629"/>
      <c r="C7" s="3634"/>
      <c r="D7" s="3630"/>
      <c r="E7" s="131" t="s">
        <v>1271</v>
      </c>
      <c r="F7" s="1757"/>
      <c r="G7" s="1757"/>
      <c r="H7" s="1757"/>
      <c r="I7" s="1373"/>
    </row>
    <row r="8" spans="1:12" ht="12.75">
      <c r="A8" s="3574" t="s">
        <v>1272</v>
      </c>
      <c r="B8" s="3629">
        <v>15</v>
      </c>
      <c r="C8" s="3633"/>
      <c r="D8" s="3630"/>
      <c r="E8" s="131" t="s">
        <v>1273</v>
      </c>
      <c r="F8" s="1757"/>
      <c r="G8" s="1757"/>
      <c r="H8" s="1757"/>
      <c r="I8" s="1373"/>
    </row>
    <row r="9" spans="1:12" ht="12.75">
      <c r="A9" s="3574"/>
      <c r="B9" s="3629"/>
      <c r="C9" s="3634"/>
      <c r="D9" s="3630"/>
      <c r="E9" s="131" t="s">
        <v>1274</v>
      </c>
      <c r="F9" s="1757"/>
      <c r="G9" s="1757"/>
      <c r="H9" s="1757"/>
      <c r="I9" s="1373"/>
    </row>
    <row r="10" spans="1:12" ht="12.75">
      <c r="A10" s="3574" t="s">
        <v>1275</v>
      </c>
      <c r="B10" s="3629">
        <v>15</v>
      </c>
      <c r="C10" s="3633"/>
      <c r="D10" s="3630"/>
      <c r="E10" s="131" t="s">
        <v>1276</v>
      </c>
      <c r="F10" s="1757"/>
      <c r="G10" s="1757"/>
      <c r="H10" s="1757"/>
      <c r="I10" s="1373"/>
    </row>
    <row r="11" spans="1:12" ht="12.75">
      <c r="A11" s="3574"/>
      <c r="B11" s="3629"/>
      <c r="C11" s="3634"/>
      <c r="D11" s="3630"/>
      <c r="E11" s="131" t="s">
        <v>1277</v>
      </c>
      <c r="F11" s="1757"/>
      <c r="G11" s="1757"/>
      <c r="H11" s="1757"/>
      <c r="I11" s="1373"/>
    </row>
    <row r="12" spans="1:12" ht="12.75">
      <c r="A12" s="3574" t="s">
        <v>1278</v>
      </c>
      <c r="B12" s="3629">
        <v>15</v>
      </c>
      <c r="C12" s="3633"/>
      <c r="D12" s="3630"/>
      <c r="E12" s="131" t="s">
        <v>1279</v>
      </c>
      <c r="F12" s="1757"/>
      <c r="G12" s="1757"/>
      <c r="H12" s="1757"/>
      <c r="I12" s="1373"/>
    </row>
    <row r="13" spans="1:12" ht="12.75">
      <c r="A13" s="3574"/>
      <c r="B13" s="3629"/>
      <c r="C13" s="3634"/>
      <c r="D13" s="3630"/>
      <c r="E13" s="131" t="s">
        <v>1280</v>
      </c>
      <c r="F13" s="1757"/>
      <c r="G13" s="1757"/>
      <c r="H13" s="1757"/>
      <c r="I13" s="1373"/>
    </row>
    <row r="14" spans="1:12" ht="12.75">
      <c r="A14" s="3574" t="s">
        <v>1281</v>
      </c>
      <c r="B14" s="3629">
        <v>30</v>
      </c>
      <c r="C14" s="3649">
        <v>7</v>
      </c>
      <c r="D14" s="3620">
        <v>3</v>
      </c>
      <c r="E14" s="131" t="s">
        <v>1282</v>
      </c>
      <c r="F14" s="1757"/>
      <c r="G14" s="1757"/>
      <c r="H14" s="1757"/>
      <c r="I14" s="1373"/>
    </row>
    <row r="15" spans="1:12" ht="12.75">
      <c r="A15" s="3574"/>
      <c r="B15" s="3629"/>
      <c r="C15" s="3650"/>
      <c r="D15" s="3620"/>
      <c r="E15" s="131" t="s">
        <v>1283</v>
      </c>
      <c r="F15" s="1757"/>
      <c r="G15" s="1757"/>
      <c r="H15" s="1757"/>
      <c r="I15" s="1373"/>
    </row>
    <row r="16" spans="1:12" ht="12.75">
      <c r="A16" s="3574"/>
      <c r="B16" s="3629"/>
      <c r="C16" s="3651"/>
      <c r="D16" s="3620"/>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55" t="s">
        <v>2131</v>
      </c>
      <c r="F18" s="3656"/>
      <c r="G18" s="3656"/>
      <c r="H18" s="3656"/>
      <c r="I18" s="3656"/>
      <c r="K18" s="302" t="s">
        <v>1289</v>
      </c>
      <c r="L18" s="302">
        <f>IF(C1="",'数据-汇总表'!E3,SUMIF(项目类型,C1,'数据-汇总表'!E17:E26)+SUMIF(项目类型,C1,'数据-汇总表'!I17:I26))</f>
        <v>1010.54</v>
      </c>
      <c r="M18" s="302">
        <f>IF(C1="",'数据-汇总表'!E3,SUMIF(项目类型,C1,'数据-汇总表'!E17:E26))</f>
        <v>1010.54</v>
      </c>
    </row>
    <row r="19" spans="1:36" ht="15">
      <c r="A19" s="1761" t="s">
        <v>1290</v>
      </c>
      <c r="B19" s="1762" t="s">
        <v>1291</v>
      </c>
      <c r="C19" s="134">
        <f ca="1">SUMIF(INDIRECT("'"&amp;C4&amp;"'"&amp;"!A:A"),结果表!B19,INDIRECT("'"&amp;C4&amp;"'"&amp;"!B:B"))</f>
        <v>4036.2988999999998</v>
      </c>
      <c r="D19" s="135">
        <f ca="1">SUMIF(INDIRECT("'"&amp;D4&amp;"'"&amp;"!A:A"),结果表!B19,INDIRECT("'"&amp;D4&amp;"'"&amp;"!B:B"))</f>
        <v>2072.8184000000001</v>
      </c>
      <c r="E19" s="1761" t="s">
        <v>1292</v>
      </c>
      <c r="F19" s="1762" t="s">
        <v>1291</v>
      </c>
      <c r="G19" s="136">
        <f ca="1">ROUND(C19*$C$18+D19*$D$18,0)</f>
        <v>3447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39942</v>
      </c>
      <c r="D20" s="138">
        <f ca="1">SUMIF(INDIRECT("'"&amp;D4&amp;"'"&amp;"!A:A"),结果表!B20,INDIRECT("'"&amp;D4&amp;"'"&amp;"!B:B"))</f>
        <v>20512</v>
      </c>
      <c r="E20" s="1764"/>
      <c r="F20" s="1026" t="s">
        <v>1295</v>
      </c>
      <c r="G20" s="139">
        <f ca="1">ROUND(C20*$C$18+D20*$D$18,0)</f>
        <v>34113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0.94725157785168235</v>
      </c>
      <c r="E22" s="129"/>
      <c r="F22" s="129"/>
      <c r="G22" s="129"/>
      <c r="H22" s="129"/>
      <c r="I22" s="129"/>
    </row>
    <row r="23" spans="1:36" ht="13.5" thickBot="1">
      <c r="A23" s="1747"/>
      <c r="B23" s="1747"/>
      <c r="C23" s="1747"/>
      <c r="D23" s="1747"/>
      <c r="E23" s="129"/>
      <c r="F23" s="129"/>
      <c r="G23" s="129"/>
      <c r="H23" s="129"/>
      <c r="I23" s="129"/>
    </row>
    <row r="24" spans="1:36" ht="14.25">
      <c r="A24" s="3645" t="s">
        <v>1299</v>
      </c>
      <c r="B24" s="1762" t="s">
        <v>1291</v>
      </c>
      <c r="C24" s="136">
        <f>IF(B30=0,0,D30)</f>
        <v>0</v>
      </c>
      <c r="D24" s="1769"/>
      <c r="E24" s="129"/>
      <c r="F24" s="129"/>
      <c r="G24" s="129"/>
      <c r="H24" s="129"/>
      <c r="I24" s="129"/>
      <c r="K24" s="725">
        <v>39900</v>
      </c>
    </row>
    <row r="25" spans="1:36" ht="14.25">
      <c r="A25" s="3646"/>
      <c r="B25" s="1026" t="s">
        <v>1295</v>
      </c>
      <c r="C25" s="141">
        <f>IF(B30=0,0,C30)</f>
        <v>0</v>
      </c>
      <c r="D25" s="1770"/>
      <c r="E25" s="129"/>
      <c r="F25" s="129"/>
      <c r="G25" s="129"/>
      <c r="H25" s="129"/>
      <c r="I25" s="129"/>
      <c r="K25" s="725">
        <f>K24*0.7</f>
        <v>27930</v>
      </c>
      <c r="L25" s="725">
        <f>34000-K25</f>
        <v>6070</v>
      </c>
    </row>
    <row r="26" spans="1:36" ht="13.5" customHeight="1">
      <c r="A26" s="1771" t="s">
        <v>1300</v>
      </c>
      <c r="B26" s="142" t="s">
        <v>1301</v>
      </c>
      <c r="C26" s="142" t="s">
        <v>1302</v>
      </c>
      <c r="D26" s="143" t="s">
        <v>1303</v>
      </c>
      <c r="E26" s="129"/>
      <c r="F26" s="129"/>
      <c r="G26" s="129"/>
      <c r="H26" s="129"/>
      <c r="I26" s="129"/>
      <c r="L26" s="725">
        <f>L25/0.3</f>
        <v>20233.333333333336</v>
      </c>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34113</v>
      </c>
      <c r="D32" s="1775" t="s">
        <v>3466</v>
      </c>
      <c r="E32" s="129"/>
      <c r="F32" s="129"/>
      <c r="G32" s="129"/>
      <c r="H32" s="129"/>
      <c r="I32" s="129"/>
    </row>
    <row r="33" spans="1:15" ht="15">
      <c r="A33" s="786" t="s">
        <v>1306</v>
      </c>
      <c r="B33" s="1776"/>
      <c r="C33" s="1777" t="s">
        <v>3407</v>
      </c>
      <c r="D33" s="1778" t="s">
        <v>3408</v>
      </c>
      <c r="E33" s="1779" t="s">
        <v>1307</v>
      </c>
      <c r="F33" s="1780" t="str">
        <f>IF(D32="楼面单价","取值（单价）","取值（总价）")</f>
        <v>取值（单价）</v>
      </c>
      <c r="G33" s="129"/>
      <c r="H33" s="129"/>
      <c r="I33" s="129"/>
    </row>
    <row r="34" spans="1:15" ht="15">
      <c r="A34" s="1781"/>
      <c r="B34" s="1782" t="s">
        <v>1308</v>
      </c>
      <c r="C34" s="148">
        <f ca="1">IF(C33="自定义",F34,C32-C35)</f>
        <v>23333</v>
      </c>
      <c r="D34" s="861">
        <f ca="1">IF(C33="自定义",ROUND(C34/C32,3),IF(C33="收益比率",SUMIF(INDIRECT("'"&amp;D33&amp;"'"&amp;"!b:b"),"土地收益比率",INDIRECT("'"&amp;D33&amp;"'"&amp;"!c:c")),SUMIF(INDIRECT("'"&amp;D33&amp;"'"&amp;"!b:b"),"土地成本比率",INDIRECT("'"&amp;D33&amp;"'"&amp;"!c:c"))))</f>
        <v>0.68399999999999994</v>
      </c>
      <c r="E34" s="1783" t="s">
        <v>1309</v>
      </c>
      <c r="F34" s="1330"/>
      <c r="G34" s="129"/>
      <c r="H34" s="129"/>
      <c r="I34" s="129"/>
    </row>
    <row r="35" spans="1:15" ht="15.75" thickBot="1">
      <c r="A35" s="1784"/>
      <c r="B35" s="1785" t="s">
        <v>1310</v>
      </c>
      <c r="C35" s="1170">
        <f ca="1">IF(C33="自定义",F35,ROUND(C32*D35,0))</f>
        <v>10780</v>
      </c>
      <c r="D35" s="1171">
        <f ca="1">IF(C33="自定义",ROUND(C35/C32,3),IF(C33="收益比率",SUMIF(INDIRECT("'"&amp;D33&amp;"'"&amp;"!b:b"),"建筑物收益比率",INDIRECT("'"&amp;D33&amp;"'"&amp;"!c:c")),SUMIF(INDIRECT("'"&amp;D33&amp;"'"&amp;"!b:b"),"建筑物成本比率",INDIRECT("'"&amp;D33&amp;"'"&amp;"!c:c"))))</f>
        <v>0.316</v>
      </c>
      <c r="E35" s="1786" t="s">
        <v>1311</v>
      </c>
      <c r="F35" s="154"/>
      <c r="G35" s="129"/>
      <c r="H35" s="129"/>
      <c r="I35" s="129"/>
    </row>
    <row r="36" spans="1:15" ht="15.75" thickBot="1">
      <c r="A36" s="3621" t="s">
        <v>1312</v>
      </c>
      <c r="B36" s="1787" t="s">
        <v>1313</v>
      </c>
      <c r="C36" s="145"/>
      <c r="D36" s="1788"/>
      <c r="E36" s="1789"/>
      <c r="F36" s="1790"/>
      <c r="G36" s="129"/>
      <c r="H36" s="129"/>
      <c r="I36" s="129"/>
    </row>
    <row r="37" spans="1:15" ht="15.75" thickBot="1">
      <c r="A37" s="3622"/>
      <c r="B37" s="1674" t="s">
        <v>1314</v>
      </c>
      <c r="C37" s="147"/>
      <c r="D37" s="1139"/>
      <c r="E37" s="1139"/>
      <c r="F37" s="1790"/>
      <c r="G37" s="129"/>
      <c r="H37" s="129"/>
      <c r="I37" s="129"/>
    </row>
    <row r="38" spans="1:15" ht="15.75" thickBot="1">
      <c r="A38" s="362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2" t="s">
        <v>1326</v>
      </c>
      <c r="B45" s="3643"/>
      <c r="C45" s="3644"/>
      <c r="D45" s="155">
        <f ca="1">ROUND(H101*F45,0)</f>
        <v>3447</v>
      </c>
      <c r="E45" s="156" t="s">
        <v>1327</v>
      </c>
      <c r="F45" s="157">
        <v>1</v>
      </c>
      <c r="G45" s="158" t="s">
        <v>1328</v>
      </c>
      <c r="H45" s="129"/>
      <c r="I45" s="129"/>
      <c r="J45" s="3561" t="s">
        <v>1329</v>
      </c>
      <c r="K45" s="3561"/>
      <c r="L45" s="3561"/>
      <c r="M45" s="3561"/>
      <c r="N45" s="3561"/>
      <c r="O45" s="3561"/>
    </row>
    <row r="46" spans="1:15" ht="14.25" customHeight="1">
      <c r="A46" s="3639" t="s">
        <v>1330</v>
      </c>
      <c r="B46" s="3640"/>
      <c r="C46" s="3640"/>
      <c r="D46" s="3640"/>
      <c r="E46" s="3640"/>
      <c r="F46" s="3640"/>
      <c r="G46" s="3641"/>
      <c r="H46" s="1806"/>
      <c r="I46" s="159"/>
      <c r="J46" s="2523">
        <v>1</v>
      </c>
      <c r="K46" s="3562" t="s">
        <v>1331</v>
      </c>
      <c r="L46" s="3562"/>
      <c r="M46" s="3563"/>
      <c r="N46" s="3563"/>
      <c r="O46" s="3563"/>
    </row>
    <row r="47" spans="1:15" ht="12" customHeight="1">
      <c r="A47" s="160" t="s">
        <v>1332</v>
      </c>
      <c r="B47" s="161"/>
      <c r="C47" s="162"/>
      <c r="D47" s="1087" t="s">
        <v>1333</v>
      </c>
      <c r="E47" s="302" t="s">
        <v>1334</v>
      </c>
      <c r="F47" s="163" t="s">
        <v>1335</v>
      </c>
      <c r="G47" s="2546" t="s">
        <v>1336</v>
      </c>
      <c r="H47" s="2547"/>
      <c r="I47" s="159"/>
      <c r="J47" s="2523">
        <v>2</v>
      </c>
      <c r="K47" s="3562" t="s">
        <v>1337</v>
      </c>
      <c r="L47" s="3562"/>
      <c r="M47" s="3564">
        <f>'数据-取费表'!B2</f>
        <v>45000</v>
      </c>
      <c r="N47" s="3564"/>
      <c r="O47" s="3564"/>
    </row>
    <row r="48" spans="1:15" ht="25.5">
      <c r="A48" s="3624" t="s">
        <v>1338</v>
      </c>
      <c r="B48" s="3625"/>
      <c r="C48" s="362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2" t="s">
        <v>1340</v>
      </c>
      <c r="L48" s="3562"/>
      <c r="M48" s="3565">
        <f ca="1">H101</f>
        <v>3447</v>
      </c>
      <c r="N48" s="3565"/>
      <c r="O48" s="3565"/>
    </row>
    <row r="49" spans="1:35" ht="25.5" customHeight="1">
      <c r="A49" s="2333" t="s">
        <v>1341</v>
      </c>
      <c r="B49" s="3610" t="s">
        <v>1342</v>
      </c>
      <c r="C49" s="3610"/>
      <c r="D49" s="1590">
        <v>0</v>
      </c>
      <c r="E49" s="324" t="s">
        <v>1343</v>
      </c>
      <c r="F49" s="2424" t="s">
        <v>28</v>
      </c>
      <c r="G49" s="3593"/>
      <c r="H49" s="2310" t="s">
        <v>2134</v>
      </c>
      <c r="I49" s="2311"/>
      <c r="J49" s="2523">
        <v>4</v>
      </c>
      <c r="K49" s="3562" t="str">
        <f>IF(项目基本情况!E8="房地产抵押价值","房地产抵押价值","抵押担保权已注销时的房地产抵押价值")</f>
        <v>房地产抵押价值</v>
      </c>
      <c r="L49" s="3562"/>
      <c r="M49" s="3565">
        <f ca="1">IF(项目基本情况!E8="房地产抵押价值",H107,H109)</f>
        <v>3447</v>
      </c>
      <c r="N49" s="3565"/>
      <c r="O49" s="3565"/>
    </row>
    <row r="50" spans="1:35" ht="25.5" customHeight="1">
      <c r="A50" s="2551"/>
      <c r="B50" s="3610" t="s">
        <v>1344</v>
      </c>
      <c r="C50" s="3610"/>
      <c r="D50" s="2552"/>
      <c r="E50" s="332"/>
      <c r="F50" s="2424"/>
      <c r="G50" s="3594"/>
      <c r="H50" s="2312" t="s">
        <v>2135</v>
      </c>
      <c r="I50" s="2311"/>
      <c r="J50" s="3561" t="s">
        <v>1345</v>
      </c>
      <c r="K50" s="3561"/>
      <c r="L50" s="3561"/>
      <c r="M50" s="3561"/>
      <c r="N50" s="3561"/>
      <c r="O50" s="3561"/>
    </row>
    <row r="51" spans="1:35" ht="20.45" customHeight="1">
      <c r="A51" s="2553"/>
      <c r="B51" s="3610" t="s">
        <v>1346</v>
      </c>
      <c r="C51" s="3610"/>
      <c r="D51" s="1087"/>
      <c r="E51" s="327"/>
      <c r="F51" s="2424"/>
      <c r="G51" s="3595"/>
      <c r="H51" s="2312" t="s">
        <v>2136</v>
      </c>
      <c r="I51" s="2311"/>
      <c r="J51" s="2524" t="s">
        <v>1347</v>
      </c>
      <c r="K51" s="3562" t="s">
        <v>1348</v>
      </c>
      <c r="L51" s="3562"/>
      <c r="M51" s="2524" t="s">
        <v>1349</v>
      </c>
      <c r="N51" s="2524" t="s">
        <v>1350</v>
      </c>
      <c r="O51" s="2524" t="s">
        <v>1351</v>
      </c>
    </row>
    <row r="52" spans="1:35" ht="24" customHeight="1">
      <c r="A52" s="2335" t="s">
        <v>1352</v>
      </c>
      <c r="B52" s="3610" t="s">
        <v>1353</v>
      </c>
      <c r="C52" s="3610"/>
      <c r="D52" s="1087">
        <f ca="1">ROUND(D45*'数据-取费表'!B41/(1+'数据-取费表'!C42),0)</f>
        <v>184</v>
      </c>
      <c r="E52" s="2334" t="s">
        <v>1354</v>
      </c>
      <c r="F52" s="2554">
        <f>'数据-取费表'!B41</f>
        <v>5.6000000000000001E-2</v>
      </c>
      <c r="G52" s="2555"/>
      <c r="H52" s="2544"/>
      <c r="I52" s="1807"/>
      <c r="J52" s="2523">
        <v>1</v>
      </c>
      <c r="K52" s="3587" t="s">
        <v>1355</v>
      </c>
      <c r="L52" s="3587"/>
      <c r="M52" s="2525" t="b">
        <f>D48</f>
        <v>0</v>
      </c>
      <c r="N52" s="2523" t="str">
        <f>E48</f>
        <v>销售额×税（费）率</v>
      </c>
      <c r="O52" s="2526">
        <f>F48</f>
        <v>5.6000000000000001E-2</v>
      </c>
    </row>
    <row r="53" spans="1:35" ht="12" customHeight="1">
      <c r="A53" s="2335" t="s">
        <v>1356</v>
      </c>
      <c r="B53" s="3611" t="s">
        <v>2291</v>
      </c>
      <c r="C53" s="3612"/>
      <c r="D53" s="1087">
        <f ca="1">ROUND(D45*'数据-取费表'!B41/(1+'数据-取费表'!C42),0)</f>
        <v>184</v>
      </c>
      <c r="E53" s="2334" t="s">
        <v>1354</v>
      </c>
      <c r="F53" s="2554">
        <f>'数据-取费表'!B41</f>
        <v>5.6000000000000001E-2</v>
      </c>
      <c r="G53" s="2555"/>
      <c r="H53" s="2544"/>
      <c r="I53" s="1807"/>
      <c r="J53" s="2523">
        <v>2</v>
      </c>
      <c r="K53" s="3587" t="s">
        <v>1357</v>
      </c>
      <c r="L53" s="3587"/>
      <c r="M53" s="2525">
        <f t="shared" ref="M53:O54" ca="1" si="0">D55</f>
        <v>2</v>
      </c>
      <c r="N53" s="2523" t="str">
        <f t="shared" si="0"/>
        <v>销售额×税（费）率</v>
      </c>
      <c r="O53" s="2526" t="str">
        <f t="shared" si="0"/>
        <v>免征</v>
      </c>
    </row>
    <row r="54" spans="1:35" ht="12" customHeight="1">
      <c r="A54" s="2335" t="s">
        <v>1358</v>
      </c>
      <c r="B54" s="3611" t="s">
        <v>2292</v>
      </c>
      <c r="C54" s="3612"/>
      <c r="D54" s="1087">
        <f ca="1">C68</f>
        <v>184</v>
      </c>
      <c r="E54" s="327" t="s">
        <v>1359</v>
      </c>
      <c r="F54" s="2554">
        <f>'数据-取费表'!B41</f>
        <v>5.6000000000000001E-2</v>
      </c>
      <c r="G54" s="2555"/>
      <c r="H54" s="2556"/>
      <c r="I54" s="1807"/>
      <c r="J54" s="2523">
        <v>3</v>
      </c>
      <c r="K54" s="3587" t="s">
        <v>1360</v>
      </c>
      <c r="L54" s="3587"/>
      <c r="M54" s="2525">
        <f t="shared" ca="1" si="0"/>
        <v>1951</v>
      </c>
      <c r="N54" s="2523" t="str">
        <f t="shared" si="0"/>
        <v>增值额×税（费）率</v>
      </c>
      <c r="O54" s="2527" t="str">
        <f t="shared" si="0"/>
        <v>免征</v>
      </c>
    </row>
    <row r="55" spans="1:35" ht="24" customHeight="1">
      <c r="A55" s="3648" t="s">
        <v>1361</v>
      </c>
      <c r="B55" s="3625"/>
      <c r="C55" s="3625"/>
      <c r="D55" s="2324">
        <f ca="1">IF(H55="个人住宅",0,ROUND(D45*I55,0))</f>
        <v>2</v>
      </c>
      <c r="E55" s="2334" t="s">
        <v>1362</v>
      </c>
      <c r="F55" s="2554" t="str">
        <f>IF(H55="正常",I55,"免征")</f>
        <v>免征</v>
      </c>
      <c r="G55" s="2555"/>
      <c r="H55" s="2550"/>
      <c r="I55" s="165">
        <f>'数据-取费表'!B49</f>
        <v>5.0000000000000001E-4</v>
      </c>
      <c r="J55" s="2523">
        <f>IF(H59="非个人房产","",4)</f>
        <v>4</v>
      </c>
      <c r="K55" s="3587" t="str">
        <f>IF(H59="非个人房产","——","个人所得税")</f>
        <v>个人所得税</v>
      </c>
      <c r="L55" s="3587"/>
      <c r="M55" s="2528">
        <f ca="1">D59</f>
        <v>33</v>
      </c>
      <c r="N55" s="2040" t="str">
        <f>E59</f>
        <v>差额计税</v>
      </c>
      <c r="O55" s="2529">
        <f>F59</f>
        <v>0.01</v>
      </c>
    </row>
    <row r="56" spans="1:35" ht="24.75">
      <c r="A56" s="3648" t="s">
        <v>1363</v>
      </c>
      <c r="B56" s="3625"/>
      <c r="C56" s="3625"/>
      <c r="D56" s="2324">
        <f ca="1">IF(H56="个人住宅",D57,D58)</f>
        <v>1951</v>
      </c>
      <c r="E56" s="2334" t="s">
        <v>1364</v>
      </c>
      <c r="F56" s="2554" t="str">
        <f>IF(H56="正常",F58,"免征")</f>
        <v>免征</v>
      </c>
      <c r="G56" s="2557" t="s">
        <v>1365</v>
      </c>
      <c r="H56" s="2558"/>
      <c r="I56" s="1808"/>
      <c r="J56" s="2523" t="str">
        <f>IF(项目基本情况!K6="上海银行",IF(J55="",4,J55+1),"")</f>
        <v/>
      </c>
      <c r="K56" s="3568" t="str">
        <f>IF(项目基本情况!K6="上海银行","其他处置费用","")</f>
        <v/>
      </c>
      <c r="L56" s="3569"/>
      <c r="M56" s="2525" t="str">
        <f>IF(项目基本情况!K6="上海银行",M69,"")</f>
        <v/>
      </c>
      <c r="N56" s="3568" t="str">
        <f>IF(项目基本情况!K6="上海银行","包含处置中涉及的律师、诉讼、拍卖、评估等费用","")</f>
        <v/>
      </c>
      <c r="O56" s="3571"/>
    </row>
    <row r="57" spans="1:35" ht="12.75">
      <c r="A57" s="2335" t="s">
        <v>1341</v>
      </c>
      <c r="B57" s="3611" t="s">
        <v>1366</v>
      </c>
      <c r="C57" s="3612"/>
      <c r="D57" s="1590">
        <v>0</v>
      </c>
      <c r="E57" s="324" t="s">
        <v>1343</v>
      </c>
      <c r="F57" s="302"/>
      <c r="G57" s="2555"/>
      <c r="H57" s="2559"/>
      <c r="I57" s="1808"/>
      <c r="J57" s="3587">
        <f>IF(AND(J55="",J56=""),4,IF(项目基本情况!K6="上海银行",结果表!J56+1,结果表!J55+1))</f>
        <v>5</v>
      </c>
      <c r="K57" s="3587" t="s">
        <v>1367</v>
      </c>
      <c r="L57" s="2530" t="s">
        <v>1368</v>
      </c>
      <c r="M57" s="2531"/>
      <c r="N57" s="2532">
        <f ca="1">SUMIF(M52:M56,"&lt;9e307")</f>
        <v>1986</v>
      </c>
      <c r="O57" s="2533"/>
      <c r="P57" s="2690">
        <f ca="1">N57/M49</f>
        <v>0.57615317667536992</v>
      </c>
    </row>
    <row r="58" spans="1:35" ht="24.75">
      <c r="A58" s="2335" t="s">
        <v>1352</v>
      </c>
      <c r="B58" s="3611" t="s">
        <v>1369</v>
      </c>
      <c r="C58" s="3610"/>
      <c r="D58" s="2324">
        <f ca="1">IF(H58="转让取得",C81,C97)</f>
        <v>1951</v>
      </c>
      <c r="E58" s="2334" t="s">
        <v>1364</v>
      </c>
      <c r="F58" s="302" t="s">
        <v>28</v>
      </c>
      <c r="G58" s="2555"/>
      <c r="H58" s="2558"/>
      <c r="I58" s="1808"/>
      <c r="J58" s="3587"/>
      <c r="K58" s="3587"/>
      <c r="L58" s="2530" t="s">
        <v>1370</v>
      </c>
      <c r="M58" s="2534"/>
      <c r="N58" s="2535" t="str">
        <f ca="1">NUMBERSTRING(INT(N57*10000),2)&amp;"元整"</f>
        <v>壹仟玖佰捌拾陆万元整</v>
      </c>
      <c r="O58" s="2536"/>
    </row>
    <row r="59" spans="1:35" ht="24.75" thickBot="1">
      <c r="A59" s="3591" t="s">
        <v>1371</v>
      </c>
      <c r="B59" s="3592"/>
      <c r="C59" s="3592"/>
      <c r="D59" s="2560">
        <f ca="1">IF(H59="非个人房产","——",IF(H59="个人住宅（满五唯一有凭证）",0,IF(H59="个人其他（无凭证）",ROUND(D45*F59,0),ROUND(C67*F59,0))))</f>
        <v>33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9">
        <f>J57+1</f>
        <v>6</v>
      </c>
      <c r="K59" s="3587" t="s">
        <v>1372</v>
      </c>
      <c r="L59" s="2523" t="s">
        <v>1368</v>
      </c>
      <c r="M59" s="2537"/>
      <c r="N59" s="2538">
        <f ca="1">M49-N57</f>
        <v>1461</v>
      </c>
      <c r="O59" s="2539"/>
    </row>
    <row r="60" spans="1:35" ht="12" customHeight="1">
      <c r="A60" s="1809"/>
      <c r="B60" s="1747"/>
      <c r="C60" s="1747"/>
      <c r="D60" s="1747"/>
      <c r="E60" s="1578"/>
      <c r="F60" s="1808"/>
      <c r="G60" s="1808"/>
      <c r="H60" s="1810"/>
      <c r="I60" s="129"/>
      <c r="J60" s="3590"/>
      <c r="K60" s="3587"/>
      <c r="L60" s="2530" t="s">
        <v>1370</v>
      </c>
      <c r="M60" s="2534"/>
      <c r="N60" s="2535" t="str">
        <f ca="1">NUMBERSTRING(INT(N59*10000),2)&amp;"元整"</f>
        <v>壹仟肆佰陆拾壹万元整</v>
      </c>
      <c r="O60" s="2536"/>
    </row>
    <row r="61" spans="1:35" ht="13.5" thickBot="1">
      <c r="A61" s="3647" t="s">
        <v>1373</v>
      </c>
      <c r="B61" s="3647"/>
      <c r="C61" s="3647"/>
      <c r="D61" s="3647"/>
      <c r="E61" s="3647"/>
      <c r="F61" s="1808"/>
      <c r="G61" s="1808"/>
      <c r="H61" s="1810"/>
      <c r="I61" s="129"/>
      <c r="J61" s="2523">
        <f>J59+1</f>
        <v>7</v>
      </c>
      <c r="K61" s="3587" t="s">
        <v>1374</v>
      </c>
      <c r="L61" s="3587"/>
      <c r="M61" s="2540"/>
      <c r="N61" s="2541">
        <f ca="1">ROUND(N59*10000/'数据-汇总表'!E3,0)</f>
        <v>14458</v>
      </c>
      <c r="O61" s="2542"/>
    </row>
    <row r="62" spans="1:35" ht="12.75">
      <c r="A62" s="3606" t="s">
        <v>1375</v>
      </c>
      <c r="B62" s="3607"/>
      <c r="C62" s="2021"/>
      <c r="D62" s="2021" t="s">
        <v>1376</v>
      </c>
      <c r="E62" s="166" t="s">
        <v>1377</v>
      </c>
      <c r="F62" s="1808"/>
      <c r="G62" s="1808"/>
      <c r="H62" s="1810"/>
      <c r="I62" s="129"/>
    </row>
    <row r="63" spans="1:35" ht="12.75">
      <c r="A63" s="173" t="s">
        <v>330</v>
      </c>
      <c r="B63" s="167" t="s">
        <v>1378</v>
      </c>
      <c r="C63" s="2564">
        <f ca="1">ROUND((C64+C65)/(1+'数据-取费表'!C42),0)</f>
        <v>3283</v>
      </c>
      <c r="D63" s="167"/>
      <c r="E63" s="168"/>
      <c r="F63" s="1808"/>
      <c r="G63" s="1808"/>
      <c r="H63" s="1810"/>
      <c r="I63" s="129"/>
      <c r="J63" s="3570" t="s">
        <v>1379</v>
      </c>
      <c r="K63" s="1332" t="s">
        <v>1380</v>
      </c>
      <c r="L63" s="1332">
        <f ca="1">IF(M49&gt;10000,M49*0.5%,IF(AND(M49&gt;1000,M49&lt;=10000),M49*1%,IF(AND(M49&gt;100,M49&lt;=1000),M49*3%,IF(AND(M49&gt;10,M49&lt;=100),M49*5%,M49*8%))))</f>
        <v>34.47</v>
      </c>
      <c r="M63" s="302">
        <f ca="1">ROUND(L63,1)</f>
        <v>34.5</v>
      </c>
      <c r="N63" s="2543"/>
      <c r="Z63" s="1752"/>
      <c r="AI63" s="1753"/>
    </row>
    <row r="64" spans="1:35" ht="14.25" customHeight="1">
      <c r="A64" s="169" t="s">
        <v>325</v>
      </c>
      <c r="B64" s="170" t="s">
        <v>1381</v>
      </c>
      <c r="C64" s="2565">
        <f ca="1">D45</f>
        <v>3447</v>
      </c>
      <c r="D64" s="170" t="s">
        <v>26</v>
      </c>
      <c r="E64" s="172"/>
      <c r="F64" s="1808"/>
      <c r="G64" s="1808"/>
      <c r="H64" s="1810"/>
      <c r="I64" s="129"/>
      <c r="J64" s="3570"/>
      <c r="K64" s="1332" t="s">
        <v>1382</v>
      </c>
      <c r="L64" s="1332">
        <f ca="1">IF(M49&gt;2000,M49*0.5%,IF(AND(M49&gt;1000,M49&lt;=2000),M49*0.6%,IF(AND(M49&gt;500,M49&lt;=1000),M49*0.7%,IF(AND(M49&gt;200,M49&lt;=500),M49*0.8%,IF(AND(M49&gt;100,M49&lt;=200),M49*0.9%,IF(AND(M49&gt;50,M49&lt;=100),M49*1%,IF(AND(M49&gt;20,M49&lt;=50),M49*1.5%,IF(AND(M49&gt;10,M49&lt;=20),M49*2%,IF(AND(M49&gt;1,M49&lt;=10),M49*2.5%)))))))))</f>
        <v>17.234999999999999</v>
      </c>
      <c r="M64" s="302">
        <f t="shared" ref="M64:M65" ca="1" si="1">ROUND(L64,1)</f>
        <v>17.2</v>
      </c>
      <c r="N64" s="2544" t="s">
        <v>1383</v>
      </c>
      <c r="Z64" s="1752"/>
      <c r="AI64" s="1753"/>
    </row>
    <row r="65" spans="1:35" ht="14.25" customHeight="1">
      <c r="A65" s="169" t="s">
        <v>326</v>
      </c>
      <c r="B65" s="170" t="s">
        <v>1384</v>
      </c>
      <c r="C65" s="2566"/>
      <c r="D65" s="170"/>
      <c r="E65" s="172"/>
      <c r="F65" s="1808"/>
      <c r="G65" s="1808"/>
      <c r="H65" s="1810"/>
      <c r="I65" s="129"/>
      <c r="J65" s="3570"/>
      <c r="K65" s="1332" t="s">
        <v>1385</v>
      </c>
      <c r="L65" s="1332">
        <f ca="1">IF(M49&gt;1000,M49*0.1%,IF(AND(M49&gt;500,M49&lt;=1000),M49*0.5%,IF(AND(M49&gt;50,M49&lt;=500),M49*1%,IF(AND(M49&gt;1,M49&lt;=50),M49*1.5%))))</f>
        <v>3.4470000000000001</v>
      </c>
      <c r="M65" s="302">
        <f t="shared" ca="1" si="1"/>
        <v>3.4</v>
      </c>
      <c r="N65" s="2544" t="s">
        <v>1383</v>
      </c>
      <c r="Z65" s="1752"/>
      <c r="AI65" s="1753"/>
    </row>
    <row r="66" spans="1:35" ht="14.25" customHeight="1">
      <c r="A66" s="173" t="s">
        <v>327</v>
      </c>
      <c r="B66" s="174" t="s">
        <v>1386</v>
      </c>
      <c r="C66" s="2567"/>
      <c r="D66" s="174" t="s">
        <v>26</v>
      </c>
      <c r="E66" s="1338" t="s">
        <v>671</v>
      </c>
      <c r="F66" s="1808"/>
      <c r="G66" s="1808"/>
      <c r="H66" s="1810"/>
      <c r="I66" s="129"/>
      <c r="J66" s="3570"/>
      <c r="K66" s="1332" t="s">
        <v>1387</v>
      </c>
      <c r="L66" s="1332">
        <f ca="1">M49*0.5%</f>
        <v>17.234999999999999</v>
      </c>
      <c r="M66" s="302">
        <f ca="1">IF(L66&gt;0.5,0.5,ROUND(L66,0))</f>
        <v>0.5</v>
      </c>
      <c r="N66" s="2544" t="s">
        <v>1388</v>
      </c>
      <c r="Z66" s="1752"/>
      <c r="AI66" s="1753"/>
    </row>
    <row r="67" spans="1:35" ht="14.25" customHeight="1">
      <c r="A67" s="173" t="s">
        <v>328</v>
      </c>
      <c r="B67" s="174" t="s">
        <v>1389</v>
      </c>
      <c r="C67" s="2568">
        <f ca="1">C63-C66</f>
        <v>3283</v>
      </c>
      <c r="D67" s="170" t="s">
        <v>26</v>
      </c>
      <c r="E67" s="172"/>
      <c r="F67" s="1808"/>
      <c r="G67" s="1808"/>
      <c r="H67" s="1810"/>
      <c r="I67" s="129"/>
      <c r="J67" s="3570"/>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184</v>
      </c>
      <c r="D68" s="2570">
        <f>'数据-取费表'!B41</f>
        <v>5.6000000000000001E-2</v>
      </c>
      <c r="E68" s="178"/>
      <c r="F68" s="1808"/>
      <c r="G68" s="1808"/>
      <c r="H68" s="1810"/>
      <c r="I68" s="129"/>
      <c r="J68" s="3570"/>
      <c r="K68" s="1332" t="s">
        <v>1392</v>
      </c>
      <c r="L68" s="1332">
        <f ca="1">IF(M49&gt;10000,M49*0.5%,IF(AND(M49&gt;5000,M49&lt;=10000),M49*1%,IF(AND(M49&gt;1000,M49&lt;=5000),M49*2%,IF(AND(M49&gt;200,M49&lt;=1000),M49*3%,M49*5%))))</f>
        <v>68.94</v>
      </c>
      <c r="M68" s="302">
        <f ca="1">ROUND(L68,1)</f>
        <v>68.900000000000006</v>
      </c>
      <c r="N68" s="2543"/>
      <c r="Z68" s="1752"/>
      <c r="AI68" s="1753"/>
    </row>
    <row r="69" spans="1:35" s="1772" customFormat="1" ht="16.5" customHeight="1">
      <c r="A69" s="1811"/>
      <c r="B69" s="1812"/>
      <c r="C69" s="1813"/>
      <c r="D69" s="1814"/>
      <c r="E69" s="1815"/>
      <c r="F69" s="1578"/>
      <c r="G69" s="1578"/>
      <c r="H69" s="1577"/>
      <c r="I69" s="1747"/>
      <c r="J69" s="3570"/>
      <c r="K69" s="1332" t="s">
        <v>1393</v>
      </c>
      <c r="L69" s="1332"/>
      <c r="M69" s="302">
        <f ca="1">ROUND(SUM(M63:M68),0)</f>
        <v>127</v>
      </c>
      <c r="N69" s="2545">
        <f ca="1">M69/M49</f>
        <v>3.6843632143893239E-2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4" t="s">
        <v>1394</v>
      </c>
      <c r="B70" s="3615"/>
      <c r="C70" s="3615"/>
      <c r="D70" s="3615"/>
      <c r="E70" s="3615"/>
      <c r="F70" s="3615"/>
      <c r="G70" s="3615"/>
      <c r="H70" s="361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6" t="s">
        <v>1375</v>
      </c>
      <c r="B71" s="360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3283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1" t="s">
        <v>1402</v>
      </c>
      <c r="F76" s="3610"/>
      <c r="G76" s="3610"/>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20</v>
      </c>
      <c r="D78" s="2577">
        <f>'数据-取费表'!B43</f>
        <v>6.000000000000001E-3</v>
      </c>
      <c r="E78" s="3603" t="s">
        <v>1406</v>
      </c>
      <c r="F78" s="3604"/>
      <c r="G78" s="3604"/>
      <c r="H78" s="360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3263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163.15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1951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4" t="s">
        <v>1410</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6" t="s">
        <v>1375</v>
      </c>
      <c r="B84" s="360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3283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2" t="s">
        <v>2129</v>
      </c>
      <c r="H90" s="357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3" t="s">
        <v>1419</v>
      </c>
      <c r="F91" s="3604"/>
      <c r="G91" s="360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3" t="s">
        <v>1422</v>
      </c>
      <c r="F92" s="3604"/>
      <c r="G92" s="3604"/>
      <c r="H92" s="360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20</v>
      </c>
      <c r="D93" s="2577">
        <f>'数据-取费表'!B43</f>
        <v>6.000000000000001E-3</v>
      </c>
      <c r="E93" s="3603" t="s">
        <v>1406</v>
      </c>
      <c r="F93" s="3604"/>
      <c r="G93" s="3604"/>
      <c r="H93" s="360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2" t="s">
        <v>1426</v>
      </c>
      <c r="F94" s="3653"/>
      <c r="G94" s="3653"/>
      <c r="H94" s="365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3263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163.15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1951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3" t="s">
        <v>1428</v>
      </c>
      <c r="B100" s="3554"/>
      <c r="C100" s="3554"/>
      <c r="D100" s="3588"/>
      <c r="E100" s="3554" t="s">
        <v>1429</v>
      </c>
      <c r="F100" s="3554"/>
      <c r="G100" s="3554"/>
      <c r="H100" s="3588"/>
      <c r="I100" s="129"/>
    </row>
    <row r="101" spans="1:35" ht="18.75" customHeight="1">
      <c r="A101" s="3596" t="s">
        <v>1430</v>
      </c>
      <c r="B101" s="3597"/>
      <c r="C101" s="2585" t="str">
        <f>C4</f>
        <v>比较法-办公</v>
      </c>
      <c r="D101" s="2586" t="str">
        <f>D4</f>
        <v>收益法 (元)</v>
      </c>
      <c r="E101" s="3566" t="s">
        <v>1431</v>
      </c>
      <c r="F101" s="3567"/>
      <c r="G101" s="1827" t="s">
        <v>1432</v>
      </c>
      <c r="H101" s="2595">
        <f ca="1">H118</f>
        <v>3447</v>
      </c>
      <c r="I101" s="129"/>
    </row>
    <row r="102" spans="1:35" ht="18.75" customHeight="1">
      <c r="A102" s="3598" t="s">
        <v>1433</v>
      </c>
      <c r="B102" s="2584" t="s">
        <v>1432</v>
      </c>
      <c r="C102" s="2585">
        <f ca="1">IF(D32="楼面单价",ROUND(C19,0),C19)</f>
        <v>4036</v>
      </c>
      <c r="D102" s="2586">
        <f ca="1">IF(D32="楼面单价",ROUND(D19,0),D19)</f>
        <v>2073</v>
      </c>
      <c r="E102" s="3566"/>
      <c r="F102" s="3567"/>
      <c r="G102" s="1827" t="s">
        <v>1434</v>
      </c>
      <c r="H102" s="2555">
        <f ca="1">I118</f>
        <v>34113</v>
      </c>
      <c r="I102" s="129"/>
    </row>
    <row r="103" spans="1:35" ht="42.75" customHeight="1">
      <c r="A103" s="3598"/>
      <c r="B103" s="2584" t="s">
        <v>1434</v>
      </c>
      <c r="C103" s="2587">
        <f ca="1">C20</f>
        <v>39942</v>
      </c>
      <c r="D103" s="2588">
        <f ca="1">D20</f>
        <v>20512</v>
      </c>
      <c r="E103" s="3559" t="s">
        <v>1435</v>
      </c>
      <c r="F103" s="3560"/>
      <c r="G103" s="1828" t="s">
        <v>1436</v>
      </c>
      <c r="H103" s="2595">
        <f>IF(D36="正常操作",H104+H105+H106,H105+H106)</f>
        <v>0</v>
      </c>
      <c r="I103" s="129"/>
    </row>
    <row r="104" spans="1:35" ht="18.75" customHeight="1">
      <c r="A104" s="3598" t="s">
        <v>1437</v>
      </c>
      <c r="B104" s="2589" t="s">
        <v>1432</v>
      </c>
      <c r="C104" s="2590">
        <f ca="1">H118</f>
        <v>3447</v>
      </c>
      <c r="D104" s="2591"/>
      <c r="E104" s="1674" t="s">
        <v>1438</v>
      </c>
      <c r="F104" s="1666"/>
      <c r="G104" s="1828" t="s">
        <v>1436</v>
      </c>
      <c r="H104" s="2596">
        <f>IF(D36="同一抵押权人同一抵押物续贷",C36&amp;"（续贷，未扣减，详见特别提示）",C36)</f>
        <v>0</v>
      </c>
      <c r="I104" s="129"/>
    </row>
    <row r="105" spans="1:35" ht="18.75" customHeight="1" thickBot="1">
      <c r="A105" s="3608"/>
      <c r="B105" s="2592" t="s">
        <v>1434</v>
      </c>
      <c r="C105" s="2593">
        <f ca="1">I118</f>
        <v>34113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9" t="str">
        <f>IF(项目基本情况!E8="已注销","——","3.房地产抵押价值")</f>
        <v>3.房地产抵押价值</v>
      </c>
      <c r="F107" s="3567"/>
      <c r="G107" s="1827" t="s">
        <v>1432</v>
      </c>
      <c r="H107" s="2595">
        <f ca="1">IF(E107="——","——",H101-H103)</f>
        <v>3447</v>
      </c>
      <c r="I107" s="129"/>
    </row>
    <row r="108" spans="1:35" ht="18.75" customHeight="1">
      <c r="A108" s="129"/>
      <c r="B108" s="129"/>
      <c r="C108" s="129"/>
      <c r="D108" s="129"/>
      <c r="E108" s="3599"/>
      <c r="F108" s="3567"/>
      <c r="G108" s="1827" t="s">
        <v>1434</v>
      </c>
      <c r="H108" s="2555">
        <f ca="1">IF(H107=H101,H102,ROUND(H107*10000/'数据-汇总表'!E3,0))</f>
        <v>34113</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567"/>
      <c r="G109" s="1827" t="s">
        <v>1432</v>
      </c>
      <c r="H109" s="2598" t="str">
        <f>IF(E109="——","——",H101-H105-H106)</f>
        <v>——</v>
      </c>
      <c r="I109" s="129"/>
    </row>
    <row r="110" spans="1:35" ht="18.75" customHeight="1">
      <c r="A110" s="129"/>
      <c r="B110" s="129"/>
      <c r="C110" s="129"/>
      <c r="D110" s="129"/>
      <c r="E110" s="3599"/>
      <c r="F110" s="3567"/>
      <c r="G110" s="1827" t="s">
        <v>1434</v>
      </c>
      <c r="H110" s="2555" t="str">
        <f>IF(H109="——","——",ROUND(H109*10000/'数据-汇总表'!E3,0))</f>
        <v>——</v>
      </c>
      <c r="I110" s="129"/>
    </row>
    <row r="111" spans="1:35" ht="18.75" customHeight="1">
      <c r="A111" s="129"/>
      <c r="B111" s="129"/>
      <c r="C111" s="129"/>
      <c r="D111" s="129"/>
      <c r="E111" s="3600" t="str">
        <f>IF(项目基本情况!E9="抵押净值",IF(OR(项目基本情况!E8="已注销",项目基本情况!E8="房地产抵押价值"),"4.抵押净值","5.抵押净值"),"——")</f>
        <v>——</v>
      </c>
      <c r="F111" s="3586"/>
      <c r="G111" s="1827" t="s">
        <v>1432</v>
      </c>
      <c r="H111" s="2595" t="str">
        <f>IF(E111="——","——",N59)</f>
        <v>——</v>
      </c>
      <c r="I111" s="129"/>
    </row>
    <row r="112" spans="1:35" ht="18.75" customHeight="1" thickBot="1">
      <c r="A112" s="129"/>
      <c r="B112" s="129"/>
      <c r="C112" s="129"/>
      <c r="D112" s="129"/>
      <c r="E112" s="3601"/>
      <c r="F112" s="3602"/>
      <c r="G112" s="1830" t="s">
        <v>1434</v>
      </c>
      <c r="H112" s="2599" t="str">
        <f>IF(E111="——","——",N61)</f>
        <v>——</v>
      </c>
      <c r="I112" s="129"/>
    </row>
    <row r="113" spans="1:27" ht="18.75" customHeight="1">
      <c r="A113" s="129"/>
      <c r="B113" s="129"/>
      <c r="C113" s="129"/>
      <c r="D113" s="129"/>
      <c r="E113" s="3609" t="s">
        <v>1440</v>
      </c>
      <c r="F113" s="3609"/>
      <c r="G113" s="3609"/>
      <c r="H113" s="3609"/>
      <c r="I113" s="129"/>
    </row>
    <row r="114" spans="1:27" ht="3.75" customHeight="1">
      <c r="A114" s="1747"/>
      <c r="B114" s="1747"/>
      <c r="C114" s="1747"/>
      <c r="D114" s="1747"/>
      <c r="E114" s="1809"/>
      <c r="F114" s="1809"/>
      <c r="G114" s="1809"/>
      <c r="H114" s="1809"/>
      <c r="I114" s="1747"/>
    </row>
    <row r="115" spans="1:27" ht="18.75" customHeight="1">
      <c r="A115" s="3617" t="s">
        <v>1442</v>
      </c>
      <c r="B115" s="3618"/>
      <c r="C115" s="3618"/>
      <c r="D115" s="3618"/>
      <c r="E115" s="3618"/>
      <c r="F115" s="3618"/>
      <c r="G115" s="3618"/>
      <c r="H115" s="3618"/>
      <c r="I115" s="3619"/>
    </row>
    <row r="116" spans="1:27" ht="27" customHeight="1">
      <c r="A116" s="3574" t="s">
        <v>1443</v>
      </c>
      <c r="B116" s="3578" t="s">
        <v>1444</v>
      </c>
      <c r="C116" s="3578" t="s">
        <v>1445</v>
      </c>
      <c r="D116" s="3584" t="s">
        <v>1446</v>
      </c>
      <c r="E116" s="3585"/>
      <c r="F116" s="3616" t="s">
        <v>1447</v>
      </c>
      <c r="G116" s="3616"/>
      <c r="H116" s="3574" t="s">
        <v>1448</v>
      </c>
      <c r="I116" s="3574"/>
    </row>
    <row r="117" spans="1:27" ht="18.75" customHeight="1">
      <c r="A117" s="3574"/>
      <c r="B117" s="3579"/>
      <c r="C117" s="357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1010.54</v>
      </c>
      <c r="C118" s="2329">
        <f>M19</f>
        <v>0</v>
      </c>
      <c r="D118" s="2329">
        <f ca="1">ROUND(IF(D32="总价",C34,E118*B118/10000),0)</f>
        <v>2358</v>
      </c>
      <c r="E118" s="2329">
        <f ca="1">ROUND(IF(C33="自定义",IF(D32="楼面单价",C34,D118*10000/B118),I118-G118),0)</f>
        <v>23333</v>
      </c>
      <c r="F118" s="2329">
        <f ca="1">ROUND(IF(D32="总价",C35,G118*B118/10000),0)</f>
        <v>1089</v>
      </c>
      <c r="G118" s="2329">
        <f ca="1">ROUND(IF(D32="楼面单价",C35,F118*10000/B118),0)</f>
        <v>10780</v>
      </c>
      <c r="H118" s="2329">
        <f ca="1">ROUND(IF(D32="总价",C32,I118*B118/10000),0)</f>
        <v>3447</v>
      </c>
      <c r="I118" s="2329">
        <f ca="1">ROUND(IF(D32="楼面单价",C32,H118*10000/B118),0)</f>
        <v>34113</v>
      </c>
    </row>
    <row r="119" spans="1:27" ht="18.75" customHeight="1">
      <c r="A119" s="3574" t="s">
        <v>1452</v>
      </c>
      <c r="B119" s="3574"/>
      <c r="C119" s="3574"/>
      <c r="D119" s="3580" t="str">
        <f ca="1">NUMBERSTRING(INT(D118*10000),2)&amp;"元整"</f>
        <v>贰仟叁佰伍拾捌万元整</v>
      </c>
      <c r="E119" s="3581"/>
      <c r="F119" s="3580" t="str">
        <f ca="1">NUMBERSTRING(INT(F118*10000),2)&amp;"元整"</f>
        <v>壹仟零捌拾玖万元整</v>
      </c>
      <c r="G119" s="3581"/>
      <c r="H119" s="3580" t="str">
        <f ca="1">NUMBERSTRING(INT(H118*10000),2)&amp;"元整"</f>
        <v>叁仟肆佰肆拾柒万元整</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0" t="s">
        <v>1452</v>
      </c>
      <c r="B121" s="3582"/>
      <c r="C121" s="3581"/>
      <c r="D121" s="3580" t="str">
        <f>IF(D120=0,"零元整",NUMBERSTRING(INT(D120*10000),2)&amp;"元整")</f>
        <v>零元整</v>
      </c>
      <c r="E121" s="3582"/>
      <c r="F121" s="3582"/>
      <c r="G121" s="3582"/>
      <c r="H121" s="3582"/>
      <c r="I121" s="3581"/>
      <c r="AA121" s="725"/>
    </row>
    <row r="122" spans="1:27" ht="18.75" customHeight="1">
      <c r="A122" s="3586" t="str">
        <f>IF(项目基本情况!B9="房地产市场价值","",MID(E107,3,LEN(E107)-2))</f>
        <v>房地产抵押价值</v>
      </c>
      <c r="B122" s="3586"/>
      <c r="C122" s="3586"/>
      <c r="D122" s="3575">
        <f ca="1">H107</f>
        <v>3447</v>
      </c>
      <c r="E122" s="3576"/>
      <c r="F122" s="3576"/>
      <c r="G122" s="3576"/>
      <c r="H122" s="3576"/>
      <c r="I122" s="3577"/>
      <c r="AA122" s="725"/>
    </row>
    <row r="123" spans="1:27" ht="18.75" customHeight="1">
      <c r="A123" s="3574" t="s">
        <v>1452</v>
      </c>
      <c r="B123" s="3574"/>
      <c r="C123" s="3574"/>
      <c r="D123" s="3580" t="str">
        <f ca="1">NUMBERSTRING(INT(D122*10000),2)&amp;"元整"</f>
        <v>叁仟肆佰肆拾柒万元整</v>
      </c>
      <c r="E123" s="3582"/>
      <c r="F123" s="3582"/>
      <c r="G123" s="3582"/>
      <c r="H123" s="3582"/>
      <c r="I123" s="3581"/>
      <c r="AA123" s="725"/>
    </row>
    <row r="124" spans="1:27" ht="18.75" customHeight="1">
      <c r="A124" s="3586" t="str">
        <f>IF(项目基本情况!B9="房地产市场价值","",MID(E109,3,LEN(E109)-2))</f>
        <v/>
      </c>
      <c r="B124" s="3586"/>
      <c r="C124" s="3586"/>
      <c r="D124" s="3575" t="str">
        <f>H109</f>
        <v>——</v>
      </c>
      <c r="E124" s="3576"/>
      <c r="F124" s="3576"/>
      <c r="G124" s="3576"/>
      <c r="H124" s="3576"/>
      <c r="I124" s="3577"/>
      <c r="AA124" s="725"/>
    </row>
    <row r="125" spans="1:27" ht="18.75" customHeight="1">
      <c r="A125" s="3574" t="s">
        <v>1452</v>
      </c>
      <c r="B125" s="3574"/>
      <c r="C125" s="3574"/>
      <c r="D125" s="3580" t="e">
        <f>NUMBERSTRING(INT(D124*10000),2)&amp;"元整"</f>
        <v>#VALUE!</v>
      </c>
      <c r="E125" s="3582"/>
      <c r="F125" s="3582"/>
      <c r="G125" s="3582"/>
      <c r="H125" s="3582"/>
      <c r="I125" s="3581"/>
      <c r="AA125" s="725"/>
    </row>
    <row r="126" spans="1:27" ht="18.75" customHeight="1">
      <c r="A126" s="3586" t="str">
        <f>IF(项目基本情况!B9="房地产市场价值","",MID(E111,3,LEN(E111)-2))</f>
        <v/>
      </c>
      <c r="B126" s="3586"/>
      <c r="C126" s="3586"/>
      <c r="D126" s="3575" t="str">
        <f>H111</f>
        <v>——</v>
      </c>
      <c r="E126" s="3576"/>
      <c r="F126" s="3576"/>
      <c r="G126" s="3576"/>
      <c r="H126" s="3576"/>
      <c r="I126" s="3577"/>
      <c r="AA126" s="725"/>
    </row>
    <row r="127" spans="1:27" ht="18.75" customHeight="1">
      <c r="A127" s="3574" t="s">
        <v>1452</v>
      </c>
      <c r="B127" s="3574"/>
      <c r="C127" s="3574"/>
      <c r="D127" s="3580" t="e">
        <f>NUMBERSTRING(INT(D126*10000),2)&amp;"元整"</f>
        <v>#VALUE!</v>
      </c>
      <c r="E127" s="3582"/>
      <c r="F127" s="3582"/>
      <c r="G127" s="3582"/>
      <c r="H127" s="3582"/>
      <c r="I127" s="3581"/>
      <c r="AA127" s="725"/>
    </row>
    <row r="128" spans="1:27" ht="21.75" customHeight="1">
      <c r="A128" s="3583" t="s">
        <v>1453</v>
      </c>
      <c r="B128" s="3583"/>
      <c r="C128" s="3583"/>
      <c r="D128" s="3583"/>
      <c r="E128" s="3583"/>
      <c r="F128" s="3583"/>
      <c r="G128" s="3583"/>
      <c r="H128" s="3583"/>
      <c r="I128" s="358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290556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2875255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202108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202108</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20</v>
      </c>
      <c r="D10" s="845">
        <f ca="1">IF(B1="",'数据-汇总表'!E6,IF(INDIRECT("'数据-取费表'!c"&amp;$G$1)="住宅",INDIRECT("'数据-取费表'!s"&amp;$G$1),INDIRECT("'数据-取费表'!k"&amp;$G$1)+INDIRECT("'数据-取费表'!s"&amp;$G$1)))</f>
        <v>1010.54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20</v>
      </c>
      <c r="D19" s="849">
        <f ca="1">D9+D10</f>
        <v>1010.54</v>
      </c>
      <c r="E19" s="211">
        <f>'数据-取费表'!B31</f>
        <v>200</v>
      </c>
      <c r="F19" s="231"/>
      <c r="G19" s="1856"/>
    </row>
    <row r="20" spans="1:7" s="214" customFormat="1" ht="13.5" customHeight="1">
      <c r="A20" s="255" t="s">
        <v>1493</v>
      </c>
      <c r="B20" s="210" t="s">
        <v>1494</v>
      </c>
      <c r="C20" s="232">
        <f ca="1">ROUND((C5+C19)*F20,0)</f>
        <v>6064</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17377</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17123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252</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41638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41638</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289844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558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505</v>
      </c>
      <c r="D34" s="217"/>
      <c r="E34" s="220"/>
      <c r="F34" s="257">
        <f ca="1">IF('数据-取费表'!B24=0,1,IF(B1="",'数据-取费表'!N16,INDIRECT("'数据-取费表'!n"&amp;$G$1)))</f>
        <v>1</v>
      </c>
      <c r="G34" s="219" t="s">
        <v>1526</v>
      </c>
    </row>
    <row r="35" spans="1:7" ht="13.5" customHeight="1">
      <c r="A35" s="780" t="s">
        <v>351</v>
      </c>
      <c r="B35" s="215" t="s">
        <v>1527</v>
      </c>
      <c r="C35" s="220">
        <f ca="1">ROUND(C34*F35,0)</f>
        <v>25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20</v>
      </c>
      <c r="D37" s="217">
        <f ca="1">D19</f>
        <v>1010.54</v>
      </c>
      <c r="E37" s="249">
        <f>'数据-取费表'!B35</f>
        <v>200</v>
      </c>
      <c r="F37" s="259"/>
      <c r="G37" s="261" t="s">
        <v>1532</v>
      </c>
    </row>
    <row r="38" spans="1:7" ht="13.5" customHeight="1">
      <c r="A38" s="780" t="s">
        <v>354</v>
      </c>
      <c r="B38" s="215" t="s">
        <v>1533</v>
      </c>
      <c r="C38" s="220">
        <f ca="1">ROUND(C34*F38,0)</f>
        <v>8</v>
      </c>
      <c r="D38" s="220"/>
      <c r="E38" s="220"/>
      <c r="F38" s="259">
        <f>'数据-取费表'!B36</f>
        <v>1.4999999999999999E-2</v>
      </c>
      <c r="G38" s="219" t="s">
        <v>1528</v>
      </c>
    </row>
    <row r="39" spans="1:7" s="214" customFormat="1" ht="13.5" customHeight="1">
      <c r="A39" s="255" t="s">
        <v>1534</v>
      </c>
      <c r="B39" s="210" t="s">
        <v>1535</v>
      </c>
      <c r="C39" s="232">
        <f ca="1">ROUND(C33*F20,0)</f>
        <v>17</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23</v>
      </c>
      <c r="D42" s="238"/>
      <c r="E42" s="238"/>
      <c r="F42" s="239"/>
      <c r="G42" s="3657" t="s">
        <v>1544</v>
      </c>
    </row>
    <row r="43" spans="1:7" ht="13.5" customHeight="1">
      <c r="A43" s="780" t="s">
        <v>347</v>
      </c>
      <c r="B43" s="215" t="s">
        <v>1545</v>
      </c>
      <c r="C43" s="238">
        <f ca="1">ROUND(IF('数据-取费表'!B22&lt;=1,C39*F22*'数据-取费表'!B21/2,C39*(POWER((1+F22),'数据-取费表'!B21/2)-1)),0)</f>
        <v>1</v>
      </c>
      <c r="D43" s="238"/>
      <c r="E43" s="238"/>
      <c r="F43" s="239"/>
      <c r="G43" s="3658"/>
    </row>
    <row r="44" spans="1:7" ht="13.5" customHeight="1">
      <c r="A44" s="780" t="s">
        <v>348</v>
      </c>
      <c r="B44" s="215" t="s">
        <v>1546</v>
      </c>
      <c r="C44" s="238">
        <f ca="1">ROUND(IF('数据-取费表'!B22&lt;=1,C40*F22*'数据-取费表'!B21/2,C40*(POWER((1+F22),'数据-取费表'!B21/2)-1)),4)</f>
        <v>8.0000000000000004E-4</v>
      </c>
      <c r="D44" s="238"/>
      <c r="E44" s="238"/>
      <c r="F44" s="239"/>
      <c r="G44" s="3659"/>
    </row>
    <row r="45" spans="1:7" s="214" customFormat="1" ht="13.5" customHeight="1">
      <c r="A45" s="255" t="s">
        <v>1547</v>
      </c>
      <c r="B45" s="244" t="s">
        <v>1513</v>
      </c>
      <c r="C45" s="245">
        <f ca="1">C46</f>
        <v>115</v>
      </c>
      <c r="D45" s="235">
        <f ca="1">C47</f>
        <v>4.0000000000000001E-3</v>
      </c>
      <c r="E45" s="236" t="s">
        <v>1539</v>
      </c>
      <c r="F45" s="246">
        <f ca="1">F27</f>
        <v>0.2</v>
      </c>
      <c r="G45" s="247" t="s">
        <v>1548</v>
      </c>
    </row>
    <row r="46" spans="1:7" s="214" customFormat="1" ht="13.5" customHeight="1">
      <c r="A46" s="780" t="s">
        <v>346</v>
      </c>
      <c r="B46" s="248" t="s">
        <v>1549</v>
      </c>
      <c r="C46" s="249">
        <f ca="1">ROUND((C33+C39)*F27,0)</f>
        <v>115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774</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712</v>
      </c>
      <c r="D51" s="232"/>
      <c r="E51" s="232"/>
      <c r="F51" s="264"/>
      <c r="G51" s="234" t="s">
        <v>1560</v>
      </c>
    </row>
    <row r="52" spans="1:7" s="208" customFormat="1" ht="16.5" thickBot="1">
      <c r="A52" s="265" t="s">
        <v>1561</v>
      </c>
      <c r="B52" s="266"/>
      <c r="C52" s="267">
        <f ca="1">C31+C51</f>
        <v>290556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北京市房地产抵押价值预评估</v>
      </c>
      <c r="C37" s="3470"/>
      <c r="D37" s="3470"/>
      <c r="E37" s="3470"/>
      <c r="F37" s="3470"/>
      <c r="G37" s="3470"/>
      <c r="H37" s="3470"/>
      <c r="I37" s="34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53" sqref="D5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3385</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2255.1912000000002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22317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10758388.98</v>
      </c>
      <c r="D5" s="211" t="s">
        <v>1469</v>
      </c>
      <c r="E5" s="212" t="s">
        <v>1470</v>
      </c>
      <c r="F5" s="212" t="s">
        <v>1471</v>
      </c>
      <c r="G5" s="213"/>
    </row>
    <row r="6" spans="1:8" s="214" customFormat="1" ht="13.5" customHeight="1">
      <c r="A6" s="778" t="s">
        <v>1472</v>
      </c>
      <c r="B6" s="215" t="s">
        <v>1473</v>
      </c>
      <c r="C6" s="216">
        <f>基准地价修正!C33*基准地价修正!D33</f>
        <v>10243843.98</v>
      </c>
      <c r="D6" s="217"/>
      <c r="E6" s="218"/>
      <c r="F6" s="218"/>
      <c r="G6" s="219"/>
    </row>
    <row r="7" spans="1:8" s="214" customFormat="1" ht="13.5" customHeight="1">
      <c r="A7" s="778" t="s">
        <v>1474</v>
      </c>
      <c r="B7" s="215" t="s">
        <v>1475</v>
      </c>
      <c r="C7" s="220">
        <f>ROUND(C6*F7,0)</f>
        <v>312437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202108</v>
      </c>
      <c r="D8" s="222"/>
      <c r="E8" s="220"/>
      <c r="F8" s="221"/>
      <c r="G8" s="1856" t="s">
        <v>3400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202108</v>
      </c>
      <c r="D10" s="845">
        <f ca="1">IF(B1="",'数据-汇总表'!E6,IF(INDIRECT("'数据-取费表'!c"&amp;$G$1)="住宅",INDIRECT("'数据-取费表'!s"&amp;$G$1),INDIRECT("'数据-取费表'!k"&amp;$G$1)+INDIRECT("'数据-取费表'!s"&amp;$G$1)))</f>
        <v>1010.54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1010.54</v>
      </c>
      <c r="E19" s="211">
        <f>'数据-取费表'!B31</f>
        <v>200</v>
      </c>
      <c r="F19" s="231"/>
      <c r="G19" s="1856" t="s">
        <v>3401</v>
      </c>
    </row>
    <row r="20" spans="1:7" s="214" customFormat="1" ht="13.5" customHeight="1">
      <c r="A20" s="255" t="s">
        <v>1574</v>
      </c>
      <c r="B20" s="210" t="s">
        <v>1575</v>
      </c>
      <c r="C20" s="232">
        <f ca="1">ROUND((C5+C19)*F20,0)</f>
        <v>322752</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924869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911475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13394</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2216228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2216228</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15427094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5583234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5052700</v>
      </c>
      <c r="D34" s="217"/>
      <c r="E34" s="220"/>
      <c r="F34" s="257"/>
      <c r="G34" s="219"/>
    </row>
    <row r="35" spans="1:7" ht="13.5" customHeight="1">
      <c r="A35" s="780" t="s">
        <v>351</v>
      </c>
      <c r="B35" s="215" t="s">
        <v>1527</v>
      </c>
      <c r="C35" s="220">
        <f ca="1">ROUND(C34*F35,0)</f>
        <v>252635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202108</v>
      </c>
      <c r="D37" s="217">
        <f ca="1">D19</f>
        <v>1010.54</v>
      </c>
      <c r="E37" s="249">
        <f>'数据-取费表'!B35</f>
        <v>200</v>
      </c>
      <c r="F37" s="259"/>
      <c r="G37" s="261"/>
    </row>
    <row r="38" spans="1:7" ht="13.5" customHeight="1">
      <c r="A38" s="780" t="s">
        <v>354</v>
      </c>
      <c r="B38" s="215" t="s">
        <v>1533</v>
      </c>
      <c r="C38" s="220">
        <f ca="1">ROUND(C34*F38,0)</f>
        <v>75791</v>
      </c>
      <c r="D38" s="220"/>
      <c r="E38" s="220"/>
      <c r="F38" s="259">
        <f>'数据-取费表'!B36</f>
        <v>1.4999999999999999E-2</v>
      </c>
      <c r="G38" s="219" t="s">
        <v>1528</v>
      </c>
    </row>
    <row r="39" spans="1:7" s="214" customFormat="1" ht="13.5" customHeight="1">
      <c r="A39" s="255" t="s">
        <v>1534</v>
      </c>
      <c r="B39" s="210" t="s">
        <v>1535</v>
      </c>
      <c r="C39" s="232">
        <f ca="1">ROUND(C33*F20,0)</f>
        <v>167497</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238655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231704</v>
      </c>
      <c r="D42" s="238"/>
      <c r="E42" s="238"/>
      <c r="F42" s="239"/>
      <c r="G42" s="3657" t="s">
        <v>1591</v>
      </c>
    </row>
    <row r="43" spans="1:7" ht="13.5" customHeight="1">
      <c r="A43" s="780" t="s">
        <v>347</v>
      </c>
      <c r="B43" s="215" t="s">
        <v>1545</v>
      </c>
      <c r="C43" s="238">
        <f ca="1">ROUND(IF('数据-取费表'!B22&lt;=1,C39*F22*'数据-取费表'!B20/2,C39*(POWER((1+F22),'数据-取费表'!B20/2)-1)),0)</f>
        <v>6951</v>
      </c>
      <c r="D43" s="238"/>
      <c r="E43" s="238"/>
      <c r="F43" s="239"/>
      <c r="G43" s="3658"/>
    </row>
    <row r="44" spans="1:7" ht="13.5" customHeight="1">
      <c r="A44" s="780" t="s">
        <v>348</v>
      </c>
      <c r="B44" s="215" t="s">
        <v>1546</v>
      </c>
      <c r="C44" s="238">
        <f ca="1">ROUND(IF('数据-取费表'!B22&lt;=1,C40*F22*'数据-取费表'!B20/2,C40*(POWER((1+F22),'数据-取费表'!B20/2)-1)),4)</f>
        <v>8.0000000000000004E-4</v>
      </c>
      <c r="D44" s="238"/>
      <c r="E44" s="238"/>
      <c r="F44" s="239"/>
      <c r="G44" s="3659"/>
    </row>
    <row r="45" spans="1:7" s="214" customFormat="1" ht="13.5" customHeight="1">
      <c r="A45" s="255" t="s">
        <v>1547</v>
      </c>
      <c r="B45" s="244" t="s">
        <v>1513</v>
      </c>
      <c r="C45" s="245">
        <f ca="1">C46</f>
        <v>1150146</v>
      </c>
      <c r="D45" s="235">
        <f ca="1">C47</f>
        <v>4.0000000000000001E-3</v>
      </c>
      <c r="E45" s="236" t="s">
        <v>1539</v>
      </c>
      <c r="F45" s="246">
        <f ca="1">F27</f>
        <v>0.2</v>
      </c>
      <c r="G45" s="247" t="s">
        <v>1548</v>
      </c>
    </row>
    <row r="46" spans="1:7" s="214" customFormat="1" ht="13.5" customHeight="1">
      <c r="A46" s="780" t="s">
        <v>346</v>
      </c>
      <c r="B46" s="248" t="s">
        <v>1549</v>
      </c>
      <c r="C46" s="249">
        <f ca="1">ROUND((C33+C39)*F27,0)</f>
        <v>1150146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7744367</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7124818</v>
      </c>
      <c r="D51" s="232"/>
      <c r="E51" s="232"/>
      <c r="F51" s="264"/>
      <c r="G51" s="234" t="s">
        <v>1560</v>
      </c>
    </row>
    <row r="52" spans="1:7" s="208" customFormat="1" ht="16.5" thickBot="1">
      <c r="A52" s="265" t="s">
        <v>1561</v>
      </c>
      <c r="B52" s="266"/>
      <c r="C52" s="267">
        <f ca="1">C31+C51</f>
        <v>22551912</v>
      </c>
      <c r="D52" s="266"/>
      <c r="E52" s="266"/>
      <c r="F52" s="266"/>
      <c r="G52" s="268"/>
    </row>
    <row r="55" spans="1:7" ht="15">
      <c r="B55" s="270" t="s">
        <v>1562</v>
      </c>
      <c r="C55" s="271"/>
    </row>
    <row r="56" spans="1:7">
      <c r="B56" s="273" t="s">
        <v>802</v>
      </c>
      <c r="C56" s="275">
        <f ca="1">1-C57</f>
        <v>0.68399999999999994</v>
      </c>
    </row>
    <row r="57" spans="1:7">
      <c r="B57" s="273" t="s">
        <v>803</v>
      </c>
      <c r="C57" s="274">
        <f ca="1">ROUND(C51/C52,3)</f>
        <v>0.316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242741</v>
      </c>
      <c r="C2" s="276" t="s">
        <v>1595</v>
      </c>
      <c r="D2" s="276"/>
      <c r="E2" s="2806"/>
      <c r="F2" s="2806"/>
      <c r="G2" s="2806"/>
      <c r="H2" s="2806"/>
      <c r="I2" s="2806"/>
      <c r="J2" s="2806"/>
      <c r="K2" s="2806"/>
    </row>
    <row r="3" spans="1:33" ht="18" customHeight="1" thickBot="1">
      <c r="A3" s="203" t="s">
        <v>1464</v>
      </c>
      <c r="B3" s="204">
        <f ca="1">ROUND(B2*10000/IF(C1="",'数据-汇总表'!E3,INDIRECT("'数据-取费表'!K"&amp;$K$1)),0)</f>
        <v>2402092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1010.54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1010.54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-202088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20</v>
      </c>
      <c r="D20" s="846">
        <f ca="1">IF(C1="",'数据-汇总表'!E6,IF(INDIRECT("'数据-取费表'!c"&amp;$K$1)="住宅",INDIRECT("'数据-取费表'!s"&amp;$K$1),INDIRECT("'数据-取费表'!k"&amp;$K$1)+INDIRECT("'数据-取费表'!s"&amp;$K$1)))</f>
        <v>1010.54</v>
      </c>
      <c r="E20" s="21">
        <f>'数据-取费表'!B28</f>
        <v>200</v>
      </c>
      <c r="F20" s="804"/>
      <c r="G20" s="12"/>
      <c r="H20" s="809"/>
      <c r="I20" s="809"/>
      <c r="J20" s="809"/>
      <c r="K20" s="810"/>
    </row>
    <row r="21" spans="1:33" s="803" customFormat="1" ht="13.5" customHeight="1">
      <c r="A21" s="790" t="s">
        <v>357</v>
      </c>
      <c r="B21" s="813" t="s">
        <v>1628</v>
      </c>
      <c r="C21" s="814">
        <f ca="1">C16+C17+C18</f>
        <v>-202088</v>
      </c>
      <c r="D21" s="815"/>
      <c r="E21" s="281"/>
      <c r="F21" s="281"/>
      <c r="G21" s="131" t="s">
        <v>1629</v>
      </c>
      <c r="H21" s="807"/>
      <c r="I21" s="807"/>
      <c r="J21" s="807"/>
      <c r="K21" s="808"/>
    </row>
    <row r="22" spans="1:33" s="803" customFormat="1" ht="13.5" customHeight="1">
      <c r="A22" s="790" t="s">
        <v>1601</v>
      </c>
      <c r="B22" s="813" t="s">
        <v>1630</v>
      </c>
      <c r="C22" s="814">
        <f ca="1">ROUND(C21*F22,0)</f>
        <v>-6063</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-41630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-41630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242741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2" t="s">
        <v>694</v>
      </c>
      <c r="C6" s="1074">
        <f ca="1">ROUND(F6*F8*F7*(1-F9)/10000,0)</f>
        <v>0</v>
      </c>
      <c r="D6" s="155" t="s">
        <v>2109</v>
      </c>
      <c r="E6" s="302" t="s">
        <v>696</v>
      </c>
      <c r="F6" s="303">
        <f ca="1">INDIRECT("'数据-取费表'!u"&amp;$G$1)</f>
        <v>0</v>
      </c>
      <c r="G6" s="1384"/>
      <c r="H6" s="1069" t="s">
        <v>398</v>
      </c>
      <c r="I6" s="3662" t="s">
        <v>694</v>
      </c>
      <c r="J6" s="301">
        <f ca="1">ROUND(M6*M8*M7*(1-M9)/10000,0)</f>
        <v>0</v>
      </c>
      <c r="K6" s="155" t="s">
        <v>2108</v>
      </c>
      <c r="L6" s="302" t="s">
        <v>696</v>
      </c>
      <c r="M6" s="303">
        <f ca="1">INDIRECT("'数据-取费表'!z"&amp;$G$1)</f>
        <v>0</v>
      </c>
    </row>
    <row r="7" spans="1:37" ht="18" customHeight="1">
      <c r="A7" s="1073"/>
      <c r="B7" s="3663"/>
      <c r="C7" s="1075"/>
      <c r="D7" s="307"/>
      <c r="E7" s="1076" t="s">
        <v>697</v>
      </c>
      <c r="F7" s="303">
        <f ca="1">IF(INDIRECT("'数据-取费表'!ah"&amp;$G$1)="",INDIRECT("'数据-取费表'!k"&amp;$G$1),INDIRECT("'数据-取费表'!ah"&amp;$G$1))</f>
        <v>0</v>
      </c>
      <c r="G7" s="1384"/>
      <c r="H7" s="304"/>
      <c r="I7" s="3663"/>
      <c r="J7" s="306"/>
      <c r="K7" s="307"/>
      <c r="L7" s="302" t="s">
        <v>697</v>
      </c>
      <c r="M7" s="303">
        <f ca="1">F7</f>
        <v>0</v>
      </c>
    </row>
    <row r="8" spans="1:37" ht="18" customHeight="1">
      <c r="A8" s="304"/>
      <c r="B8" s="3663"/>
      <c r="C8" s="306"/>
      <c r="D8" s="307"/>
      <c r="E8" s="302" t="s">
        <v>698</v>
      </c>
      <c r="F8" s="303">
        <f ca="1">INDIRECT("'数据-取费表'!ai"&amp;$G$1)</f>
        <v>0</v>
      </c>
      <c r="G8" s="1384"/>
      <c r="H8" s="304"/>
      <c r="I8" s="3663"/>
      <c r="J8" s="306"/>
      <c r="K8" s="307"/>
      <c r="L8" s="302" t="s">
        <v>698</v>
      </c>
      <c r="M8" s="303">
        <f ca="1">INDIRECT("'数据-取费表'!ai"&amp;$G$1)</f>
        <v>0</v>
      </c>
    </row>
    <row r="9" spans="1:37" ht="18" customHeight="1">
      <c r="A9" s="304"/>
      <c r="B9" s="3664"/>
      <c r="C9" s="306"/>
      <c r="D9" s="307"/>
      <c r="E9" s="302" t="s">
        <v>699</v>
      </c>
      <c r="F9" s="312">
        <f ca="1">INDIRECT("'数据-取费表'!w"&amp;$G$1)</f>
        <v>0</v>
      </c>
      <c r="G9" s="1384"/>
      <c r="H9" s="304"/>
      <c r="I9" s="366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0" t="s">
        <v>837</v>
      </c>
      <c r="L53" s="366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40" zoomScale="90" zoomScaleNormal="70" zoomScaleSheetLayoutView="90" workbookViewId="0">
      <selection activeCell="B41" sqref="B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3385</v>
      </c>
      <c r="E1" s="3433" t="s">
        <v>3409</v>
      </c>
      <c r="F1" s="1879" t="s">
        <v>3410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4036.2988999999998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39942</v>
      </c>
      <c r="C3" s="354" t="s">
        <v>1768</v>
      </c>
      <c r="D3" s="353">
        <f>IF(D1="",'数据-汇总表'!E3,SUMIF('数据-汇总表'!$C19:$C33,D1,'数据-汇总表'!$E19:$E33))</f>
        <v>1010.54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70" t="s">
        <v>1771</v>
      </c>
      <c r="S4" s="3671"/>
      <c r="T4" s="3670" t="s">
        <v>1772</v>
      </c>
      <c r="U4" s="3671"/>
      <c r="V4" s="3699" t="s">
        <v>1773</v>
      </c>
      <c r="W4" s="3699"/>
      <c r="X4" s="1958"/>
      <c r="Y4" s="3670" t="s">
        <v>1775</v>
      </c>
      <c r="Z4" s="3671"/>
      <c r="AA4" s="3665" t="s">
        <v>1771</v>
      </c>
      <c r="AB4" s="3665" t="s">
        <v>1772</v>
      </c>
      <c r="AC4" s="3684" t="s">
        <v>1773</v>
      </c>
    </row>
    <row r="5" spans="1:29" ht="15">
      <c r="A5" s="358"/>
      <c r="B5" s="359"/>
      <c r="C5" s="3676" t="s">
        <v>1673</v>
      </c>
      <c r="D5" s="3677"/>
      <c r="E5" s="3674" t="s">
        <v>3413</v>
      </c>
      <c r="F5" s="3675"/>
      <c r="G5" s="3680" t="s">
        <v>3450</v>
      </c>
      <c r="H5" s="3677"/>
      <c r="I5" s="3680" t="s">
        <v>3452</v>
      </c>
      <c r="J5" s="3677"/>
      <c r="K5" s="559"/>
      <c r="L5" s="2715"/>
      <c r="M5" s="2716"/>
      <c r="N5" s="2716"/>
      <c r="O5" s="2716"/>
      <c r="P5" s="3693"/>
      <c r="Q5" s="3694"/>
      <c r="R5" s="3672"/>
      <c r="S5" s="3673"/>
      <c r="T5" s="3672"/>
      <c r="U5" s="3673"/>
      <c r="V5" s="3700"/>
      <c r="W5" s="3700"/>
      <c r="X5" s="1355"/>
      <c r="Y5" s="3672"/>
      <c r="Z5" s="3673"/>
      <c r="AA5" s="3666"/>
      <c r="AB5" s="3666"/>
      <c r="AC5" s="3685"/>
    </row>
    <row r="6" spans="1:29" ht="15.75" thickBot="1">
      <c r="A6" s="360"/>
      <c r="B6" s="361"/>
      <c r="C6" s="3678" t="s">
        <v>1677</v>
      </c>
      <c r="D6" s="3679"/>
      <c r="E6" s="3681" t="s">
        <v>1677</v>
      </c>
      <c r="F6" s="3682"/>
      <c r="G6" s="3678" t="s">
        <v>1677</v>
      </c>
      <c r="H6" s="3679"/>
      <c r="I6" s="3678" t="s">
        <v>1677</v>
      </c>
      <c r="J6" s="3679"/>
      <c r="K6" s="559" t="s">
        <v>1678</v>
      </c>
      <c r="L6" s="2715"/>
      <c r="M6" s="2716"/>
      <c r="N6" s="2716"/>
      <c r="O6" s="2716"/>
      <c r="P6" s="3695"/>
      <c r="Q6" s="3696"/>
      <c r="R6" s="3672"/>
      <c r="S6" s="3673"/>
      <c r="T6" s="3697"/>
      <c r="U6" s="3698"/>
      <c r="V6" s="3700"/>
      <c r="W6" s="3700"/>
      <c r="X6" s="1355"/>
      <c r="Y6" s="3697"/>
      <c r="Z6" s="3698"/>
      <c r="AA6" s="3667"/>
      <c r="AB6" s="3667"/>
      <c r="AC6" s="3686"/>
    </row>
    <row r="7" spans="1:29" s="108" customFormat="1" ht="15.75" thickBot="1">
      <c r="A7" s="362" t="s">
        <v>1679</v>
      </c>
      <c r="B7" s="363"/>
      <c r="C7" s="364">
        <f>'数据-取费表'!B2</f>
        <v>45000</v>
      </c>
      <c r="D7" s="365">
        <v>100</v>
      </c>
      <c r="E7" s="366">
        <f>C7</f>
        <v>45000</v>
      </c>
      <c r="F7" s="367">
        <f>SUMIF(59:59,YEAR(E7)&amp;"-"&amp;MONTH(E7),60:60)</f>
        <v>100</v>
      </c>
      <c r="G7" s="366">
        <f>C7</f>
        <v>45000</v>
      </c>
      <c r="H7" s="365">
        <f>SUMIF(59:59,YEAR(G7)&amp;"-"&amp;MONTH(G7),60:60)</f>
        <v>100</v>
      </c>
      <c r="I7" s="366">
        <v>44999</v>
      </c>
      <c r="J7" s="365">
        <f>SUMIF(59:59,YEAR(I7)&amp;"-"&amp;MONTH(I7),60:60)</f>
        <v>100</v>
      </c>
      <c r="K7" s="560"/>
      <c r="L7" s="2717"/>
      <c r="M7" s="2718"/>
      <c r="N7" s="2718"/>
      <c r="O7" s="2718"/>
      <c r="P7" s="3701" t="s">
        <v>1680</v>
      </c>
      <c r="Q7" s="3702"/>
      <c r="R7" s="701" t="s">
        <v>14</v>
      </c>
      <c r="S7" s="702">
        <f t="shared" ref="S7:S15" si="0">F7</f>
        <v>100</v>
      </c>
      <c r="T7" s="701" t="s">
        <v>14</v>
      </c>
      <c r="U7" s="702">
        <f t="shared" ref="U7:U15" si="1">H7</f>
        <v>100</v>
      </c>
      <c r="V7" s="701" t="s">
        <v>14</v>
      </c>
      <c r="W7" s="702">
        <f t="shared" ref="W7:W15" si="2">J7</f>
        <v>100</v>
      </c>
      <c r="X7" s="703"/>
      <c r="Y7" s="3668" t="s">
        <v>1680</v>
      </c>
      <c r="Z7" s="3669"/>
      <c r="AA7" s="704">
        <f>D7/F7</f>
        <v>1</v>
      </c>
      <c r="AB7" s="704">
        <f>D7/H7</f>
        <v>1</v>
      </c>
      <c r="AC7" s="1959">
        <f>D7/J7</f>
        <v>1</v>
      </c>
    </row>
    <row r="8" spans="1:29" s="108" customFormat="1" ht="15.75" thickBot="1">
      <c r="A8" s="362" t="s">
        <v>1681</v>
      </c>
      <c r="B8" s="363"/>
      <c r="C8" s="368" t="s">
        <v>3411</v>
      </c>
      <c r="D8" s="365">
        <v>100</v>
      </c>
      <c r="E8" s="368" t="s">
        <v>3435</v>
      </c>
      <c r="F8" s="367">
        <f>SUMIF(62:62,E8,63:63)-SUMIF(62:62,C8,63:63)+100</f>
        <v>102</v>
      </c>
      <c r="G8" s="368" t="s">
        <v>3435</v>
      </c>
      <c r="H8" s="365">
        <f>SUMIF(62:62,G8,63:63)-SUMIF(62:62,C8,63:63)+100</f>
        <v>102</v>
      </c>
      <c r="I8" s="368" t="s">
        <v>3435</v>
      </c>
      <c r="J8" s="365">
        <f>SUMIF(62:62,I8,63:63)-SUMIF(62:62,C8,63:63)+100</f>
        <v>102</v>
      </c>
      <c r="K8" s="560"/>
      <c r="L8" s="2717"/>
      <c r="M8" s="2718"/>
      <c r="N8" s="2718"/>
      <c r="O8" s="2718"/>
      <c r="P8" s="3701" t="s">
        <v>1683</v>
      </c>
      <c r="Q8" s="3669"/>
      <c r="R8" s="701" t="s">
        <v>14</v>
      </c>
      <c r="S8" s="702">
        <f t="shared" si="0"/>
        <v>102</v>
      </c>
      <c r="T8" s="701" t="s">
        <v>14</v>
      </c>
      <c r="U8" s="702">
        <f t="shared" si="1"/>
        <v>102</v>
      </c>
      <c r="V8" s="701" t="s">
        <v>14</v>
      </c>
      <c r="W8" s="702">
        <f t="shared" si="2"/>
        <v>102</v>
      </c>
      <c r="X8" s="703"/>
      <c r="Y8" s="3668" t="s">
        <v>1683</v>
      </c>
      <c r="Z8" s="3669"/>
      <c r="AA8" s="704">
        <f t="shared" ref="AA8:AA47" si="3">D8/F8</f>
        <v>0.98039215686274506</v>
      </c>
      <c r="AB8" s="704">
        <f t="shared" ref="AB8:AB47" si="4">D8/H8</f>
        <v>0.98039215686274506</v>
      </c>
      <c r="AC8" s="1959">
        <f t="shared" ref="AC8:AC47" si="5">D8/J8</f>
        <v>0.98039215686274506</v>
      </c>
    </row>
    <row r="9" spans="1:29" s="108" customFormat="1" ht="15">
      <c r="A9" s="369" t="s">
        <v>1684</v>
      </c>
      <c r="B9" s="63" t="s">
        <v>1685</v>
      </c>
      <c r="C9" s="3461" t="s">
        <v>3433</v>
      </c>
      <c r="D9" s="126">
        <v>100</v>
      </c>
      <c r="E9" s="373" t="s">
        <v>21</v>
      </c>
      <c r="F9" s="126">
        <f>SUMIF(64:64,E9,65:65)-SUMIF(64:64,C9,65:65)+100</f>
        <v>105</v>
      </c>
      <c r="G9" s="373" t="s">
        <v>21</v>
      </c>
      <c r="H9" s="126">
        <f>SUMIF(64:64,G9,65:65)-SUMIF(64:64,C9,65:65)+100</f>
        <v>105</v>
      </c>
      <c r="I9" s="373" t="s">
        <v>21</v>
      </c>
      <c r="J9" s="126">
        <f>SUMIF(64:64,I9,65:65)-SUMIF(64:64,C9,65:65)+100</f>
        <v>105</v>
      </c>
      <c r="K9" s="560"/>
      <c r="L9" s="2717"/>
      <c r="M9" s="2718"/>
      <c r="N9" s="2718"/>
      <c r="O9" s="2718"/>
      <c r="P9" s="3683" t="s">
        <v>1686</v>
      </c>
      <c r="Q9" s="1343" t="str">
        <f t="shared" ref="Q9:Q15" si="6">B9</f>
        <v>用途</v>
      </c>
      <c r="R9" s="701" t="s">
        <v>14</v>
      </c>
      <c r="S9" s="702">
        <f t="shared" si="0"/>
        <v>105</v>
      </c>
      <c r="T9" s="701" t="s">
        <v>14</v>
      </c>
      <c r="U9" s="702">
        <f t="shared" si="1"/>
        <v>105</v>
      </c>
      <c r="V9" s="701" t="s">
        <v>14</v>
      </c>
      <c r="W9" s="702">
        <f t="shared" si="2"/>
        <v>105</v>
      </c>
      <c r="X9" s="703"/>
      <c r="Y9" s="3629" t="s">
        <v>1687</v>
      </c>
      <c r="Z9" s="52" t="str">
        <f t="shared" ref="Z9:Z15" si="7">Q9</f>
        <v>用途</v>
      </c>
      <c r="AA9" s="704">
        <f t="shared" si="3"/>
        <v>0.95238095238095233</v>
      </c>
      <c r="AB9" s="704">
        <f t="shared" si="4"/>
        <v>0.95238095238095233</v>
      </c>
      <c r="AC9" s="1959">
        <f t="shared" si="5"/>
        <v>0.95238095238095233</v>
      </c>
    </row>
    <row r="10" spans="1:29" s="378" customFormat="1" ht="27">
      <c r="A10" s="374"/>
      <c r="B10" s="375" t="s">
        <v>1688</v>
      </c>
      <c r="C10" s="3434" t="s">
        <v>3443</v>
      </c>
      <c r="D10" s="127">
        <v>100</v>
      </c>
      <c r="E10" s="3434" t="s">
        <v>3442</v>
      </c>
      <c r="F10" s="127">
        <f>SUMIF(66:66,E10,67:67)-SUMIF(66:66,C10,67:67)+100</f>
        <v>110</v>
      </c>
      <c r="G10" s="3434" t="s">
        <v>3442</v>
      </c>
      <c r="H10" s="127">
        <f>SUMIF(66:66,G10,67:67)-SUMIF(66:66,C10,67:67)+100</f>
        <v>110</v>
      </c>
      <c r="I10" s="3434" t="s">
        <v>3453</v>
      </c>
      <c r="J10" s="127">
        <f>SUMIF(66:66,I10,67:67)-SUMIF(66:66,C10,67:67)+100</f>
        <v>105</v>
      </c>
      <c r="K10" s="560"/>
      <c r="L10" s="2719"/>
      <c r="M10" s="2720"/>
      <c r="N10" s="2720"/>
      <c r="O10" s="2720"/>
      <c r="P10" s="3683"/>
      <c r="Q10" s="1343" t="str">
        <f t="shared" si="6"/>
        <v>土地使用年限（年）</v>
      </c>
      <c r="R10" s="701" t="s">
        <v>14</v>
      </c>
      <c r="S10" s="702">
        <f t="shared" si="0"/>
        <v>110</v>
      </c>
      <c r="T10" s="701" t="s">
        <v>14</v>
      </c>
      <c r="U10" s="702">
        <f t="shared" si="1"/>
        <v>110</v>
      </c>
      <c r="V10" s="701" t="s">
        <v>14</v>
      </c>
      <c r="W10" s="702">
        <f t="shared" si="2"/>
        <v>105</v>
      </c>
      <c r="X10" s="703"/>
      <c r="Y10" s="3629"/>
      <c r="Z10" s="52" t="str">
        <f t="shared" si="7"/>
        <v>土地使用年限（年）</v>
      </c>
      <c r="AA10" s="704">
        <f t="shared" si="3"/>
        <v>0.90909090909090906</v>
      </c>
      <c r="AB10" s="704">
        <f t="shared" si="4"/>
        <v>0.90909090909090906</v>
      </c>
      <c r="AC10" s="1959">
        <f t="shared" si="5"/>
        <v>0.95238095238095233</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3"/>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103</v>
      </c>
      <c r="G15" s="393"/>
      <c r="H15" s="392">
        <f>SUMIF(77:77,G16,78:78)-SUMIF(77:77,C16,78:78)+100</f>
        <v>103</v>
      </c>
      <c r="I15" s="393"/>
      <c r="J15" s="392">
        <f>SUMIF(77:77,I16,78:78)-SUMIF(77:77,C16,78:78)+100</f>
        <v>100</v>
      </c>
      <c r="K15" s="563">
        <v>3</v>
      </c>
      <c r="L15" s="2722"/>
      <c r="M15" s="2716"/>
      <c r="N15" s="2716"/>
      <c r="O15" s="2716"/>
      <c r="P15" s="3703" t="s">
        <v>1691</v>
      </c>
      <c r="Q15" s="1352" t="str">
        <f t="shared" si="6"/>
        <v>办公集聚程度</v>
      </c>
      <c r="R15" s="705" t="s">
        <v>14</v>
      </c>
      <c r="S15" s="706">
        <f t="shared" si="0"/>
        <v>103</v>
      </c>
      <c r="T15" s="705" t="s">
        <v>14</v>
      </c>
      <c r="U15" s="706">
        <f t="shared" si="1"/>
        <v>103</v>
      </c>
      <c r="V15" s="705" t="s">
        <v>14</v>
      </c>
      <c r="W15" s="706">
        <f t="shared" si="2"/>
        <v>100</v>
      </c>
      <c r="X15" s="1355"/>
      <c r="Y15" s="3705" t="s">
        <v>1691</v>
      </c>
      <c r="Z15" s="1356" t="str">
        <f t="shared" si="7"/>
        <v>办公集聚程度</v>
      </c>
      <c r="AA15" s="1353">
        <f t="shared" si="3"/>
        <v>0.970873786407767</v>
      </c>
      <c r="AB15" s="1353">
        <f t="shared" si="4"/>
        <v>0.970873786407767</v>
      </c>
      <c r="AC15" s="1962">
        <f t="shared" si="5"/>
        <v>1</v>
      </c>
    </row>
    <row r="16" spans="1:29" ht="15">
      <c r="A16" s="379"/>
      <c r="B16" s="578"/>
      <c r="C16" s="1904" t="s">
        <v>3398</v>
      </c>
      <c r="D16" s="399"/>
      <c r="E16" s="398" t="s">
        <v>3397</v>
      </c>
      <c r="F16" s="399"/>
      <c r="G16" s="1904" t="s">
        <v>3397</v>
      </c>
      <c r="H16" s="401"/>
      <c r="I16" s="398" t="s">
        <v>3398</v>
      </c>
      <c r="J16" s="399"/>
      <c r="K16" s="564"/>
      <c r="L16" s="2722"/>
      <c r="M16" s="2716"/>
      <c r="N16" s="2716"/>
      <c r="O16" s="2716"/>
      <c r="P16" s="3704"/>
      <c r="Q16" s="1352"/>
      <c r="R16" s="705"/>
      <c r="S16" s="706"/>
      <c r="T16" s="705"/>
      <c r="U16" s="706"/>
      <c r="V16" s="705"/>
      <c r="W16" s="706"/>
      <c r="X16" s="1355"/>
      <c r="Y16" s="370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04"/>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962">
        <f t="shared" si="5"/>
        <v>1</v>
      </c>
    </row>
    <row r="18" spans="1:29" ht="15">
      <c r="A18" s="379"/>
      <c r="B18" s="580"/>
      <c r="C18" s="1964" t="s">
        <v>3397</v>
      </c>
      <c r="D18" s="401"/>
      <c r="E18" s="1902" t="s">
        <v>3397</v>
      </c>
      <c r="F18" s="401"/>
      <c r="G18" s="1903" t="s">
        <v>3397</v>
      </c>
      <c r="H18" s="399"/>
      <c r="I18" s="1903" t="s">
        <v>3397</v>
      </c>
      <c r="J18" s="399"/>
      <c r="K18" s="564"/>
      <c r="L18" s="2722"/>
      <c r="M18" s="2716"/>
      <c r="N18" s="2716"/>
      <c r="O18" s="2716"/>
      <c r="P18" s="3704"/>
      <c r="Q18" s="1352"/>
      <c r="R18" s="705"/>
      <c r="S18" s="706"/>
      <c r="T18" s="705"/>
      <c r="U18" s="706"/>
      <c r="V18" s="705"/>
      <c r="W18" s="706"/>
      <c r="X18" s="1355"/>
      <c r="Y18" s="370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04"/>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962">
        <f t="shared" si="5"/>
        <v>1</v>
      </c>
    </row>
    <row r="20" spans="1:29" ht="15">
      <c r="A20" s="379"/>
      <c r="B20" s="580"/>
      <c r="C20" s="1904" t="s">
        <v>3397</v>
      </c>
      <c r="D20" s="399"/>
      <c r="E20" s="1904" t="s">
        <v>3397</v>
      </c>
      <c r="F20" s="399"/>
      <c r="G20" s="1904" t="s">
        <v>3397</v>
      </c>
      <c r="H20" s="399"/>
      <c r="I20" s="1898" t="s">
        <v>3397</v>
      </c>
      <c r="J20" s="399"/>
      <c r="K20" s="564"/>
      <c r="L20" s="2722"/>
      <c r="M20" s="2716"/>
      <c r="N20" s="2716"/>
      <c r="O20" s="2716"/>
      <c r="P20" s="3704"/>
      <c r="Q20" s="1352"/>
      <c r="R20" s="705"/>
      <c r="S20" s="706"/>
      <c r="T20" s="705"/>
      <c r="U20" s="706"/>
      <c r="V20" s="705"/>
      <c r="W20" s="706"/>
      <c r="X20" s="1355"/>
      <c r="Y20" s="370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04"/>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962">
        <f t="shared" ref="AC21" si="10">D21/J21</f>
        <v>1</v>
      </c>
    </row>
    <row r="22" spans="1:29" ht="15">
      <c r="A22" s="379"/>
      <c r="B22" s="581"/>
      <c r="C22" s="1964" t="s">
        <v>3429</v>
      </c>
      <c r="D22" s="399"/>
      <c r="E22" s="1964" t="s">
        <v>3429</v>
      </c>
      <c r="F22" s="399"/>
      <c r="G22" s="1964" t="s">
        <v>3429</v>
      </c>
      <c r="H22" s="399"/>
      <c r="I22" s="1964" t="s">
        <v>3429</v>
      </c>
      <c r="J22" s="399"/>
      <c r="K22" s="1130"/>
      <c r="L22" s="2722"/>
      <c r="M22" s="2716"/>
      <c r="N22" s="2716"/>
      <c r="O22" s="2716"/>
      <c r="P22" s="3704"/>
      <c r="Q22" s="1352"/>
      <c r="R22" s="705"/>
      <c r="S22" s="706"/>
      <c r="T22" s="705"/>
      <c r="U22" s="706"/>
      <c r="V22" s="705"/>
      <c r="W22" s="706"/>
      <c r="X22" s="1355"/>
      <c r="Y22" s="370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04"/>
      <c r="Q23" s="1352" t="str">
        <f>B23</f>
        <v>环境质量</v>
      </c>
      <c r="R23" s="705" t="s">
        <v>14</v>
      </c>
      <c r="S23" s="706">
        <f>F23</f>
        <v>100</v>
      </c>
      <c r="T23" s="705" t="s">
        <v>14</v>
      </c>
      <c r="U23" s="706">
        <f>H23</f>
        <v>100</v>
      </c>
      <c r="V23" s="705" t="s">
        <v>14</v>
      </c>
      <c r="W23" s="706">
        <f>J23</f>
        <v>100</v>
      </c>
      <c r="X23" s="1355"/>
      <c r="Y23" s="3706"/>
      <c r="Z23" s="1356" t="str">
        <f>Q23</f>
        <v>环境质量</v>
      </c>
      <c r="AA23" s="1353">
        <f t="shared" si="3"/>
        <v>1</v>
      </c>
      <c r="AB23" s="1353">
        <f t="shared" si="4"/>
        <v>1</v>
      </c>
      <c r="AC23" s="1962">
        <f t="shared" si="5"/>
        <v>1</v>
      </c>
    </row>
    <row r="24" spans="1:29" ht="15">
      <c r="A24" s="379"/>
      <c r="B24" s="581"/>
      <c r="C24" s="1904" t="s">
        <v>3397</v>
      </c>
      <c r="D24" s="399"/>
      <c r="E24" s="1904" t="s">
        <v>3397</v>
      </c>
      <c r="F24" s="399"/>
      <c r="G24" s="1904" t="s">
        <v>3397</v>
      </c>
      <c r="H24" s="399"/>
      <c r="I24" s="1904" t="s">
        <v>3397</v>
      </c>
      <c r="J24" s="399"/>
      <c r="K24" s="564"/>
      <c r="L24" s="2722"/>
      <c r="M24" s="2716"/>
      <c r="N24" s="2716"/>
      <c r="O24" s="2716"/>
      <c r="P24" s="3704"/>
      <c r="Q24" s="1352"/>
      <c r="R24" s="705"/>
      <c r="S24" s="706"/>
      <c r="T24" s="705"/>
      <c r="U24" s="706"/>
      <c r="V24" s="705"/>
      <c r="W24" s="706"/>
      <c r="X24" s="1355"/>
      <c r="Y24" s="370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4"/>
      <c r="Q25" s="1352" t="str">
        <f>B25</f>
        <v>毗邻道路的类型与等级</v>
      </c>
      <c r="R25" s="705" t="s">
        <v>14</v>
      </c>
      <c r="S25" s="706">
        <f>F25</f>
        <v>100</v>
      </c>
      <c r="T25" s="705" t="s">
        <v>14</v>
      </c>
      <c r="U25" s="706">
        <f>H25</f>
        <v>100</v>
      </c>
      <c r="V25" s="705" t="s">
        <v>14</v>
      </c>
      <c r="W25" s="706">
        <f>J25</f>
        <v>100</v>
      </c>
      <c r="X25" s="1355"/>
      <c r="Y25" s="370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4"/>
      <c r="Q26" s="1352"/>
      <c r="R26" s="705"/>
      <c r="S26" s="706"/>
      <c r="T26" s="705"/>
      <c r="U26" s="706"/>
      <c r="V26" s="705"/>
      <c r="W26" s="706"/>
      <c r="X26" s="1355"/>
      <c r="Y26" s="3706"/>
      <c r="Z26" s="1356"/>
      <c r="AA26" s="1353">
        <v>1</v>
      </c>
      <c r="AB26" s="1353">
        <v>1</v>
      </c>
      <c r="AC26" s="1962">
        <v>1</v>
      </c>
    </row>
    <row r="27" spans="1:29" ht="15">
      <c r="A27" s="379"/>
      <c r="B27" s="580" t="s">
        <v>1783</v>
      </c>
      <c r="C27" s="582" t="s">
        <v>3424</v>
      </c>
      <c r="D27" s="386">
        <v>100</v>
      </c>
      <c r="E27" s="565" t="s">
        <v>3427</v>
      </c>
      <c r="F27" s="386">
        <f>SUMIF(89:89,E27,90:90)-SUMIF(89:89,C27,90:90)+100</f>
        <v>90</v>
      </c>
      <c r="G27" s="582" t="s">
        <v>3424</v>
      </c>
      <c r="H27" s="386">
        <f>SUMIF(89:89,G27,90:90)-SUMIF(89:89,C27,90:90)+100</f>
        <v>100</v>
      </c>
      <c r="I27" s="565" t="s">
        <v>3424</v>
      </c>
      <c r="J27" s="386">
        <f>SUMIF(89:89,I27,90:90)-SUMIF(89:89,C27,90:90)+100</f>
        <v>100</v>
      </c>
      <c r="K27" s="561">
        <v>5</v>
      </c>
      <c r="L27" s="2722"/>
      <c r="M27" s="2716"/>
      <c r="N27" s="2716"/>
      <c r="O27" s="2716"/>
      <c r="P27" s="3704"/>
      <c r="Q27" s="1352" t="str">
        <f t="shared" ref="Q27:Q47" si="11">B27</f>
        <v>楼层</v>
      </c>
      <c r="R27" s="705" t="s">
        <v>14</v>
      </c>
      <c r="S27" s="706">
        <f>F27</f>
        <v>90</v>
      </c>
      <c r="T27" s="705" t="s">
        <v>14</v>
      </c>
      <c r="U27" s="706">
        <f>H27</f>
        <v>100</v>
      </c>
      <c r="V27" s="705" t="s">
        <v>14</v>
      </c>
      <c r="W27" s="706">
        <f>J27</f>
        <v>100</v>
      </c>
      <c r="X27" s="1355"/>
      <c r="Y27" s="3706"/>
      <c r="Z27" s="1356" t="str">
        <f>Q27</f>
        <v>楼层</v>
      </c>
      <c r="AA27" s="1353">
        <f t="shared" si="3"/>
        <v>1.1111111111111112</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4"/>
      <c r="Q28" s="1343" t="str">
        <f t="shared" si="11"/>
        <v>朝向</v>
      </c>
      <c r="R28" s="701" t="s">
        <v>14</v>
      </c>
      <c r="S28" s="702">
        <f>F28</f>
        <v>100</v>
      </c>
      <c r="T28" s="701" t="s">
        <v>14</v>
      </c>
      <c r="U28" s="702">
        <f>H28</f>
        <v>100</v>
      </c>
      <c r="V28" s="701" t="s">
        <v>14</v>
      </c>
      <c r="W28" s="702">
        <f>J28</f>
        <v>100</v>
      </c>
      <c r="X28" s="703"/>
      <c r="Y28" s="370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4"/>
      <c r="Q29" s="1352">
        <f t="shared" si="11"/>
        <v>111</v>
      </c>
      <c r="R29" s="705" t="s">
        <v>14</v>
      </c>
      <c r="S29" s="706">
        <f t="shared" ref="S29:S47" si="12">F29</f>
        <v>100</v>
      </c>
      <c r="T29" s="705" t="s">
        <v>14</v>
      </c>
      <c r="U29" s="706">
        <f t="shared" ref="U29:U47" si="13">H29</f>
        <v>100</v>
      </c>
      <c r="V29" s="705" t="s">
        <v>14</v>
      </c>
      <c r="W29" s="706">
        <f t="shared" ref="W29:W47" si="14">J29</f>
        <v>100</v>
      </c>
      <c r="X29" s="1355"/>
      <c r="Y29" s="370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4"/>
      <c r="Q30" s="1352">
        <f t="shared" si="11"/>
        <v>111</v>
      </c>
      <c r="R30" s="705" t="s">
        <v>14</v>
      </c>
      <c r="S30" s="706">
        <f t="shared" si="12"/>
        <v>100</v>
      </c>
      <c r="T30" s="705" t="s">
        <v>14</v>
      </c>
      <c r="U30" s="706">
        <f t="shared" si="13"/>
        <v>100</v>
      </c>
      <c r="V30" s="705" t="s">
        <v>14</v>
      </c>
      <c r="W30" s="706">
        <f t="shared" si="14"/>
        <v>100</v>
      </c>
      <c r="X30" s="1355"/>
      <c r="Y30" s="370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4"/>
      <c r="Q31" s="1352">
        <f t="shared" si="11"/>
        <v>111</v>
      </c>
      <c r="R31" s="705" t="s">
        <v>14</v>
      </c>
      <c r="S31" s="706">
        <f t="shared" si="12"/>
        <v>100</v>
      </c>
      <c r="T31" s="705" t="s">
        <v>14</v>
      </c>
      <c r="U31" s="706">
        <f t="shared" si="13"/>
        <v>100</v>
      </c>
      <c r="V31" s="705" t="s">
        <v>14</v>
      </c>
      <c r="W31" s="706">
        <f t="shared" si="14"/>
        <v>100</v>
      </c>
      <c r="X31" s="1355"/>
      <c r="Y31" s="370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4"/>
      <c r="Q32" s="1352">
        <f t="shared" si="11"/>
        <v>111</v>
      </c>
      <c r="R32" s="705" t="s">
        <v>14</v>
      </c>
      <c r="S32" s="706">
        <f t="shared" si="12"/>
        <v>100</v>
      </c>
      <c r="T32" s="705" t="s">
        <v>14</v>
      </c>
      <c r="U32" s="706">
        <f t="shared" si="13"/>
        <v>100</v>
      </c>
      <c r="V32" s="705" t="s">
        <v>14</v>
      </c>
      <c r="W32" s="706">
        <f t="shared" si="14"/>
        <v>100</v>
      </c>
      <c r="X32" s="1355"/>
      <c r="Y32" s="3706"/>
      <c r="Z32" s="1356">
        <f t="shared" si="15"/>
        <v>111</v>
      </c>
      <c r="AA32" s="1353">
        <f t="shared" si="3"/>
        <v>1</v>
      </c>
      <c r="AB32" s="1353">
        <f t="shared" si="4"/>
        <v>1</v>
      </c>
      <c r="AC32" s="1962">
        <f t="shared" si="5"/>
        <v>1</v>
      </c>
    </row>
    <row r="33" spans="1:29" ht="15">
      <c r="A33" s="391" t="s">
        <v>1694</v>
      </c>
      <c r="B33" s="63" t="s">
        <v>1817</v>
      </c>
      <c r="C33" s="1967" t="s">
        <v>3430</v>
      </c>
      <c r="D33" s="418">
        <v>100</v>
      </c>
      <c r="E33" s="1967" t="s">
        <v>3430</v>
      </c>
      <c r="F33" s="412">
        <f>SUMIF(101:101,E33,102:102)-SUMIF(101:101,C33,102:102)+100</f>
        <v>100</v>
      </c>
      <c r="G33" s="1967" t="s">
        <v>3430</v>
      </c>
      <c r="H33" s="386">
        <f>SUMIF(101:101,G33,102:102)-SUMIF(101:101,C33,102:102)+100</f>
        <v>100</v>
      </c>
      <c r="I33" s="1967" t="s">
        <v>3430</v>
      </c>
      <c r="J33" s="418">
        <f>SUMIF(101:101,I33,102:102)-SUMIF(101:101,C33,102:102)+100</f>
        <v>100</v>
      </c>
      <c r="K33" s="561">
        <v>2</v>
      </c>
      <c r="L33" s="2722"/>
      <c r="M33" s="2716"/>
      <c r="N33" s="2716"/>
      <c r="O33" s="2716"/>
      <c r="P33" s="3707" t="s">
        <v>1696</v>
      </c>
      <c r="Q33" s="1352" t="str">
        <f t="shared" si="11"/>
        <v>建筑类型</v>
      </c>
      <c r="R33" s="705" t="s">
        <v>14</v>
      </c>
      <c r="S33" s="706">
        <f t="shared" si="12"/>
        <v>100</v>
      </c>
      <c r="T33" s="705" t="s">
        <v>14</v>
      </c>
      <c r="U33" s="706">
        <f t="shared" si="13"/>
        <v>100</v>
      </c>
      <c r="V33" s="705" t="s">
        <v>14</v>
      </c>
      <c r="W33" s="706">
        <f t="shared" si="14"/>
        <v>100</v>
      </c>
      <c r="X33" s="1355"/>
      <c r="Y33" s="3710"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1010.54</v>
      </c>
      <c r="D34" s="127">
        <v>100</v>
      </c>
      <c r="E34" s="381">
        <v>114.54</v>
      </c>
      <c r="F34" s="376">
        <f>LOOKUP(E34,104:104,105:105)-LOOKUP(C34,104:104,105:105)+100</f>
        <v>100</v>
      </c>
      <c r="G34" s="380">
        <v>231.64</v>
      </c>
      <c r="H34" s="127">
        <f>LOOKUP(G34,104:104,105:105)-LOOKUP(C34,104:104,105:105)+100</f>
        <v>100</v>
      </c>
      <c r="I34" s="380">
        <v>749</v>
      </c>
      <c r="J34" s="127">
        <f>LOOKUP(I34,104:104,105:105)-LOOKUP(C34,104:104,105:105)+100</f>
        <v>100</v>
      </c>
      <c r="K34" s="562"/>
      <c r="L34" s="2721"/>
      <c r="M34" s="2723"/>
      <c r="N34" s="2723"/>
      <c r="O34" s="2723"/>
      <c r="P34" s="3708"/>
      <c r="Q34" s="707" t="str">
        <f t="shared" si="11"/>
        <v>项目建筑规模</v>
      </c>
      <c r="R34" s="708" t="s">
        <v>14</v>
      </c>
      <c r="S34" s="709">
        <f t="shared" si="12"/>
        <v>100</v>
      </c>
      <c r="T34" s="708" t="s">
        <v>14</v>
      </c>
      <c r="U34" s="709">
        <f t="shared" si="13"/>
        <v>100</v>
      </c>
      <c r="V34" s="708" t="s">
        <v>14</v>
      </c>
      <c r="W34" s="709">
        <f t="shared" si="14"/>
        <v>100</v>
      </c>
      <c r="X34" s="710"/>
      <c r="Y34" s="3710"/>
      <c r="Z34" s="711" t="str">
        <f t="shared" si="15"/>
        <v>项目建筑规模</v>
      </c>
      <c r="AA34" s="1353">
        <f t="shared" si="3"/>
        <v>1</v>
      </c>
      <c r="AB34" s="1353">
        <f t="shared" si="4"/>
        <v>1</v>
      </c>
      <c r="AC34" s="1962">
        <f t="shared" si="5"/>
        <v>1</v>
      </c>
    </row>
    <row r="35" spans="1:29" ht="15">
      <c r="A35" s="423"/>
      <c r="B35" s="375" t="s">
        <v>1698</v>
      </c>
      <c r="C35" s="411" t="s">
        <v>3403</v>
      </c>
      <c r="D35" s="386">
        <v>100</v>
      </c>
      <c r="E35" s="411" t="s">
        <v>3403</v>
      </c>
      <c r="F35" s="412">
        <f>SUMIF(106:106,E35,107:107)-SUMIF(106:106,C35,107:107)+100</f>
        <v>100</v>
      </c>
      <c r="G35" s="411" t="s">
        <v>3403</v>
      </c>
      <c r="H35" s="386">
        <f>SUMIF(106:106,G35,107:107)-SUMIF(106:106,C35,107:107)+100</f>
        <v>100</v>
      </c>
      <c r="I35" s="411" t="s">
        <v>3403</v>
      </c>
      <c r="J35" s="386">
        <f>SUMIF(106:106,I35,107:107)-SUMIF(106:106,C35,107:107)+100</f>
        <v>100</v>
      </c>
      <c r="K35" s="561">
        <v>2</v>
      </c>
      <c r="L35" s="2722"/>
      <c r="M35" s="2716"/>
      <c r="N35" s="2716"/>
      <c r="O35" s="2716"/>
      <c r="P35" s="3708"/>
      <c r="Q35" s="1352" t="str">
        <f t="shared" si="11"/>
        <v>建筑结构</v>
      </c>
      <c r="R35" s="705" t="s">
        <v>14</v>
      </c>
      <c r="S35" s="706">
        <f t="shared" si="12"/>
        <v>100</v>
      </c>
      <c r="T35" s="705" t="s">
        <v>14</v>
      </c>
      <c r="U35" s="706">
        <f t="shared" si="13"/>
        <v>100</v>
      </c>
      <c r="V35" s="705" t="s">
        <v>14</v>
      </c>
      <c r="W35" s="706">
        <f t="shared" si="14"/>
        <v>100</v>
      </c>
      <c r="X35" s="1355"/>
      <c r="Y35" s="3710"/>
      <c r="Z35" s="1356" t="str">
        <f t="shared" si="15"/>
        <v>建筑结构</v>
      </c>
      <c r="AA35" s="1353">
        <f t="shared" si="3"/>
        <v>1</v>
      </c>
      <c r="AB35" s="1353">
        <f t="shared" si="4"/>
        <v>1</v>
      </c>
      <c r="AC35" s="1962">
        <f t="shared" si="5"/>
        <v>1</v>
      </c>
    </row>
    <row r="36" spans="1:29" ht="15">
      <c r="A36" s="423"/>
      <c r="B36" s="375" t="s">
        <v>1785</v>
      </c>
      <c r="C36" s="411" t="s">
        <v>3415</v>
      </c>
      <c r="D36" s="386">
        <v>100</v>
      </c>
      <c r="E36" s="411" t="s">
        <v>3415</v>
      </c>
      <c r="F36" s="412">
        <f>SUMIF(108:108,E36,109:109)-SUMIF(108:108,C36,109:109)+100</f>
        <v>100</v>
      </c>
      <c r="G36" s="411" t="s">
        <v>3415</v>
      </c>
      <c r="H36" s="386">
        <f>SUMIF(108:108,G36,109:109)-SUMIF(108:108,C36,109:109)+100</f>
        <v>100</v>
      </c>
      <c r="I36" s="411" t="s">
        <v>3415</v>
      </c>
      <c r="J36" s="386">
        <f>SUMIF(108:108,I36,109:109)-SUMIF(108:108,C36,109:109)+100</f>
        <v>100</v>
      </c>
      <c r="K36" s="561">
        <v>2</v>
      </c>
      <c r="L36" s="2722"/>
      <c r="M36" s="2716"/>
      <c r="N36" s="2716"/>
      <c r="O36" s="2716"/>
      <c r="P36" s="3708"/>
      <c r="Q36" s="1352" t="str">
        <f t="shared" si="11"/>
        <v>公共部分装修</v>
      </c>
      <c r="R36" s="705" t="s">
        <v>14</v>
      </c>
      <c r="S36" s="706">
        <f t="shared" si="12"/>
        <v>100</v>
      </c>
      <c r="T36" s="705" t="s">
        <v>14</v>
      </c>
      <c r="U36" s="706">
        <f t="shared" si="13"/>
        <v>100</v>
      </c>
      <c r="V36" s="705" t="s">
        <v>14</v>
      </c>
      <c r="W36" s="706">
        <f t="shared" si="14"/>
        <v>100</v>
      </c>
      <c r="X36" s="1355"/>
      <c r="Y36" s="3710"/>
      <c r="Z36" s="1356" t="str">
        <f t="shared" si="15"/>
        <v>公共部分装修</v>
      </c>
      <c r="AA36" s="1353">
        <f t="shared" si="3"/>
        <v>1</v>
      </c>
      <c r="AB36" s="1353">
        <f t="shared" si="4"/>
        <v>1</v>
      </c>
      <c r="AC36" s="1962">
        <f t="shared" si="5"/>
        <v>1</v>
      </c>
    </row>
    <row r="37" spans="1:29" ht="15">
      <c r="A37" s="423"/>
      <c r="B37" s="375" t="s">
        <v>1786</v>
      </c>
      <c r="C37" s="425">
        <f>'数据-取费表'!Y6</f>
        <v>0.92</v>
      </c>
      <c r="D37" s="386">
        <v>100</v>
      </c>
      <c r="E37" s="425">
        <f>1-(2023-E51)/60</f>
        <v>0.91666666666666663</v>
      </c>
      <c r="F37" s="412">
        <f>LOOKUP(E37,111:111,112:112)-LOOKUP(C37,111:111,112:112)+100</f>
        <v>100</v>
      </c>
      <c r="G37" s="425">
        <f>1-(2023-G51)/60</f>
        <v>0.9</v>
      </c>
      <c r="H37" s="412">
        <f>LOOKUP(G37,111:111,112:112)-LOOKUP(C37,111:111,112:112)+100</f>
        <v>100</v>
      </c>
      <c r="I37" s="425">
        <f>1-(2023-I51)/60</f>
        <v>0.76666666666666661</v>
      </c>
      <c r="J37" s="386">
        <f>LOOKUP(I37,111:111,112:112)-LOOKUP(C37,111:111,112:112)+100</f>
        <v>96</v>
      </c>
      <c r="K37" s="561">
        <v>2</v>
      </c>
      <c r="L37" s="2722"/>
      <c r="M37" s="2716"/>
      <c r="N37" s="2716"/>
      <c r="O37" s="2716"/>
      <c r="P37" s="3708"/>
      <c r="Q37" s="1352" t="str">
        <f t="shared" si="11"/>
        <v>成新度</v>
      </c>
      <c r="R37" s="705" t="s">
        <v>14</v>
      </c>
      <c r="S37" s="706">
        <f t="shared" si="12"/>
        <v>100</v>
      </c>
      <c r="T37" s="705" t="s">
        <v>14</v>
      </c>
      <c r="U37" s="706">
        <f t="shared" si="13"/>
        <v>100</v>
      </c>
      <c r="V37" s="705" t="s">
        <v>14</v>
      </c>
      <c r="W37" s="706">
        <f t="shared" si="14"/>
        <v>96</v>
      </c>
      <c r="X37" s="1355"/>
      <c r="Y37" s="3710"/>
      <c r="Z37" s="1356" t="str">
        <f t="shared" si="15"/>
        <v>成新度</v>
      </c>
      <c r="AA37" s="1353">
        <f t="shared" si="3"/>
        <v>1</v>
      </c>
      <c r="AB37" s="1353">
        <f t="shared" si="4"/>
        <v>1</v>
      </c>
      <c r="AC37" s="1962">
        <f t="shared" si="5"/>
        <v>1.0416666666666667</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8"/>
      <c r="Q38" s="1343" t="str">
        <f t="shared" si="11"/>
        <v>写字楼等级</v>
      </c>
      <c r="R38" s="701" t="s">
        <v>14</v>
      </c>
      <c r="S38" s="702">
        <f t="shared" si="12"/>
        <v>100</v>
      </c>
      <c r="T38" s="701" t="s">
        <v>14</v>
      </c>
      <c r="U38" s="702">
        <f t="shared" si="13"/>
        <v>100</v>
      </c>
      <c r="V38" s="701" t="s">
        <v>14</v>
      </c>
      <c r="W38" s="702">
        <f t="shared" si="14"/>
        <v>100</v>
      </c>
      <c r="X38" s="703"/>
      <c r="Y38" s="371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8" t="s">
        <v>1696</v>
      </c>
      <c r="Q39" s="1352" t="str">
        <f t="shared" si="11"/>
        <v>物业管理</v>
      </c>
      <c r="R39" s="705" t="s">
        <v>14</v>
      </c>
      <c r="S39" s="706">
        <f t="shared" si="12"/>
        <v>100</v>
      </c>
      <c r="T39" s="705" t="s">
        <v>14</v>
      </c>
      <c r="U39" s="706">
        <f t="shared" si="13"/>
        <v>100</v>
      </c>
      <c r="V39" s="705" t="s">
        <v>14</v>
      </c>
      <c r="W39" s="706">
        <f t="shared" si="14"/>
        <v>100</v>
      </c>
      <c r="X39" s="1355"/>
      <c r="Y39" s="3710" t="s">
        <v>1696</v>
      </c>
      <c r="Z39" s="1356" t="str">
        <f t="shared" si="15"/>
        <v>物业管理</v>
      </c>
      <c r="AA39" s="1353">
        <f t="shared" si="3"/>
        <v>1</v>
      </c>
      <c r="AB39" s="1353">
        <f t="shared" si="4"/>
        <v>1</v>
      </c>
      <c r="AC39" s="1962">
        <f t="shared" si="5"/>
        <v>1</v>
      </c>
    </row>
    <row r="40" spans="1:29" ht="15">
      <c r="A40" s="423"/>
      <c r="B40" s="375" t="s">
        <v>1787</v>
      </c>
      <c r="C40" s="411" t="s">
        <v>3429</v>
      </c>
      <c r="D40" s="386">
        <v>100</v>
      </c>
      <c r="E40" s="411" t="s">
        <v>3447</v>
      </c>
      <c r="F40" s="412">
        <f>SUMIF(117:117,E40,118:118)-SUMIF(117:117,C40,118:118)+100</f>
        <v>98</v>
      </c>
      <c r="G40" s="411" t="s">
        <v>3447</v>
      </c>
      <c r="H40" s="386">
        <f>SUMIF(117:117,G40,118:118)-SUMIF(117:117,C40,118:118)+100</f>
        <v>98</v>
      </c>
      <c r="I40" s="411" t="s">
        <v>3447</v>
      </c>
      <c r="J40" s="386">
        <f>SUMIF(117:117,I40,118:118)-SUMIF(117:117,C40,118:118)+100</f>
        <v>98</v>
      </c>
      <c r="K40" s="561">
        <v>1</v>
      </c>
      <c r="L40" s="2722"/>
      <c r="M40" s="2716"/>
      <c r="N40" s="2716"/>
      <c r="O40" s="2716"/>
      <c r="P40" s="3708"/>
      <c r="Q40" s="1352" t="str">
        <f t="shared" si="11"/>
        <v>市政基础设施</v>
      </c>
      <c r="R40" s="705" t="s">
        <v>14</v>
      </c>
      <c r="S40" s="706">
        <f t="shared" si="12"/>
        <v>98</v>
      </c>
      <c r="T40" s="705" t="s">
        <v>14</v>
      </c>
      <c r="U40" s="706">
        <f t="shared" si="13"/>
        <v>98</v>
      </c>
      <c r="V40" s="705" t="s">
        <v>14</v>
      </c>
      <c r="W40" s="706">
        <f t="shared" si="14"/>
        <v>98</v>
      </c>
      <c r="X40" s="1355"/>
      <c r="Y40" s="3710"/>
      <c r="Z40" s="1356" t="str">
        <f t="shared" si="15"/>
        <v>市政基础设施</v>
      </c>
      <c r="AA40" s="1353">
        <f t="shared" si="3"/>
        <v>1.0204081632653061</v>
      </c>
      <c r="AB40" s="1353">
        <f t="shared" si="4"/>
        <v>1.0204081632653061</v>
      </c>
      <c r="AC40" s="1962">
        <f t="shared" si="5"/>
        <v>1.0204081632653061</v>
      </c>
    </row>
    <row r="41" spans="1:29" ht="15">
      <c r="A41" s="423"/>
      <c r="B41" s="375" t="s">
        <v>1789</v>
      </c>
      <c r="C41" s="565" t="s">
        <v>3422</v>
      </c>
      <c r="D41" s="386">
        <v>100</v>
      </c>
      <c r="E41" s="565" t="s">
        <v>3422</v>
      </c>
      <c r="F41" s="412">
        <f>SUMIF(119:119,E41,120:120)-SUMIF(119:119,C41,120:120)+100</f>
        <v>100</v>
      </c>
      <c r="G41" s="565" t="s">
        <v>3422</v>
      </c>
      <c r="H41" s="386">
        <f>SUMIF(119:119,G41,120:120)-SUMIF(119:119,C41,120:120)+100</f>
        <v>100</v>
      </c>
      <c r="I41" s="565" t="s">
        <v>3422</v>
      </c>
      <c r="J41" s="386">
        <f>SUMIF(119:119,I41,120:120)-SUMIF(119:119,C41,120:120)+100</f>
        <v>100</v>
      </c>
      <c r="K41" s="561">
        <v>2</v>
      </c>
      <c r="L41" s="2722"/>
      <c r="M41" s="2716"/>
      <c r="N41" s="2716"/>
      <c r="O41" s="2716"/>
      <c r="P41" s="3708"/>
      <c r="Q41" s="1352" t="str">
        <f t="shared" si="11"/>
        <v>层高</v>
      </c>
      <c r="R41" s="705" t="s">
        <v>14</v>
      </c>
      <c r="S41" s="706">
        <f t="shared" si="12"/>
        <v>100</v>
      </c>
      <c r="T41" s="705" t="s">
        <v>14</v>
      </c>
      <c r="U41" s="706">
        <f t="shared" si="13"/>
        <v>100</v>
      </c>
      <c r="V41" s="705" t="s">
        <v>14</v>
      </c>
      <c r="W41" s="706">
        <f t="shared" si="14"/>
        <v>100</v>
      </c>
      <c r="X41" s="1355"/>
      <c r="Y41" s="371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8"/>
      <c r="Q42" s="707" t="str">
        <f t="shared" si="11"/>
        <v>单套建筑面积</v>
      </c>
      <c r="R42" s="708" t="s">
        <v>14</v>
      </c>
      <c r="S42" s="709">
        <f t="shared" si="12"/>
        <v>100</v>
      </c>
      <c r="T42" s="708" t="s">
        <v>14</v>
      </c>
      <c r="U42" s="709">
        <f t="shared" si="13"/>
        <v>100</v>
      </c>
      <c r="V42" s="708" t="s">
        <v>14</v>
      </c>
      <c r="W42" s="709">
        <f t="shared" si="14"/>
        <v>100</v>
      </c>
      <c r="X42" s="710"/>
      <c r="Y42" s="3710"/>
      <c r="Z42" s="711" t="str">
        <f t="shared" si="15"/>
        <v>单套建筑面积</v>
      </c>
      <c r="AA42" s="1353">
        <f t="shared" si="3"/>
        <v>1</v>
      </c>
      <c r="AB42" s="1353">
        <f t="shared" si="4"/>
        <v>1</v>
      </c>
      <c r="AC42" s="1962">
        <f t="shared" si="5"/>
        <v>1</v>
      </c>
    </row>
    <row r="43" spans="1:29" ht="15">
      <c r="A43" s="423"/>
      <c r="B43" s="375" t="s">
        <v>1792</v>
      </c>
      <c r="C43" s="411" t="s">
        <v>3415</v>
      </c>
      <c r="D43" s="386">
        <v>100</v>
      </c>
      <c r="E43" s="411" t="s">
        <v>3417</v>
      </c>
      <c r="F43" s="412">
        <f>SUMIF(123:123,E43,124:124)-SUMIF(123:123,C43,124:124)+100</f>
        <v>98</v>
      </c>
      <c r="G43" s="411" t="s">
        <v>3417</v>
      </c>
      <c r="H43" s="386">
        <f>SUMIF(123:123,G43,124:124)-SUMIF(123:123,C43,124:124)+100</f>
        <v>98</v>
      </c>
      <c r="I43" s="411" t="s">
        <v>3417</v>
      </c>
      <c r="J43" s="386">
        <f>SUMIF(123:123,I43,124:124)-SUMIF(123:123,C43,124:124)+100</f>
        <v>98</v>
      </c>
      <c r="K43" s="561">
        <v>2</v>
      </c>
      <c r="L43" s="2722"/>
      <c r="M43" s="2716"/>
      <c r="N43" s="2716"/>
      <c r="O43" s="2716"/>
      <c r="P43" s="3708"/>
      <c r="Q43" s="1352" t="str">
        <f t="shared" si="11"/>
        <v>内部装修</v>
      </c>
      <c r="R43" s="705" t="s">
        <v>14</v>
      </c>
      <c r="S43" s="706">
        <f t="shared" si="12"/>
        <v>98</v>
      </c>
      <c r="T43" s="705" t="s">
        <v>14</v>
      </c>
      <c r="U43" s="706">
        <f t="shared" si="13"/>
        <v>98</v>
      </c>
      <c r="V43" s="705" t="s">
        <v>14</v>
      </c>
      <c r="W43" s="706">
        <f t="shared" si="14"/>
        <v>98</v>
      </c>
      <c r="X43" s="1355"/>
      <c r="Y43" s="3710"/>
      <c r="Z43" s="1356" t="str">
        <f t="shared" si="15"/>
        <v>内部装修</v>
      </c>
      <c r="AA43" s="1353">
        <f t="shared" si="3"/>
        <v>1.0204081632653061</v>
      </c>
      <c r="AB43" s="1353">
        <f t="shared" si="4"/>
        <v>1.0204081632653061</v>
      </c>
      <c r="AC43" s="1962">
        <f t="shared" si="5"/>
        <v>1.0204081632653061</v>
      </c>
    </row>
    <row r="44" spans="1:29" ht="15">
      <c r="A44" s="423"/>
      <c r="B44" s="375" t="s">
        <v>1707</v>
      </c>
      <c r="C44" s="411" t="s">
        <v>3397</v>
      </c>
      <c r="D44" s="386">
        <v>100</v>
      </c>
      <c r="E44" s="411" t="s">
        <v>3397</v>
      </c>
      <c r="F44" s="412">
        <f>SUMIF(125:125,E44,126:126)-SUMIF(125:125,C44,126:126)+100</f>
        <v>100</v>
      </c>
      <c r="G44" s="411" t="s">
        <v>3397</v>
      </c>
      <c r="H44" s="386">
        <f>SUMIF(125:125,G44,126:126)-SUMIF(125:125,C44,126:126)+100</f>
        <v>100</v>
      </c>
      <c r="I44" s="411" t="s">
        <v>3397</v>
      </c>
      <c r="J44" s="386">
        <f>SUMIF(125:125,I44,126:126)-SUMIF(125:125,C44,126:126)+100</f>
        <v>100</v>
      </c>
      <c r="K44" s="561">
        <v>2</v>
      </c>
      <c r="L44" s="2722"/>
      <c r="M44" s="2716"/>
      <c r="N44" s="2716"/>
      <c r="O44" s="2716"/>
      <c r="P44" s="3708"/>
      <c r="Q44" s="1352" t="str">
        <f t="shared" si="11"/>
        <v>内部装修维护情况</v>
      </c>
      <c r="R44" s="705" t="s">
        <v>14</v>
      </c>
      <c r="S44" s="706">
        <f t="shared" si="12"/>
        <v>100</v>
      </c>
      <c r="T44" s="705" t="s">
        <v>14</v>
      </c>
      <c r="U44" s="706">
        <f t="shared" si="13"/>
        <v>100</v>
      </c>
      <c r="V44" s="705" t="s">
        <v>14</v>
      </c>
      <c r="W44" s="706">
        <f t="shared" si="14"/>
        <v>100</v>
      </c>
      <c r="X44" s="1355"/>
      <c r="Y44" s="371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8"/>
      <c r="Q45" s="1343">
        <f t="shared" si="11"/>
        <v>111</v>
      </c>
      <c r="R45" s="701" t="s">
        <v>14</v>
      </c>
      <c r="S45" s="702">
        <f t="shared" si="12"/>
        <v>100</v>
      </c>
      <c r="T45" s="701" t="s">
        <v>14</v>
      </c>
      <c r="U45" s="702">
        <f t="shared" si="13"/>
        <v>100</v>
      </c>
      <c r="V45" s="701" t="s">
        <v>14</v>
      </c>
      <c r="W45" s="702">
        <f t="shared" si="14"/>
        <v>100</v>
      </c>
      <c r="X45" s="703"/>
      <c r="Y45" s="371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8"/>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9"/>
      <c r="Q47" s="1352">
        <f t="shared" si="11"/>
        <v>111</v>
      </c>
      <c r="R47" s="705" t="s">
        <v>14</v>
      </c>
      <c r="S47" s="706">
        <f t="shared" si="12"/>
        <v>100</v>
      </c>
      <c r="T47" s="705" t="s">
        <v>14</v>
      </c>
      <c r="U47" s="706">
        <f t="shared" si="13"/>
        <v>100</v>
      </c>
      <c r="V47" s="705" t="s">
        <v>14</v>
      </c>
      <c r="W47" s="706">
        <f t="shared" si="14"/>
        <v>100</v>
      </c>
      <c r="X47" s="1355"/>
      <c r="Y47" s="3711"/>
      <c r="Z47" s="1356">
        <f t="shared" si="15"/>
        <v>111</v>
      </c>
      <c r="AA47" s="1353">
        <f t="shared" si="3"/>
        <v>1</v>
      </c>
      <c r="AB47" s="1353">
        <f t="shared" si="4"/>
        <v>1</v>
      </c>
      <c r="AC47" s="1962">
        <f t="shared" si="5"/>
        <v>1</v>
      </c>
    </row>
    <row r="48" spans="1:29" ht="15">
      <c r="A48" s="430" t="s">
        <v>1708</v>
      </c>
      <c r="B48" s="431"/>
      <c r="C48" s="1154" t="s">
        <v>0</v>
      </c>
      <c r="D48" s="1155"/>
      <c r="E48" s="1156">
        <v>43653</v>
      </c>
      <c r="F48" s="1157"/>
      <c r="G48" s="1158">
        <v>43931</v>
      </c>
      <c r="H48" s="1159"/>
      <c r="I48" s="1156">
        <v>42000</v>
      </c>
      <c r="J48" s="436"/>
      <c r="K48" s="714"/>
      <c r="L48" s="2724"/>
      <c r="M48" s="2716"/>
      <c r="N48" s="2716"/>
      <c r="O48" s="2716"/>
      <c r="P48" s="3683" t="str">
        <f>A48</f>
        <v>成交单价（元/平方米）</v>
      </c>
      <c r="Q48" s="3712"/>
      <c r="R48" s="3713">
        <f>E48</f>
        <v>43653</v>
      </c>
      <c r="S48" s="3713"/>
      <c r="T48" s="3713">
        <f>G48</f>
        <v>43931</v>
      </c>
      <c r="U48" s="3713"/>
      <c r="V48" s="3713">
        <f>I48</f>
        <v>42000</v>
      </c>
      <c r="W48" s="3713"/>
      <c r="X48" s="397"/>
      <c r="Y48" s="712"/>
      <c r="Z48" s="397"/>
      <c r="AA48" s="397"/>
      <c r="AB48" s="397"/>
      <c r="AC48" s="578"/>
    </row>
    <row r="49" spans="1:29" ht="15.75" thickBot="1">
      <c r="A49" s="437" t="s">
        <v>1793</v>
      </c>
      <c r="B49" s="438"/>
      <c r="C49" s="1160">
        <f>R50</f>
        <v>39942</v>
      </c>
      <c r="D49" s="2317" t="s">
        <v>2138</v>
      </c>
      <c r="E49" s="1161">
        <f>R49</f>
        <v>41620</v>
      </c>
      <c r="F49" s="2318"/>
      <c r="G49" s="1160">
        <f>T49</f>
        <v>37696</v>
      </c>
      <c r="H49" s="2318"/>
      <c r="I49" s="1161">
        <f>V49</f>
        <v>40509</v>
      </c>
      <c r="J49" s="2318"/>
      <c r="K49" s="2320">
        <f>F49+H49+J49</f>
        <v>0</v>
      </c>
      <c r="L49" s="2724"/>
      <c r="M49" s="2716"/>
      <c r="N49" s="2716"/>
      <c r="O49" s="2716"/>
      <c r="P49" s="3683" t="str">
        <f>A49</f>
        <v>比较价值（元/平方米）</v>
      </c>
      <c r="Q49" s="3712"/>
      <c r="R49" s="3713">
        <f>IF(F1="售价",ROUND(PRODUCT(R48,AA7:AA47),0),ROUND(PRODUCT(R48,AA7:AA47),1))</f>
        <v>41620</v>
      </c>
      <c r="S49" s="3713"/>
      <c r="T49" s="3713">
        <f>IF(F1="售价",ROUND(PRODUCT(T48,AB7:AB47),0),ROUND(PRODUCT(T48,AB7:AB47),1))</f>
        <v>37696</v>
      </c>
      <c r="U49" s="3713"/>
      <c r="V49" s="3713">
        <f>IF(F1="售价",ROUND(PRODUCT(V48,AC7:AC47),0),ROUND(PRODUCT(V48,AC7:AC47),1))</f>
        <v>40509</v>
      </c>
      <c r="W49" s="3713"/>
      <c r="X49" s="397"/>
      <c r="Y49" s="397"/>
      <c r="Z49" s="397"/>
      <c r="AA49" s="397"/>
      <c r="AB49" s="397"/>
      <c r="AC49" s="578"/>
    </row>
    <row r="50" spans="1:29" ht="15.75" thickBot="1">
      <c r="A50" s="441" t="s">
        <v>1794</v>
      </c>
      <c r="B50" s="442"/>
      <c r="C50" s="1163">
        <f>R50</f>
        <v>39942</v>
      </c>
      <c r="D50" s="1163"/>
      <c r="E50" s="1163"/>
      <c r="F50" s="1163"/>
      <c r="G50" s="1163"/>
      <c r="H50" s="1163"/>
      <c r="I50" s="1163"/>
      <c r="J50" s="443"/>
      <c r="K50" s="715"/>
      <c r="L50" s="2724"/>
      <c r="M50" s="2716"/>
      <c r="N50" s="2716"/>
      <c r="O50" s="2716"/>
      <c r="P50" s="3714" t="str">
        <f>A50</f>
        <v>估价对象XX用房的比较价值（楼面单价，元/平方米）</v>
      </c>
      <c r="Q50" s="3715"/>
      <c r="R50" s="3716">
        <f>IF(F1="售价",ROUND(IF(D49="简单平均",AVERAGE(R49:V49),R49*F49+T49*H49+V49*J49),0),ROUND(IF(D49="简单平均",AVERAGE(R49:V49),R49*F49+T49*H49+V49*J49),1))</f>
        <v>39942</v>
      </c>
      <c r="S50" s="3716"/>
      <c r="T50" s="3716"/>
      <c r="U50" s="3716"/>
      <c r="V50" s="3716"/>
      <c r="W50" s="3716"/>
      <c r="X50" s="1946"/>
      <c r="Y50" s="1946"/>
      <c r="Z50" s="1946"/>
      <c r="AA50" s="1946"/>
      <c r="AB50" s="1946"/>
      <c r="AC50" s="1947"/>
    </row>
    <row r="51" spans="1:29">
      <c r="A51" s="2725"/>
      <c r="B51" s="2725"/>
      <c r="C51" s="2725"/>
      <c r="D51" s="2725"/>
      <c r="E51" s="2725">
        <v>2018</v>
      </c>
      <c r="F51" s="2725"/>
      <c r="G51" s="3463">
        <v>2017</v>
      </c>
      <c r="H51" s="2725"/>
      <c r="I51" s="2725">
        <v>2009</v>
      </c>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4.8846708313310838E-2</v>
      </c>
      <c r="F53" s="449" t="str">
        <f>IF(OR(E53&gt;=0.3,E53&lt;=-0.3),"超过30%","")</f>
        <v/>
      </c>
      <c r="G53" s="448">
        <f>IF(G48&lt;G49,G49/G48-1,G48/G49-1)</f>
        <v>0.16540216468590829</v>
      </c>
      <c r="H53" s="449" t="str">
        <f>IF(OR(G53&gt;=0.3,G53&lt;=-0.3),"超过30%","")</f>
        <v/>
      </c>
      <c r="I53" s="448">
        <f>IF(I48&lt;I49,I49/I48-1,I48/I49-1)</f>
        <v>3.680663556246766E-2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0.10409592529711365</v>
      </c>
      <c r="F54" s="449" t="str">
        <f>IF(OR(E54&gt;=0.2,E54&lt;=-0.2),"超过20%","")</f>
        <v/>
      </c>
      <c r="G54" s="448">
        <f>IF(G49&lt;I49,I49/G49-1,G49/I49-1)</f>
        <v>7.4623302207130759E-2</v>
      </c>
      <c r="H54" s="449" t="str">
        <f>IF(OR(G54&gt;=0.2,G54&lt;=-0.2),"超过20%","")</f>
        <v/>
      </c>
      <c r="I54" s="448">
        <f>IF(I49&lt;E49,E49/I49-1,I49/E49-1)</f>
        <v>2.7426004097854895E-2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6.3684053787826933E-3</v>
      </c>
      <c r="F55" s="449" t="str">
        <f>IF(OR(E55&gt;=0.3,E55&lt;=-0.3),"超过30%","")</f>
        <v/>
      </c>
      <c r="G55" s="448">
        <f>IF(G48&lt;I48,I48/G48-1,G48/I48-1)</f>
        <v>4.5976190476190393E-2</v>
      </c>
      <c r="H55" s="449" t="str">
        <f>IF(OR(G55&gt;=0.3,G55&lt;=-0.3),"超过30%","")</f>
        <v/>
      </c>
      <c r="I55" s="448">
        <f>IF(I48&lt;E48,E48/I48-1,I48/E48-1)</f>
        <v>3.9357142857142868E-2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v>0</v>
      </c>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62" t="s">
        <v>3436</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商业</v>
      </c>
      <c r="D64" s="3460" t="s">
        <v>3434</v>
      </c>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105</v>
      </c>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3437</v>
      </c>
      <c r="D66" s="532" t="s">
        <v>3438</v>
      </c>
      <c r="E66" s="532" t="s">
        <v>3439</v>
      </c>
      <c r="F66" s="532" t="s">
        <v>3440</v>
      </c>
      <c r="G66" s="532" t="s">
        <v>3441</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105</v>
      </c>
      <c r="E67" s="485">
        <v>110</v>
      </c>
      <c r="F67" s="485">
        <v>115</v>
      </c>
      <c r="G67" s="485">
        <v>120</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8" t="s">
        <v>3425</v>
      </c>
      <c r="D89" s="3458" t="s">
        <v>3426</v>
      </c>
      <c r="E89" s="3458" t="s">
        <v>3428</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3431</v>
      </c>
      <c r="D101" s="3460" t="s">
        <v>3432</v>
      </c>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8" t="s">
        <v>3414</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8" t="s">
        <v>3416</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58" t="s">
        <v>3444</v>
      </c>
      <c r="D117" s="3458" t="s">
        <v>3446</v>
      </c>
      <c r="E117" s="3458" t="s">
        <v>3448</v>
      </c>
      <c r="F117" s="3458" t="s">
        <v>3449</v>
      </c>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59" t="s">
        <v>3423</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8" t="s">
        <v>3416</v>
      </c>
      <c r="D123" s="3458" t="s">
        <v>3418</v>
      </c>
      <c r="E123" s="3458" t="s">
        <v>3420</v>
      </c>
      <c r="F123" s="3459" t="s">
        <v>3421</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5" workbookViewId="0">
      <selection activeCell="O36" sqref="O36"/>
    </sheetView>
  </sheetViews>
  <sheetFormatPr defaultRowHeight="13.5"/>
  <sheetData/>
  <phoneticPr fontId="134"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A39" sqref="A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21.16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2072.8184000000001</v>
      </c>
      <c r="C2" s="1387" t="s">
        <v>879</v>
      </c>
      <c r="D2" s="1471">
        <f ca="1">C40+J29+L46</f>
        <v>20728184</v>
      </c>
      <c r="E2" s="1388" t="s">
        <v>880</v>
      </c>
      <c r="F2" s="1389"/>
      <c r="G2" s="2706"/>
      <c r="H2" s="2695"/>
      <c r="I2" s="2695"/>
      <c r="J2" s="2695"/>
      <c r="K2" s="2696"/>
      <c r="L2" s="2695"/>
      <c r="M2" s="2695"/>
    </row>
    <row r="3" spans="1:37" ht="18" customHeight="1" thickBot="1">
      <c r="A3" s="1390" t="s">
        <v>881</v>
      </c>
      <c r="B3" s="1391">
        <f ca="1">IF(ISERROR(D2/F43),0,ROUND(D2/F43,0))</f>
        <v>20512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1579477</v>
      </c>
      <c r="D5" s="1364" t="s">
        <v>889</v>
      </c>
      <c r="E5" s="1071"/>
      <c r="F5" s="1072"/>
      <c r="G5" s="1384"/>
      <c r="H5" s="299">
        <v>1</v>
      </c>
      <c r="I5" s="300" t="s">
        <v>888</v>
      </c>
      <c r="J5" s="1070">
        <f ca="1">J6+J10+J12</f>
        <v>1828075</v>
      </c>
      <c r="K5" s="1364" t="s">
        <v>889</v>
      </c>
      <c r="L5" s="1071"/>
      <c r="M5" s="1072"/>
    </row>
    <row r="6" spans="1:37" ht="18" customHeight="1">
      <c r="A6" s="1069" t="s">
        <v>398</v>
      </c>
      <c r="B6" s="3662" t="s">
        <v>694</v>
      </c>
      <c r="C6" s="1074">
        <f ca="1">ROUND(F6*F8*F7*(1-F9),0)</f>
        <v>1574977</v>
      </c>
      <c r="D6" s="155" t="s">
        <v>2106</v>
      </c>
      <c r="E6" s="302" t="s">
        <v>696</v>
      </c>
      <c r="F6" s="303">
        <f ca="1">INDIRECT("'数据-取费表'!u"&amp;$G$1)</f>
        <v>4.2699999999999996</v>
      </c>
      <c r="G6" s="1384"/>
      <c r="H6" s="1069" t="s">
        <v>398</v>
      </c>
      <c r="I6" s="3662" t="s">
        <v>694</v>
      </c>
      <c r="J6" s="301">
        <f ca="1">ROUND(M6*M8*M7*(1-M9),0)</f>
        <v>1825793</v>
      </c>
      <c r="K6" s="1376" t="s">
        <v>2107</v>
      </c>
      <c r="L6" s="302" t="s">
        <v>696</v>
      </c>
      <c r="M6" s="303">
        <f ca="1">INDIRECT("'数据-取费表'!z"&amp;$G$1)</f>
        <v>5.5</v>
      </c>
    </row>
    <row r="7" spans="1:37" ht="18" customHeight="1">
      <c r="A7" s="1073"/>
      <c r="B7" s="3663"/>
      <c r="C7" s="1075"/>
      <c r="D7" s="307"/>
      <c r="E7" s="1076" t="s">
        <v>697</v>
      </c>
      <c r="F7" s="303">
        <f ca="1">IF(INDIRECT("'数据-取费表'!ah"&amp;$G$1)="",INDIRECT("'数据-取费表'!k"&amp;$G$1),INDIRECT("'数据-取费表'!ah"&amp;$G$1))</f>
        <v>1010.54</v>
      </c>
      <c r="G7" s="1384"/>
      <c r="H7" s="304"/>
      <c r="I7" s="3663"/>
      <c r="J7" s="306"/>
      <c r="K7" s="307"/>
      <c r="L7" s="302" t="s">
        <v>697</v>
      </c>
      <c r="M7" s="303">
        <f ca="1">F7</f>
        <v>1010.54</v>
      </c>
    </row>
    <row r="8" spans="1:37" ht="18" customHeight="1">
      <c r="A8" s="304"/>
      <c r="B8" s="3663"/>
      <c r="C8" s="306"/>
      <c r="D8" s="307"/>
      <c r="E8" s="302" t="s">
        <v>698</v>
      </c>
      <c r="F8" s="303">
        <f ca="1">INDIRECT("'数据-取费表'!ai"&amp;$G$1)</f>
        <v>365</v>
      </c>
      <c r="G8" s="1384"/>
      <c r="H8" s="304"/>
      <c r="I8" s="3663"/>
      <c r="J8" s="306"/>
      <c r="K8" s="307"/>
      <c r="L8" s="302" t="s">
        <v>698</v>
      </c>
      <c r="M8" s="303">
        <f ca="1">INDIRECT("'数据-取费表'!ai"&amp;$G$1)</f>
        <v>365</v>
      </c>
    </row>
    <row r="9" spans="1:37" ht="18" customHeight="1">
      <c r="A9" s="304"/>
      <c r="B9" s="3664"/>
      <c r="C9" s="306"/>
      <c r="D9" s="307"/>
      <c r="E9" s="302" t="s">
        <v>699</v>
      </c>
      <c r="F9" s="312">
        <f ca="1">INDIRECT("'数据-取费表'!w"&amp;$G$1)</f>
        <v>0</v>
      </c>
      <c r="G9" s="1384"/>
      <c r="H9" s="304"/>
      <c r="I9" s="3664"/>
      <c r="J9" s="306"/>
      <c r="K9" s="307"/>
      <c r="L9" s="313" t="s">
        <v>699</v>
      </c>
      <c r="M9" s="314">
        <f ca="1">INDIRECT("'数据-取费表'!ab"&amp;$G$1)</f>
        <v>0.1</v>
      </c>
    </row>
    <row r="10" spans="1:37" ht="18" customHeight="1">
      <c r="A10" s="1069" t="s">
        <v>402</v>
      </c>
      <c r="B10" s="1365" t="s">
        <v>700</v>
      </c>
      <c r="C10" s="316">
        <f ca="1">ROUND(IF(F10="押一",C6/12*F11,IF(F10="押二",C6/12*2*F11,IF(F10="押三",C6/12*3*F11,C11*F11))),0)</f>
        <v>4500</v>
      </c>
      <c r="D10" s="1366" t="s">
        <v>2116</v>
      </c>
      <c r="E10" s="313" t="s">
        <v>701</v>
      </c>
      <c r="F10" s="1116" t="s">
        <v>3463</v>
      </c>
      <c r="G10" s="1384"/>
      <c r="H10" s="1069" t="s">
        <v>402</v>
      </c>
      <c r="I10" s="1365" t="s">
        <v>700</v>
      </c>
      <c r="J10" s="301">
        <f ca="1">ROUND(IF(M10="押一",J6/12*M11,IF(M10="押二",J6/12*2*M11,IF(M10="押三",J6/12*3*M11,J11*M11))),0)</f>
        <v>2282</v>
      </c>
      <c r="K10" s="1377" t="s">
        <v>2118</v>
      </c>
      <c r="L10" s="313" t="s">
        <v>701</v>
      </c>
      <c r="M10" s="1116" t="s">
        <v>3402</v>
      </c>
    </row>
    <row r="11" spans="1:37" ht="18" customHeight="1">
      <c r="A11" s="308"/>
      <c r="B11" s="1367" t="s">
        <v>890</v>
      </c>
      <c r="C11" s="959">
        <v>300000</v>
      </c>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7124818</v>
      </c>
      <c r="D13" s="1081" t="s">
        <v>705</v>
      </c>
      <c r="E13" s="1081" t="s">
        <v>706</v>
      </c>
      <c r="F13" s="1082">
        <f ca="1">INDIRECT("'数据-取费表'!y"&amp;$G$1)</f>
        <v>0.92</v>
      </c>
      <c r="G13" s="1384"/>
      <c r="H13" s="1079">
        <v>2</v>
      </c>
      <c r="I13" s="1080" t="s">
        <v>704</v>
      </c>
      <c r="J13" s="1068">
        <f ca="1">ROUND(J14*J15,0)</f>
        <v>5963163</v>
      </c>
      <c r="K13" s="1087" t="s">
        <v>705</v>
      </c>
      <c r="L13" s="1392"/>
      <c r="M13" s="1393"/>
    </row>
    <row r="14" spans="1:37" ht="18" customHeight="1">
      <c r="A14" s="982" t="s">
        <v>397</v>
      </c>
      <c r="B14" s="302" t="s">
        <v>707</v>
      </c>
      <c r="C14" s="318">
        <f ca="1">ROUND(INDIRECT("'数据-取费表'!l"&amp;$G$1)*F43+'数据-取费表'!L14*INDIRECT("'数据-取费表'!S"&amp;$G$1),0)</f>
        <v>5052700</v>
      </c>
      <c r="D14" s="1345" t="s">
        <v>708</v>
      </c>
      <c r="E14" s="1342"/>
      <c r="F14" s="319"/>
      <c r="G14" s="1384"/>
      <c r="H14" s="982" t="s">
        <v>398</v>
      </c>
      <c r="I14" s="302" t="s">
        <v>709</v>
      </c>
      <c r="J14" s="21">
        <f ca="1">C29</f>
        <v>7744367</v>
      </c>
      <c r="K14" s="12"/>
      <c r="L14" s="807"/>
      <c r="M14" s="808"/>
    </row>
    <row r="15" spans="1:37" s="1397" customFormat="1" ht="18" customHeight="1" thickBot="1">
      <c r="A15" s="982" t="s">
        <v>399</v>
      </c>
      <c r="B15" s="302" t="s">
        <v>710</v>
      </c>
      <c r="C15" s="21">
        <f ca="1">ROUND(C14*F15,0)</f>
        <v>252635</v>
      </c>
      <c r="D15" s="320" t="s">
        <v>711</v>
      </c>
      <c r="E15" s="320" t="s">
        <v>712</v>
      </c>
      <c r="F15" s="321">
        <f>'数据-取费表'!B33</f>
        <v>0.05</v>
      </c>
      <c r="G15" s="1396"/>
      <c r="H15" s="1089" t="s">
        <v>402</v>
      </c>
      <c r="I15" s="1090" t="s">
        <v>706</v>
      </c>
      <c r="J15" s="1099">
        <f ca="1">INDIRECT("'数据-取费表'!ad"&amp;$G$1)</f>
        <v>0.77</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359863</v>
      </c>
      <c r="K16" s="1087" t="s">
        <v>715</v>
      </c>
      <c r="L16" s="1088"/>
      <c r="M16" s="1072"/>
    </row>
    <row r="17" spans="1:37" s="1397" customFormat="1" ht="18" customHeight="1">
      <c r="A17" s="982" t="s">
        <v>681</v>
      </c>
      <c r="B17" s="302" t="s">
        <v>716</v>
      </c>
      <c r="C17" s="21">
        <f ca="1">ROUND(F17*(F43+INDIRECT("'数据-取费表'!S"&amp;$G$1)),0)</f>
        <v>202108</v>
      </c>
      <c r="D17" s="302" t="s">
        <v>717</v>
      </c>
      <c r="E17" s="302" t="s">
        <v>718</v>
      </c>
      <c r="F17" s="23">
        <f>'数据-取费表'!B35</f>
        <v>200</v>
      </c>
      <c r="G17" s="1396"/>
      <c r="H17" s="982" t="s">
        <v>398</v>
      </c>
      <c r="I17" s="302" t="s">
        <v>719</v>
      </c>
      <c r="J17" s="2316">
        <f ca="1">ROUND(IF(AND(项目基本情况!B11="自然人",项目基本情况!B10="北京市"),J6*M17/(1+'数据-取费表'!C42),J18+J19+J20),0)</f>
        <v>306038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75791</v>
      </c>
      <c r="D18" s="302" t="s">
        <v>711</v>
      </c>
      <c r="E18" s="302" t="s">
        <v>712</v>
      </c>
      <c r="F18" s="322">
        <f>'数据-取费表'!B36</f>
        <v>1.4999999999999999E-2</v>
      </c>
      <c r="G18" s="1396"/>
      <c r="H18" s="982" t="s">
        <v>397</v>
      </c>
      <c r="I18" s="302" t="s">
        <v>723</v>
      </c>
      <c r="J18" s="21">
        <f ca="1">ROUND(J6*M18/(1+'数据-取费表'!C42),0)</f>
        <v>97376</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5583234</v>
      </c>
      <c r="D19" s="131" t="s">
        <v>726</v>
      </c>
      <c r="E19" s="1360"/>
      <c r="F19" s="23"/>
      <c r="G19" s="1384"/>
      <c r="H19" s="982" t="s">
        <v>399</v>
      </c>
      <c r="I19" s="302" t="s">
        <v>727</v>
      </c>
      <c r="J19" s="21">
        <f ca="1">IF(K19="按租金收入计税",ROUND(J6*M19/(1+'数据-取费表'!C42),0),ROUND(C29*M19*0.7,0))</f>
        <v>208662</v>
      </c>
      <c r="K19" s="1370" t="s">
        <v>3343</v>
      </c>
      <c r="L19" s="302" t="s">
        <v>712</v>
      </c>
      <c r="M19" s="322">
        <f>IF(K19="按租金收入计税",'数据-取费表'!B51,'数据-取费表'!B50)</f>
        <v>0.12</v>
      </c>
    </row>
    <row r="20" spans="1:37" s="1397" customFormat="1" ht="18" customHeight="1">
      <c r="A20" s="982" t="s">
        <v>402</v>
      </c>
      <c r="B20" s="302" t="s">
        <v>728</v>
      </c>
      <c r="C20" s="21">
        <f ca="1">ROUND(C19*F20,0)</f>
        <v>167497</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38722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238655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5963</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9140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1468212</v>
      </c>
      <c r="K25" s="1095" t="s">
        <v>753</v>
      </c>
      <c r="L25" s="1096"/>
      <c r="M25" s="1097"/>
    </row>
    <row r="26" spans="1:37" ht="18" customHeight="1">
      <c r="A26" s="982" t="s">
        <v>397</v>
      </c>
      <c r="B26" s="302" t="s">
        <v>754</v>
      </c>
      <c r="C26" s="21">
        <f ca="1">ROUND((C19+C20)*F26,0)</f>
        <v>1150146</v>
      </c>
      <c r="D26" s="323" t="s">
        <v>755</v>
      </c>
      <c r="E26" s="313" t="s">
        <v>756</v>
      </c>
      <c r="F26" s="312">
        <f ca="1">INDIRECT("'数据-取费表'!q"&amp;$G$1)</f>
        <v>0.2</v>
      </c>
      <c r="G26" s="1384"/>
      <c r="H26" s="299" t="s">
        <v>395</v>
      </c>
      <c r="I26" s="300" t="s">
        <v>757</v>
      </c>
      <c r="J26" s="301">
        <f ca="1">IF(J5&lt;&gt;0,ROUND(J25*(1-((1+M28)/(1+M26))^M27)/(M26-M28),0),0)</f>
        <v>17714731</v>
      </c>
      <c r="K26" s="324" t="s">
        <v>758</v>
      </c>
      <c r="L26" s="302" t="s">
        <v>759</v>
      </c>
      <c r="M26" s="312">
        <f ca="1">INDIRECT("'数据-取费表'!I"&amp;$G$1)</f>
        <v>0.05</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14.36</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7744367</v>
      </c>
      <c r="D29" s="1092"/>
      <c r="E29" s="1090"/>
      <c r="F29" s="1093"/>
      <c r="G29" s="1396"/>
      <c r="H29" s="334" t="s">
        <v>396</v>
      </c>
      <c r="I29" s="335" t="s">
        <v>768</v>
      </c>
      <c r="J29" s="336">
        <f ca="1">ROUND(J26/(1+F40)^F41,0)</f>
        <v>12712979</v>
      </c>
      <c r="K29" s="337" t="s">
        <v>769</v>
      </c>
      <c r="L29" s="338"/>
      <c r="M29" s="339">
        <f ca="1">INDIRECT("'数据-取费表'!k"&amp;$G$1)</f>
        <v>1010.54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317740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263996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83999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179997</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38722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7125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7897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1261737</v>
      </c>
      <c r="D39" s="1095" t="s">
        <v>773</v>
      </c>
      <c r="E39" s="1096"/>
      <c r="F39" s="1097"/>
      <c r="G39" s="1384"/>
      <c r="H39" s="2700"/>
      <c r="I39" s="1398"/>
      <c r="J39" s="1399"/>
      <c r="K39" s="2704"/>
      <c r="L39" s="2700"/>
      <c r="M39" s="2700"/>
    </row>
    <row r="40" spans="1:18" ht="18" customHeight="1">
      <c r="A40" s="299" t="s">
        <v>395</v>
      </c>
      <c r="B40" s="300" t="s">
        <v>774</v>
      </c>
      <c r="C40" s="301">
        <f ca="1">ROUND(C39*(1-((1+F42)/(1+F40))^F41)/(F40-F42),0)</f>
        <v>7125026</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6.8</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ROUND(C40/F43,0)</f>
        <v>7051</v>
      </c>
      <c r="D43" s="337" t="s">
        <v>777</v>
      </c>
      <c r="E43" s="338" t="s">
        <v>778</v>
      </c>
      <c r="F43" s="339">
        <f ca="1">INDIRECT("'数据-取费表'!k"&amp;$G$1)</f>
        <v>1010.54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-66.271600000000007</v>
      </c>
      <c r="D45" s="3432" t="s">
        <v>3360</v>
      </c>
      <c r="E45" s="1400"/>
      <c r="F45" s="1400"/>
      <c r="O45" s="1403" t="s">
        <v>808</v>
      </c>
      <c r="P45" s="1461"/>
      <c r="Q45" s="1461"/>
      <c r="R45" s="1461"/>
    </row>
    <row r="46" spans="1:18" s="1384" customFormat="1" ht="13.5" thickBot="1">
      <c r="A46" s="1404" t="s">
        <v>809</v>
      </c>
      <c r="C46" s="1405">
        <f ca="1">ROUND(C45,0)</f>
        <v>-66</v>
      </c>
      <c r="D46" s="1406" t="str">
        <f>C2</f>
        <v>万元</v>
      </c>
      <c r="I46" s="1407" t="s">
        <v>810</v>
      </c>
      <c r="J46" s="1408"/>
      <c r="K46" s="1409"/>
      <c r="L46" s="1410">
        <f ca="1">IF(M47="住宅",0,IF(L48&gt;J51,L60,J60))</f>
        <v>890179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40</v>
      </c>
      <c r="M47" s="1380" t="str">
        <f>IF(ISNUMBER(FIND("住宅",C1)),"住宅","非住宅")</f>
        <v>非住宅</v>
      </c>
      <c r="O47" s="1418" t="s">
        <v>403</v>
      </c>
      <c r="P47" s="1419" t="s">
        <v>817</v>
      </c>
      <c r="Q47" s="1420">
        <f ca="1">C40+J29</f>
        <v>19838005</v>
      </c>
      <c r="R47" s="1420" t="s">
        <v>818</v>
      </c>
    </row>
    <row r="48" spans="1:18" s="1384" customFormat="1" ht="28.5" thickBot="1">
      <c r="A48" s="1110" t="s">
        <v>438</v>
      </c>
      <c r="B48" s="300" t="s">
        <v>692</v>
      </c>
      <c r="C48" s="1359">
        <f ca="1">C49+C53+C55</f>
        <v>1329510</v>
      </c>
      <c r="D48" s="1112"/>
      <c r="E48" s="1113"/>
      <c r="F48" s="962"/>
      <c r="G48" s="722"/>
      <c r="H48" s="723"/>
      <c r="I48" s="1421" t="s">
        <v>819</v>
      </c>
      <c r="J48" s="1422" t="s">
        <v>3404</v>
      </c>
      <c r="K48" s="1423" t="s">
        <v>820</v>
      </c>
      <c r="L48" s="1424">
        <f ca="1">INDIRECT("'数据-取费表'!f"&amp;$G$1)</f>
        <v>21.16</v>
      </c>
      <c r="O48" s="1418" t="s">
        <v>404</v>
      </c>
      <c r="P48" s="1419" t="s">
        <v>821</v>
      </c>
      <c r="Q48" s="1420">
        <f ca="1">J60</f>
        <v>890179</v>
      </c>
      <c r="R48" s="1420" t="s">
        <v>822</v>
      </c>
    </row>
    <row r="49" spans="1:18" s="1384" customFormat="1" ht="13.5" thickBot="1">
      <c r="A49" s="975" t="s">
        <v>439</v>
      </c>
      <c r="B49" s="1371" t="s">
        <v>779</v>
      </c>
      <c r="C49" s="1114">
        <f ca="1">ROUND(F49*F51*F50*(1-F52),0)</f>
        <v>1327850</v>
      </c>
      <c r="D49" s="1055" t="s">
        <v>695</v>
      </c>
      <c r="E49" s="1372" t="s">
        <v>780</v>
      </c>
      <c r="F49" s="1060">
        <v>4</v>
      </c>
      <c r="G49" s="1425"/>
      <c r="H49" s="723"/>
      <c r="I49" s="1421" t="s">
        <v>823</v>
      </c>
      <c r="J49" s="1426">
        <f>'数据-取费表'!N18</f>
        <v>2016</v>
      </c>
      <c r="K49" s="1423" t="s">
        <v>824</v>
      </c>
      <c r="L49" s="1427"/>
      <c r="O49" s="1428" t="s">
        <v>405</v>
      </c>
      <c r="P49" s="1419" t="s">
        <v>825</v>
      </c>
      <c r="Q49" s="1420">
        <f ca="1">C29</f>
        <v>7744367</v>
      </c>
      <c r="R49" s="1420" t="s">
        <v>818</v>
      </c>
    </row>
    <row r="50" spans="1:18" s="1384" customFormat="1" ht="13.5" thickBot="1">
      <c r="A50" s="976"/>
      <c r="B50" s="979"/>
      <c r="C50" s="980"/>
      <c r="D50" s="953"/>
      <c r="E50" s="1056" t="s">
        <v>697</v>
      </c>
      <c r="F50" s="1057">
        <f ca="1">F7</f>
        <v>1010.54</v>
      </c>
      <c r="H50" s="723"/>
      <c r="I50" s="1421" t="s">
        <v>826</v>
      </c>
      <c r="J50" s="1429">
        <f>SUMPRODUCT((I63:I65=J47)*(J62:L62=J48)*(J63:L65))</f>
        <v>60</v>
      </c>
      <c r="K50" s="1423" t="s">
        <v>827</v>
      </c>
      <c r="L50" s="1427"/>
      <c r="M50" s="1430"/>
      <c r="O50" s="1428" t="s">
        <v>406</v>
      </c>
      <c r="P50" s="1419" t="s">
        <v>828</v>
      </c>
      <c r="Q50" s="1431">
        <f ca="1">J58</f>
        <v>0.53100000000000003</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15310616</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f ca="1">J53</f>
        <v>21.16</v>
      </c>
      <c r="R52" s="1420" t="s">
        <v>835</v>
      </c>
    </row>
    <row r="53" spans="1:18" s="1384" customFormat="1" ht="30.75" customHeight="1" thickBot="1">
      <c r="A53" s="1111" t="s">
        <v>440</v>
      </c>
      <c r="B53" s="323" t="s">
        <v>700</v>
      </c>
      <c r="C53" s="316">
        <f ca="1">ROUND(IF(F53="押一",C49/12*F11,IF(F53="押二",C49/12*2*F11,IF(F53="押三",C49/12*3*F11,C54*F11))),0)</f>
        <v>1660</v>
      </c>
      <c r="D53" s="1366" t="s">
        <v>2119</v>
      </c>
      <c r="E53" s="313" t="s">
        <v>701</v>
      </c>
      <c r="F53" s="1116" t="s">
        <v>3402</v>
      </c>
      <c r="I53" s="1439" t="s">
        <v>836</v>
      </c>
      <c r="J53" s="2168">
        <f ca="1">IF(M47="住宅",IF(D1="——",MAX(J51,L48),MAX(J51,L48-'数据-取费表'!B24)),IF(D1="——",MIN(J51,L48),MIN(J51,L48-'数据-取费表'!B24)))</f>
        <v>21.16</v>
      </c>
      <c r="K53" s="3660" t="s">
        <v>837</v>
      </c>
      <c r="L53" s="3661"/>
      <c r="O53" s="1418" t="s">
        <v>409</v>
      </c>
      <c r="P53" s="1419" t="s">
        <v>838</v>
      </c>
      <c r="Q53" s="1420">
        <f ca="1">Q47+Q48</f>
        <v>20728184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0.53100000000000003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7124818</v>
      </c>
      <c r="D56" s="1447"/>
      <c r="E56" s="1448"/>
      <c r="F56" s="1440"/>
      <c r="I56" s="1449" t="s">
        <v>842</v>
      </c>
      <c r="J56" s="1450" t="s">
        <v>3405</v>
      </c>
      <c r="K56" s="1421" t="s">
        <v>843</v>
      </c>
      <c r="L56" s="1424" t="str">
        <f ca="1">IF(L48&lt;J51,"——",L48-J51)</f>
        <v>——</v>
      </c>
      <c r="O56" s="1418" t="s">
        <v>403</v>
      </c>
      <c r="P56" s="1419" t="s">
        <v>817</v>
      </c>
      <c r="Q56" s="1420">
        <f ca="1">C40+J29</f>
        <v>19838005</v>
      </c>
      <c r="R56" s="1420" t="s">
        <v>818</v>
      </c>
    </row>
    <row r="57" spans="1:18" s="1384" customFormat="1" ht="24.75" thickBot="1">
      <c r="A57" s="1451"/>
      <c r="B57" s="950" t="s">
        <v>767</v>
      </c>
      <c r="C57" s="238">
        <f ca="1">C29</f>
        <v>7744367</v>
      </c>
      <c r="D57" s="1452"/>
      <c r="E57" s="1453"/>
      <c r="F57" s="1454"/>
      <c r="I57" s="1455" t="s">
        <v>844</v>
      </c>
      <c r="J57" s="1456">
        <f ca="1">IF(OR(M47="住宅",J51&lt;L48,J56="是"),"——",J51-L48)</f>
        <v>31.84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275156</v>
      </c>
      <c r="D58" s="960" t="s">
        <v>715</v>
      </c>
      <c r="E58" s="961"/>
      <c r="F58" s="962"/>
      <c r="I58" s="1455" t="s">
        <v>848</v>
      </c>
      <c r="J58" s="1457">
        <f ca="1">IF(J55&lt;0.4,0.4,J55)</f>
        <v>0.53100000000000003</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222661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4112259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70907</v>
      </c>
      <c r="D60" s="964" t="s">
        <v>724</v>
      </c>
      <c r="E60" s="950" t="s">
        <v>712</v>
      </c>
      <c r="F60" s="331">
        <f t="shared" ref="F60:F66" si="0">F32</f>
        <v>5.6000000000000001E-2</v>
      </c>
      <c r="I60" s="1458" t="s">
        <v>853</v>
      </c>
      <c r="J60" s="1459">
        <f ca="1">IF(OR(M47="住宅",J51&lt;L48,J56="是"),"0",ROUND(J59/(1+J52)^J53,0))</f>
        <v>890179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151754</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19838005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38722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7125</v>
      </c>
      <c r="D65" s="964" t="s">
        <v>743</v>
      </c>
      <c r="E65" s="950" t="s">
        <v>744</v>
      </c>
      <c r="F65" s="330">
        <f t="shared" ca="1" si="0"/>
        <v>1E-3</v>
      </c>
      <c r="I65" s="1462" t="s">
        <v>867</v>
      </c>
      <c r="J65" s="1463">
        <v>40</v>
      </c>
      <c r="K65" s="1463">
        <v>30</v>
      </c>
      <c r="L65" s="1463">
        <v>50</v>
      </c>
      <c r="M65" s="1465">
        <v>0.02</v>
      </c>
      <c r="O65" s="1418" t="s">
        <v>403</v>
      </c>
      <c r="P65" s="1419" t="s">
        <v>868</v>
      </c>
      <c r="Q65" s="1420">
        <f ca="1">C40+J29</f>
        <v>19838005</v>
      </c>
      <c r="R65" s="1420" t="s">
        <v>818</v>
      </c>
    </row>
    <row r="66" spans="1:18" s="1384" customFormat="1" ht="16.5" thickBot="1">
      <c r="A66" s="982" t="s">
        <v>793</v>
      </c>
      <c r="B66" s="950" t="s">
        <v>728</v>
      </c>
      <c r="C66" s="21">
        <f ca="1">ROUND(C48*F66,0)</f>
        <v>6648</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1054354</v>
      </c>
      <c r="D67" s="963" t="s">
        <v>753</v>
      </c>
      <c r="E67" s="968"/>
      <c r="F67" s="969"/>
      <c r="O67" s="1428" t="s">
        <v>405</v>
      </c>
      <c r="P67" s="1419" t="s">
        <v>850</v>
      </c>
      <c r="Q67" s="1466">
        <f ca="1">L51</f>
        <v>15310616</v>
      </c>
      <c r="R67" s="1420" t="s">
        <v>870</v>
      </c>
    </row>
    <row r="68" spans="1:18" s="1384" customFormat="1" ht="16.5" thickBot="1">
      <c r="A68" s="947" t="s">
        <v>395</v>
      </c>
      <c r="B68" s="948" t="s">
        <v>774</v>
      </c>
      <c r="C68" s="301">
        <f ca="1">ROUND(C67*(1-((1+F70)/(1+F68))^F69)/(F68-F70),0)</f>
        <v>6462310</v>
      </c>
      <c r="D68" s="965" t="s">
        <v>758</v>
      </c>
      <c r="E68" s="950" t="s">
        <v>759</v>
      </c>
      <c r="F68" s="312">
        <f ca="1">F40</f>
        <v>0.05</v>
      </c>
      <c r="O68" s="1428" t="s">
        <v>406</v>
      </c>
      <c r="P68" s="1467" t="s">
        <v>871</v>
      </c>
      <c r="Q68" s="1420">
        <f ca="1">ROUND(Q69-Q70*Q71,0)</f>
        <v>763000</v>
      </c>
      <c r="R68" s="1420" t="s">
        <v>414</v>
      </c>
    </row>
    <row r="69" spans="1:18" s="1384" customFormat="1" ht="13.5" thickBot="1">
      <c r="A69" s="951"/>
      <c r="B69" s="952"/>
      <c r="C69" s="306"/>
      <c r="D69" s="970" t="s">
        <v>762</v>
      </c>
      <c r="E69" s="950" t="s">
        <v>763</v>
      </c>
      <c r="F69" s="333">
        <f ca="1">F41</f>
        <v>6.8</v>
      </c>
      <c r="O69" s="1428" t="s">
        <v>411</v>
      </c>
      <c r="P69" s="1467" t="s">
        <v>872</v>
      </c>
      <c r="Q69" s="1420">
        <f ca="1">C39</f>
        <v>1261737</v>
      </c>
      <c r="R69" s="1420" t="s">
        <v>818</v>
      </c>
    </row>
    <row r="70" spans="1:18" s="1384" customFormat="1" ht="13.5" thickBot="1">
      <c r="A70" s="954"/>
      <c r="B70" s="955"/>
      <c r="C70" s="310"/>
      <c r="D70" s="966"/>
      <c r="E70" s="950" t="s">
        <v>766</v>
      </c>
      <c r="F70" s="1054">
        <v>0.03</v>
      </c>
      <c r="O70" s="1428" t="s">
        <v>412</v>
      </c>
      <c r="P70" s="1467" t="s">
        <v>873</v>
      </c>
      <c r="Q70" s="1420">
        <f ca="1">C13</f>
        <v>7124818</v>
      </c>
      <c r="R70" s="1420" t="s">
        <v>818</v>
      </c>
    </row>
    <row r="71" spans="1:18" s="1384" customFormat="1" ht="13.5" thickBot="1">
      <c r="A71" s="971" t="s">
        <v>396</v>
      </c>
      <c r="B71" s="972" t="s">
        <v>776</v>
      </c>
      <c r="C71" s="336">
        <f ca="1">ROUND(C68/F71,0)</f>
        <v>6395</v>
      </c>
      <c r="D71" s="973" t="s">
        <v>777</v>
      </c>
      <c r="E71" s="974" t="s">
        <v>778</v>
      </c>
      <c r="F71" s="339">
        <f ca="1">F43</f>
        <v>1010.54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498737</v>
      </c>
      <c r="D75" s="1384"/>
      <c r="E75" s="1384"/>
      <c r="F75" s="1384"/>
      <c r="K75" s="1402"/>
      <c r="L75" s="1384"/>
      <c r="O75" s="1418" t="s">
        <v>409</v>
      </c>
      <c r="P75" s="1419" t="s">
        <v>838</v>
      </c>
      <c r="Q75" s="1420">
        <f ca="1">Q65+Q66</f>
        <v>19838005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0.60499999999999998</v>
      </c>
    </row>
    <row r="80" spans="1:18">
      <c r="B80" s="340" t="s">
        <v>800</v>
      </c>
      <c r="C80" s="274">
        <f ca="1">ROUND(C75/C39,3)</f>
        <v>0.39500000000000002</v>
      </c>
    </row>
    <row r="81" spans="2:3">
      <c r="B81" s="270" t="s">
        <v>801</v>
      </c>
      <c r="C81" s="238"/>
    </row>
    <row r="82" spans="2:3">
      <c r="B82" s="273" t="s">
        <v>802</v>
      </c>
      <c r="C82" s="275">
        <f ca="1">1-C83</f>
        <v>0</v>
      </c>
    </row>
    <row r="83" spans="2:3">
      <c r="B83" s="273" t="s">
        <v>803</v>
      </c>
      <c r="C83" s="274">
        <f ca="1">ROUND(C13/C40,3)</f>
        <v>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7" zoomScale="90" zoomScaleNormal="70" zoomScaleSheetLayoutView="90" workbookViewId="0">
      <selection activeCell="C37" sqref="C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3385</v>
      </c>
      <c r="E1" s="3433" t="s">
        <v>3409</v>
      </c>
      <c r="F1" s="1879" t="s">
        <v>3451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0.4042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v>
      </c>
      <c r="C3" s="354" t="s">
        <v>1768</v>
      </c>
      <c r="D3" s="353">
        <f>IF(D1="",'数据-汇总表'!E3,SUMIF('数据-汇总表'!$C19:$C33,D1,'数据-汇总表'!$E19:$E33))</f>
        <v>1010.54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70" t="s">
        <v>1771</v>
      </c>
      <c r="S4" s="3671"/>
      <c r="T4" s="3670" t="s">
        <v>1772</v>
      </c>
      <c r="U4" s="3671"/>
      <c r="V4" s="3699" t="s">
        <v>1773</v>
      </c>
      <c r="W4" s="3699"/>
      <c r="X4" s="3457"/>
      <c r="Y4" s="3670" t="s">
        <v>1775</v>
      </c>
      <c r="Z4" s="3671"/>
      <c r="AA4" s="3665" t="s">
        <v>1771</v>
      </c>
      <c r="AB4" s="3665" t="s">
        <v>1772</v>
      </c>
      <c r="AC4" s="3684" t="s">
        <v>1773</v>
      </c>
    </row>
    <row r="5" spans="1:29" ht="15">
      <c r="A5" s="358"/>
      <c r="B5" s="359"/>
      <c r="C5" s="3676" t="s">
        <v>1673</v>
      </c>
      <c r="D5" s="3677"/>
      <c r="E5" s="3674" t="s">
        <v>3455</v>
      </c>
      <c r="F5" s="3675"/>
      <c r="G5" s="3680" t="s">
        <v>3454</v>
      </c>
      <c r="H5" s="3677"/>
      <c r="I5" s="3680" t="s">
        <v>3452</v>
      </c>
      <c r="J5" s="3677"/>
      <c r="K5" s="559"/>
      <c r="L5" s="2715"/>
      <c r="M5" s="2716"/>
      <c r="N5" s="2716"/>
      <c r="O5" s="2716"/>
      <c r="P5" s="3693"/>
      <c r="Q5" s="3694"/>
      <c r="R5" s="3672"/>
      <c r="S5" s="3673"/>
      <c r="T5" s="3672"/>
      <c r="U5" s="3673"/>
      <c r="V5" s="3700"/>
      <c r="W5" s="3700"/>
      <c r="X5" s="3452"/>
      <c r="Y5" s="3672"/>
      <c r="Z5" s="3673"/>
      <c r="AA5" s="3666"/>
      <c r="AB5" s="3666"/>
      <c r="AC5" s="3685"/>
    </row>
    <row r="6" spans="1:29" ht="15.75" thickBot="1">
      <c r="A6" s="360"/>
      <c r="B6" s="361"/>
      <c r="C6" s="3678" t="s">
        <v>1677</v>
      </c>
      <c r="D6" s="3679"/>
      <c r="E6" s="3681" t="s">
        <v>1677</v>
      </c>
      <c r="F6" s="3682"/>
      <c r="G6" s="3678" t="s">
        <v>1677</v>
      </c>
      <c r="H6" s="3679"/>
      <c r="I6" s="3678" t="s">
        <v>1677</v>
      </c>
      <c r="J6" s="3679"/>
      <c r="K6" s="559" t="s">
        <v>1678</v>
      </c>
      <c r="L6" s="2715"/>
      <c r="M6" s="2716"/>
      <c r="N6" s="2716"/>
      <c r="O6" s="2716"/>
      <c r="P6" s="3695"/>
      <c r="Q6" s="3696"/>
      <c r="R6" s="3672"/>
      <c r="S6" s="3673"/>
      <c r="T6" s="3697"/>
      <c r="U6" s="3698"/>
      <c r="V6" s="3700"/>
      <c r="W6" s="3700"/>
      <c r="X6" s="3452"/>
      <c r="Y6" s="3697"/>
      <c r="Z6" s="3698"/>
      <c r="AA6" s="3667"/>
      <c r="AB6" s="3667"/>
      <c r="AC6" s="3686"/>
    </row>
    <row r="7" spans="1:29" s="108" customFormat="1" ht="15.75" thickBot="1">
      <c r="A7" s="362" t="s">
        <v>1679</v>
      </c>
      <c r="B7" s="363"/>
      <c r="C7" s="364">
        <f>'数据-取费表'!B2</f>
        <v>45000</v>
      </c>
      <c r="D7" s="365">
        <v>100</v>
      </c>
      <c r="E7" s="366">
        <f>C7</f>
        <v>45000</v>
      </c>
      <c r="F7" s="367">
        <f>SUMIF(59:59,YEAR(E7)&amp;"-"&amp;MONTH(E7),60:60)</f>
        <v>100</v>
      </c>
      <c r="G7" s="366">
        <f>C7</f>
        <v>45000</v>
      </c>
      <c r="H7" s="365">
        <f>SUMIF(59:59,YEAR(G7)&amp;"-"&amp;MONTH(G7),60:60)</f>
        <v>100</v>
      </c>
      <c r="I7" s="366">
        <v>44999</v>
      </c>
      <c r="J7" s="365">
        <f>SUMIF(59:59,YEAR(I7)&amp;"-"&amp;MONTH(I7),60:60)</f>
        <v>100</v>
      </c>
      <c r="K7" s="560"/>
      <c r="L7" s="2717"/>
      <c r="M7" s="2718"/>
      <c r="N7" s="2718"/>
      <c r="O7" s="2718"/>
      <c r="P7" s="3701" t="s">
        <v>1680</v>
      </c>
      <c r="Q7" s="3702"/>
      <c r="R7" s="701" t="s">
        <v>14</v>
      </c>
      <c r="S7" s="702">
        <f t="shared" ref="S7:S15" si="0">F7</f>
        <v>100</v>
      </c>
      <c r="T7" s="701" t="s">
        <v>14</v>
      </c>
      <c r="U7" s="702">
        <f t="shared" ref="U7:U15" si="1">H7</f>
        <v>100</v>
      </c>
      <c r="V7" s="701" t="s">
        <v>14</v>
      </c>
      <c r="W7" s="702">
        <f t="shared" ref="W7:W15" si="2">J7</f>
        <v>100</v>
      </c>
      <c r="X7" s="703"/>
      <c r="Y7" s="3668" t="s">
        <v>1680</v>
      </c>
      <c r="Z7" s="3669"/>
      <c r="AA7" s="704">
        <f>D7/F7</f>
        <v>1</v>
      </c>
      <c r="AB7" s="704">
        <f>D7/H7</f>
        <v>1</v>
      </c>
      <c r="AC7" s="1959">
        <f>D7/J7</f>
        <v>1</v>
      </c>
    </row>
    <row r="8" spans="1:29" s="108" customFormat="1" ht="15.75" thickBot="1">
      <c r="A8" s="362" t="s">
        <v>1681</v>
      </c>
      <c r="B8" s="363"/>
      <c r="C8" s="368" t="s">
        <v>3411</v>
      </c>
      <c r="D8" s="365">
        <v>100</v>
      </c>
      <c r="E8" s="368" t="s">
        <v>3435</v>
      </c>
      <c r="F8" s="367">
        <f>SUMIF(62:62,E8,63:63)-SUMIF(62:62,C8,63:63)+100</f>
        <v>102</v>
      </c>
      <c r="G8" s="368" t="s">
        <v>3411</v>
      </c>
      <c r="H8" s="365">
        <f>SUMIF(62:62,G8,63:63)-SUMIF(62:62,C8,63:63)+100</f>
        <v>100</v>
      </c>
      <c r="I8" s="368" t="s">
        <v>3411</v>
      </c>
      <c r="J8" s="365">
        <f>SUMIF(62:62,I8,63:63)-SUMIF(62:62,C8,63:63)+100</f>
        <v>100</v>
      </c>
      <c r="K8" s="560"/>
      <c r="L8" s="2717"/>
      <c r="M8" s="2718"/>
      <c r="N8" s="2718"/>
      <c r="O8" s="2718"/>
      <c r="P8" s="3701" t="s">
        <v>1683</v>
      </c>
      <c r="Q8" s="3669"/>
      <c r="R8" s="701" t="s">
        <v>14</v>
      </c>
      <c r="S8" s="702">
        <f t="shared" si="0"/>
        <v>102</v>
      </c>
      <c r="T8" s="701" t="s">
        <v>14</v>
      </c>
      <c r="U8" s="702">
        <f t="shared" si="1"/>
        <v>100</v>
      </c>
      <c r="V8" s="701" t="s">
        <v>14</v>
      </c>
      <c r="W8" s="702">
        <f t="shared" si="2"/>
        <v>100</v>
      </c>
      <c r="X8" s="703"/>
      <c r="Y8" s="3668" t="s">
        <v>1683</v>
      </c>
      <c r="Z8" s="3669"/>
      <c r="AA8" s="704">
        <f t="shared" ref="AA8:AA47" si="3">D8/F8</f>
        <v>0.98039215686274506</v>
      </c>
      <c r="AB8" s="704">
        <f t="shared" ref="AB8:AB47" si="4">D8/H8</f>
        <v>1</v>
      </c>
      <c r="AC8" s="1959">
        <f t="shared" ref="AC8:AC47" si="5">D8/J8</f>
        <v>1</v>
      </c>
    </row>
    <row r="9" spans="1:29" s="108" customFormat="1">
      <c r="A9" s="369" t="s">
        <v>1684</v>
      </c>
      <c r="B9" s="63" t="s">
        <v>1685</v>
      </c>
      <c r="C9" s="3461" t="s">
        <v>3433</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83" t="s">
        <v>1686</v>
      </c>
      <c r="Q9" s="3451" t="str">
        <f t="shared" ref="Q9:Q15" si="6">B9</f>
        <v>用途</v>
      </c>
      <c r="R9" s="701" t="s">
        <v>14</v>
      </c>
      <c r="S9" s="702">
        <f t="shared" si="0"/>
        <v>100</v>
      </c>
      <c r="T9" s="701" t="s">
        <v>14</v>
      </c>
      <c r="U9" s="702">
        <f t="shared" si="1"/>
        <v>100</v>
      </c>
      <c r="V9" s="701" t="s">
        <v>14</v>
      </c>
      <c r="W9" s="702">
        <f t="shared" si="2"/>
        <v>100</v>
      </c>
      <c r="X9" s="703"/>
      <c r="Y9" s="3629" t="s">
        <v>1687</v>
      </c>
      <c r="Z9" s="3450" t="str">
        <f t="shared" ref="Z9:Z15" si="7">Q9</f>
        <v>用途</v>
      </c>
      <c r="AA9" s="704">
        <f t="shared" si="3"/>
        <v>1</v>
      </c>
      <c r="AB9" s="704">
        <f t="shared" si="4"/>
        <v>1</v>
      </c>
      <c r="AC9" s="1959">
        <f t="shared" si="5"/>
        <v>1</v>
      </c>
    </row>
    <row r="10" spans="1:29" s="378" customFormat="1" ht="27">
      <c r="A10" s="374"/>
      <c r="B10" s="375" t="s">
        <v>1688</v>
      </c>
      <c r="C10" s="3434" t="s">
        <v>3443</v>
      </c>
      <c r="D10" s="127">
        <v>100</v>
      </c>
      <c r="E10" s="3434" t="s">
        <v>3443</v>
      </c>
      <c r="F10" s="127">
        <f>SUMIF(66:66,E10,67:67)-SUMIF(66:66,C10,67:67)+100</f>
        <v>100</v>
      </c>
      <c r="G10" s="3434" t="s">
        <v>3453</v>
      </c>
      <c r="H10" s="127">
        <f>SUMIF(66:66,G10,67:67)-SUMIF(66:66,C10,67:67)+100</f>
        <v>104</v>
      </c>
      <c r="I10" s="3434" t="s">
        <v>3453</v>
      </c>
      <c r="J10" s="127">
        <f>SUMIF(66:66,I10,67:67)-SUMIF(66:66,C10,67:67)+100</f>
        <v>104</v>
      </c>
      <c r="K10" s="560"/>
      <c r="L10" s="2719"/>
      <c r="M10" s="2720"/>
      <c r="N10" s="2720"/>
      <c r="O10" s="2720"/>
      <c r="P10" s="3683"/>
      <c r="Q10" s="3451" t="str">
        <f t="shared" si="6"/>
        <v>土地使用年限（年）</v>
      </c>
      <c r="R10" s="701" t="s">
        <v>14</v>
      </c>
      <c r="S10" s="702">
        <f t="shared" si="0"/>
        <v>100</v>
      </c>
      <c r="T10" s="701" t="s">
        <v>14</v>
      </c>
      <c r="U10" s="702">
        <f t="shared" si="1"/>
        <v>104</v>
      </c>
      <c r="V10" s="701" t="s">
        <v>14</v>
      </c>
      <c r="W10" s="702">
        <f t="shared" si="2"/>
        <v>104</v>
      </c>
      <c r="X10" s="703"/>
      <c r="Y10" s="3629"/>
      <c r="Z10" s="3450" t="str">
        <f t="shared" si="7"/>
        <v>土地使用年限（年）</v>
      </c>
      <c r="AA10" s="704">
        <f t="shared" si="3"/>
        <v>1</v>
      </c>
      <c r="AB10" s="704">
        <f t="shared" si="4"/>
        <v>0.96153846153846156</v>
      </c>
      <c r="AC10" s="1959">
        <f t="shared" si="5"/>
        <v>0.96153846153846156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3"/>
      <c r="Q11" s="3451" t="str">
        <f t="shared" si="6"/>
        <v>容积率</v>
      </c>
      <c r="R11" s="701" t="s">
        <v>14</v>
      </c>
      <c r="S11" s="702">
        <f t="shared" si="0"/>
        <v>100</v>
      </c>
      <c r="T11" s="701" t="s">
        <v>14</v>
      </c>
      <c r="U11" s="702">
        <f t="shared" si="1"/>
        <v>100</v>
      </c>
      <c r="V11" s="701" t="s">
        <v>14</v>
      </c>
      <c r="W11" s="702">
        <f t="shared" si="2"/>
        <v>100</v>
      </c>
      <c r="X11" s="703"/>
      <c r="Y11" s="3629"/>
      <c r="Z11" s="3450"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3"/>
      <c r="Q12" s="3451">
        <f t="shared" si="6"/>
        <v>111</v>
      </c>
      <c r="R12" s="701" t="s">
        <v>14</v>
      </c>
      <c r="S12" s="702">
        <f t="shared" si="0"/>
        <v>100</v>
      </c>
      <c r="T12" s="701" t="s">
        <v>14</v>
      </c>
      <c r="U12" s="702">
        <f t="shared" si="1"/>
        <v>100</v>
      </c>
      <c r="V12" s="701" t="s">
        <v>14</v>
      </c>
      <c r="W12" s="702">
        <f t="shared" si="2"/>
        <v>100</v>
      </c>
      <c r="X12" s="703"/>
      <c r="Y12" s="3629"/>
      <c r="Z12" s="3450">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3"/>
      <c r="Q13" s="3451">
        <f t="shared" si="6"/>
        <v>111</v>
      </c>
      <c r="R13" s="701" t="s">
        <v>14</v>
      </c>
      <c r="S13" s="702">
        <f t="shared" si="0"/>
        <v>100</v>
      </c>
      <c r="T13" s="701" t="s">
        <v>14</v>
      </c>
      <c r="U13" s="702">
        <f t="shared" si="1"/>
        <v>100</v>
      </c>
      <c r="V13" s="701" t="s">
        <v>14</v>
      </c>
      <c r="W13" s="702">
        <f t="shared" si="2"/>
        <v>100</v>
      </c>
      <c r="X13" s="703"/>
      <c r="Y13" s="3629"/>
      <c r="Z13" s="3450">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3"/>
      <c r="Q14" s="3451">
        <f t="shared" si="6"/>
        <v>111</v>
      </c>
      <c r="R14" s="701" t="s">
        <v>14</v>
      </c>
      <c r="S14" s="702">
        <f t="shared" si="0"/>
        <v>100</v>
      </c>
      <c r="T14" s="701" t="s">
        <v>14</v>
      </c>
      <c r="U14" s="702">
        <f t="shared" si="1"/>
        <v>100</v>
      </c>
      <c r="V14" s="701" t="s">
        <v>14</v>
      </c>
      <c r="W14" s="702">
        <f t="shared" si="2"/>
        <v>100</v>
      </c>
      <c r="X14" s="703"/>
      <c r="Y14" s="3629"/>
      <c r="Z14" s="3450">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2"/>
      <c r="M15" s="2716"/>
      <c r="N15" s="2716"/>
      <c r="O15" s="2716"/>
      <c r="P15" s="3703" t="s">
        <v>1691</v>
      </c>
      <c r="Q15" s="3455" t="str">
        <f t="shared" si="6"/>
        <v>办公集聚程度</v>
      </c>
      <c r="R15" s="705" t="s">
        <v>14</v>
      </c>
      <c r="S15" s="706">
        <f t="shared" si="0"/>
        <v>100</v>
      </c>
      <c r="T15" s="705" t="s">
        <v>14</v>
      </c>
      <c r="U15" s="706">
        <f t="shared" si="1"/>
        <v>100</v>
      </c>
      <c r="V15" s="705" t="s">
        <v>14</v>
      </c>
      <c r="W15" s="706">
        <f t="shared" si="2"/>
        <v>100</v>
      </c>
      <c r="X15" s="3452"/>
      <c r="Y15" s="3705" t="s">
        <v>1691</v>
      </c>
      <c r="Z15" s="3453" t="str">
        <f t="shared" si="7"/>
        <v>办公集聚程度</v>
      </c>
      <c r="AA15" s="3456">
        <f t="shared" si="3"/>
        <v>1</v>
      </c>
      <c r="AB15" s="3456">
        <f t="shared" si="4"/>
        <v>1</v>
      </c>
      <c r="AC15" s="1962">
        <f t="shared" si="5"/>
        <v>1</v>
      </c>
    </row>
    <row r="16" spans="1:29" ht="15">
      <c r="A16" s="379"/>
      <c r="B16" s="578"/>
      <c r="C16" s="1904" t="s">
        <v>3398</v>
      </c>
      <c r="D16" s="399"/>
      <c r="E16" s="398" t="s">
        <v>3398</v>
      </c>
      <c r="F16" s="399"/>
      <c r="G16" s="1904" t="s">
        <v>3398</v>
      </c>
      <c r="H16" s="401"/>
      <c r="I16" s="398" t="s">
        <v>3398</v>
      </c>
      <c r="J16" s="399"/>
      <c r="K16" s="564"/>
      <c r="L16" s="2722"/>
      <c r="M16" s="2716"/>
      <c r="N16" s="2716"/>
      <c r="O16" s="2716"/>
      <c r="P16" s="3704"/>
      <c r="Q16" s="3455"/>
      <c r="R16" s="705"/>
      <c r="S16" s="706"/>
      <c r="T16" s="705"/>
      <c r="U16" s="706"/>
      <c r="V16" s="705"/>
      <c r="W16" s="706"/>
      <c r="X16" s="3452"/>
      <c r="Y16" s="3706"/>
      <c r="Z16" s="3453"/>
      <c r="AA16" s="3456">
        <v>1</v>
      </c>
      <c r="AB16" s="3456">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04"/>
      <c r="Q17" s="3455" t="str">
        <f>B17</f>
        <v>交通便捷度</v>
      </c>
      <c r="R17" s="705" t="s">
        <v>14</v>
      </c>
      <c r="S17" s="706">
        <f>F17</f>
        <v>100</v>
      </c>
      <c r="T17" s="705" t="s">
        <v>14</v>
      </c>
      <c r="U17" s="706">
        <f>H17</f>
        <v>100</v>
      </c>
      <c r="V17" s="705" t="s">
        <v>14</v>
      </c>
      <c r="W17" s="706">
        <f>J17</f>
        <v>100</v>
      </c>
      <c r="X17" s="3452"/>
      <c r="Y17" s="3706"/>
      <c r="Z17" s="3453" t="str">
        <f>Q17</f>
        <v>交通便捷度</v>
      </c>
      <c r="AA17" s="3456">
        <f t="shared" si="3"/>
        <v>1</v>
      </c>
      <c r="AB17" s="3456">
        <f t="shared" si="4"/>
        <v>1</v>
      </c>
      <c r="AC17" s="1962">
        <f t="shared" si="5"/>
        <v>1</v>
      </c>
    </row>
    <row r="18" spans="1:29" ht="15">
      <c r="A18" s="379"/>
      <c r="B18" s="580"/>
      <c r="C18" s="1964" t="s">
        <v>3397</v>
      </c>
      <c r="D18" s="401"/>
      <c r="E18" s="1902" t="s">
        <v>3397</v>
      </c>
      <c r="F18" s="401"/>
      <c r="G18" s="1903" t="s">
        <v>3397</v>
      </c>
      <c r="H18" s="399"/>
      <c r="I18" s="1903" t="s">
        <v>3397</v>
      </c>
      <c r="J18" s="399"/>
      <c r="K18" s="564"/>
      <c r="L18" s="2722"/>
      <c r="M18" s="2716"/>
      <c r="N18" s="2716"/>
      <c r="O18" s="2716"/>
      <c r="P18" s="3704"/>
      <c r="Q18" s="3455"/>
      <c r="R18" s="705"/>
      <c r="S18" s="706"/>
      <c r="T18" s="705"/>
      <c r="U18" s="706"/>
      <c r="V18" s="705"/>
      <c r="W18" s="706"/>
      <c r="X18" s="3452"/>
      <c r="Y18" s="3706"/>
      <c r="Z18" s="3453"/>
      <c r="AA18" s="3456">
        <v>1</v>
      </c>
      <c r="AB18" s="3456">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04"/>
      <c r="Q19" s="3455" t="str">
        <f>B19</f>
        <v>公共配套设施</v>
      </c>
      <c r="R19" s="705" t="s">
        <v>14</v>
      </c>
      <c r="S19" s="706">
        <f>F19</f>
        <v>100</v>
      </c>
      <c r="T19" s="705" t="s">
        <v>14</v>
      </c>
      <c r="U19" s="706">
        <f>H19</f>
        <v>100</v>
      </c>
      <c r="V19" s="705" t="s">
        <v>14</v>
      </c>
      <c r="W19" s="706">
        <f>J19</f>
        <v>100</v>
      </c>
      <c r="X19" s="3452"/>
      <c r="Y19" s="3706"/>
      <c r="Z19" s="3453" t="str">
        <f>Q19</f>
        <v>公共配套设施</v>
      </c>
      <c r="AA19" s="3456">
        <f t="shared" si="3"/>
        <v>1</v>
      </c>
      <c r="AB19" s="3456">
        <f t="shared" si="4"/>
        <v>1</v>
      </c>
      <c r="AC19" s="1962">
        <f t="shared" si="5"/>
        <v>1</v>
      </c>
    </row>
    <row r="20" spans="1:29" ht="15">
      <c r="A20" s="379"/>
      <c r="B20" s="580"/>
      <c r="C20" s="1904" t="s">
        <v>3397</v>
      </c>
      <c r="D20" s="399"/>
      <c r="E20" s="1904" t="s">
        <v>3397</v>
      </c>
      <c r="F20" s="399"/>
      <c r="G20" s="1904" t="s">
        <v>3397</v>
      </c>
      <c r="H20" s="399"/>
      <c r="I20" s="1898" t="s">
        <v>3397</v>
      </c>
      <c r="J20" s="399"/>
      <c r="K20" s="564"/>
      <c r="L20" s="2722"/>
      <c r="M20" s="2716"/>
      <c r="N20" s="2716"/>
      <c r="O20" s="2716"/>
      <c r="P20" s="3704"/>
      <c r="Q20" s="3455"/>
      <c r="R20" s="705"/>
      <c r="S20" s="706"/>
      <c r="T20" s="705"/>
      <c r="U20" s="706"/>
      <c r="V20" s="705"/>
      <c r="W20" s="706"/>
      <c r="X20" s="3452"/>
      <c r="Y20" s="3706"/>
      <c r="Z20" s="3453"/>
      <c r="AA20" s="3456">
        <v>1</v>
      </c>
      <c r="AB20" s="3456">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04"/>
      <c r="Q21" s="3455" t="str">
        <f>B21</f>
        <v>基础设施水平</v>
      </c>
      <c r="R21" s="705" t="s">
        <v>14</v>
      </c>
      <c r="S21" s="706">
        <f>F21</f>
        <v>100</v>
      </c>
      <c r="T21" s="705" t="s">
        <v>14</v>
      </c>
      <c r="U21" s="706">
        <f>H21</f>
        <v>100</v>
      </c>
      <c r="V21" s="705" t="s">
        <v>14</v>
      </c>
      <c r="W21" s="706">
        <f>J21</f>
        <v>100</v>
      </c>
      <c r="X21" s="3452"/>
      <c r="Y21" s="3706"/>
      <c r="Z21" s="3453" t="str">
        <f>Q21</f>
        <v>基础设施水平</v>
      </c>
      <c r="AA21" s="3456">
        <f t="shared" ref="AA21" si="8">D21/F21</f>
        <v>1</v>
      </c>
      <c r="AB21" s="3456">
        <f t="shared" ref="AB21" si="9">D21/H21</f>
        <v>1</v>
      </c>
      <c r="AC21" s="1962">
        <f t="shared" ref="AC21" si="10">D21/J21</f>
        <v>1</v>
      </c>
    </row>
    <row r="22" spans="1:29" ht="15">
      <c r="A22" s="379"/>
      <c r="B22" s="581"/>
      <c r="C22" s="1964" t="s">
        <v>3429</v>
      </c>
      <c r="D22" s="399"/>
      <c r="E22" s="1964" t="s">
        <v>3429</v>
      </c>
      <c r="F22" s="399"/>
      <c r="G22" s="1964" t="s">
        <v>3429</v>
      </c>
      <c r="H22" s="399"/>
      <c r="I22" s="1964" t="s">
        <v>3429</v>
      </c>
      <c r="J22" s="399"/>
      <c r="K22" s="1130"/>
      <c r="L22" s="2722"/>
      <c r="M22" s="2716"/>
      <c r="N22" s="2716"/>
      <c r="O22" s="2716"/>
      <c r="P22" s="3704"/>
      <c r="Q22" s="3455"/>
      <c r="R22" s="705"/>
      <c r="S22" s="706"/>
      <c r="T22" s="705"/>
      <c r="U22" s="706"/>
      <c r="V22" s="705"/>
      <c r="W22" s="706"/>
      <c r="X22" s="3452"/>
      <c r="Y22" s="3706"/>
      <c r="Z22" s="3453"/>
      <c r="AA22" s="3456">
        <v>1</v>
      </c>
      <c r="AB22" s="3456">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04"/>
      <c r="Q23" s="3455" t="str">
        <f>B23</f>
        <v>环境质量</v>
      </c>
      <c r="R23" s="705" t="s">
        <v>14</v>
      </c>
      <c r="S23" s="706">
        <f>F23</f>
        <v>100</v>
      </c>
      <c r="T23" s="705" t="s">
        <v>14</v>
      </c>
      <c r="U23" s="706">
        <f>H23</f>
        <v>100</v>
      </c>
      <c r="V23" s="705" t="s">
        <v>14</v>
      </c>
      <c r="W23" s="706">
        <f>J23</f>
        <v>100</v>
      </c>
      <c r="X23" s="3452"/>
      <c r="Y23" s="3706"/>
      <c r="Z23" s="3453" t="str">
        <f>Q23</f>
        <v>环境质量</v>
      </c>
      <c r="AA23" s="3456">
        <f t="shared" si="3"/>
        <v>1</v>
      </c>
      <c r="AB23" s="3456">
        <f t="shared" si="4"/>
        <v>1</v>
      </c>
      <c r="AC23" s="1962">
        <f t="shared" si="5"/>
        <v>1</v>
      </c>
    </row>
    <row r="24" spans="1:29" ht="15">
      <c r="A24" s="379"/>
      <c r="B24" s="581"/>
      <c r="C24" s="1904" t="s">
        <v>3397</v>
      </c>
      <c r="D24" s="399"/>
      <c r="E24" s="1904" t="s">
        <v>3397</v>
      </c>
      <c r="F24" s="399"/>
      <c r="G24" s="1904" t="s">
        <v>3397</v>
      </c>
      <c r="H24" s="399"/>
      <c r="I24" s="1904" t="s">
        <v>3397</v>
      </c>
      <c r="J24" s="399"/>
      <c r="K24" s="564"/>
      <c r="L24" s="2722"/>
      <c r="M24" s="2716"/>
      <c r="N24" s="2716"/>
      <c r="O24" s="2716"/>
      <c r="P24" s="3704"/>
      <c r="Q24" s="3455"/>
      <c r="R24" s="705"/>
      <c r="S24" s="706"/>
      <c r="T24" s="705"/>
      <c r="U24" s="706"/>
      <c r="V24" s="705"/>
      <c r="W24" s="706"/>
      <c r="X24" s="3452"/>
      <c r="Y24" s="3706"/>
      <c r="Z24" s="3453"/>
      <c r="AA24" s="3456">
        <v>1</v>
      </c>
      <c r="AB24" s="3456">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4"/>
      <c r="Q25" s="3455" t="str">
        <f>B25</f>
        <v>毗邻道路的类型与等级</v>
      </c>
      <c r="R25" s="705" t="s">
        <v>14</v>
      </c>
      <c r="S25" s="706">
        <f>F25</f>
        <v>100</v>
      </c>
      <c r="T25" s="705" t="s">
        <v>14</v>
      </c>
      <c r="U25" s="706">
        <f>H25</f>
        <v>100</v>
      </c>
      <c r="V25" s="705" t="s">
        <v>14</v>
      </c>
      <c r="W25" s="706">
        <f>J25</f>
        <v>100</v>
      </c>
      <c r="X25" s="3452"/>
      <c r="Y25" s="3706"/>
      <c r="Z25" s="3453" t="str">
        <f>Q25</f>
        <v>毗邻道路的类型与等级</v>
      </c>
      <c r="AA25" s="3456">
        <f t="shared" si="3"/>
        <v>1</v>
      </c>
      <c r="AB25" s="3456">
        <f t="shared" si="4"/>
        <v>1</v>
      </c>
      <c r="AC25" s="1962">
        <f t="shared" si="5"/>
        <v>1</v>
      </c>
    </row>
    <row r="26" spans="1:29" ht="15">
      <c r="A26" s="358"/>
      <c r="B26" s="580"/>
      <c r="C26" s="582"/>
      <c r="D26" s="386"/>
      <c r="E26" s="565"/>
      <c r="F26" s="386"/>
      <c r="G26" s="582"/>
      <c r="H26" s="386"/>
      <c r="I26" s="565"/>
      <c r="J26" s="386"/>
      <c r="K26" s="564"/>
      <c r="L26" s="2722"/>
      <c r="M26" s="2716"/>
      <c r="N26" s="2716"/>
      <c r="O26" s="2716"/>
      <c r="P26" s="3704"/>
      <c r="Q26" s="3455"/>
      <c r="R26" s="705"/>
      <c r="S26" s="706"/>
      <c r="T26" s="705"/>
      <c r="U26" s="706"/>
      <c r="V26" s="705"/>
      <c r="W26" s="706"/>
      <c r="X26" s="3452"/>
      <c r="Y26" s="3706"/>
      <c r="Z26" s="3453"/>
      <c r="AA26" s="3456">
        <v>1</v>
      </c>
      <c r="AB26" s="3456">
        <v>1</v>
      </c>
      <c r="AC26" s="1962">
        <v>1</v>
      </c>
    </row>
    <row r="27" spans="1:29" ht="15">
      <c r="A27" s="379"/>
      <c r="B27" s="580" t="s">
        <v>1783</v>
      </c>
      <c r="C27" s="582" t="s">
        <v>3424</v>
      </c>
      <c r="D27" s="386">
        <v>100</v>
      </c>
      <c r="E27" s="565" t="s">
        <v>3424</v>
      </c>
      <c r="F27" s="386">
        <f>SUMIF(89:89,E27,90:90)-SUMIF(89:89,C27,90:90)+100</f>
        <v>100</v>
      </c>
      <c r="G27" s="582" t="s">
        <v>3424</v>
      </c>
      <c r="H27" s="386">
        <f>SUMIF(89:89,G27,90:90)-SUMIF(89:89,C27,90:90)+100</f>
        <v>100</v>
      </c>
      <c r="I27" s="565" t="s">
        <v>3424</v>
      </c>
      <c r="J27" s="386">
        <f>SUMIF(89:89,I27,90:90)-SUMIF(89:89,C27,90:90)+100</f>
        <v>100</v>
      </c>
      <c r="K27" s="561">
        <v>5</v>
      </c>
      <c r="L27" s="2722"/>
      <c r="M27" s="2716"/>
      <c r="N27" s="2716"/>
      <c r="O27" s="2716"/>
      <c r="P27" s="3704"/>
      <c r="Q27" s="3455" t="str">
        <f t="shared" ref="Q27:Q47" si="11">B27</f>
        <v>楼层</v>
      </c>
      <c r="R27" s="705" t="s">
        <v>14</v>
      </c>
      <c r="S27" s="706">
        <f>F27</f>
        <v>100</v>
      </c>
      <c r="T27" s="705" t="s">
        <v>14</v>
      </c>
      <c r="U27" s="706">
        <f>H27</f>
        <v>100</v>
      </c>
      <c r="V27" s="705" t="s">
        <v>14</v>
      </c>
      <c r="W27" s="706">
        <f>J27</f>
        <v>100</v>
      </c>
      <c r="X27" s="3452"/>
      <c r="Y27" s="3706"/>
      <c r="Z27" s="3453" t="str">
        <f>Q27</f>
        <v>楼层</v>
      </c>
      <c r="AA27" s="3456">
        <f t="shared" si="3"/>
        <v>1</v>
      </c>
      <c r="AB27" s="3456">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4"/>
      <c r="Q28" s="3451" t="str">
        <f t="shared" si="11"/>
        <v>朝向</v>
      </c>
      <c r="R28" s="701" t="s">
        <v>14</v>
      </c>
      <c r="S28" s="702">
        <f>F28</f>
        <v>100</v>
      </c>
      <c r="T28" s="701" t="s">
        <v>14</v>
      </c>
      <c r="U28" s="702">
        <f>H28</f>
        <v>100</v>
      </c>
      <c r="V28" s="701" t="s">
        <v>14</v>
      </c>
      <c r="W28" s="702">
        <f>J28</f>
        <v>100</v>
      </c>
      <c r="X28" s="703"/>
      <c r="Y28" s="3706"/>
      <c r="Z28" s="3450" t="str">
        <f>Q28</f>
        <v>朝向</v>
      </c>
      <c r="AA28" s="3456">
        <f>D28/F28</f>
        <v>1</v>
      </c>
      <c r="AB28" s="3456">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4"/>
      <c r="Q29" s="3455">
        <f t="shared" si="11"/>
        <v>111</v>
      </c>
      <c r="R29" s="705" t="s">
        <v>14</v>
      </c>
      <c r="S29" s="706">
        <f t="shared" ref="S29:S47" si="12">F29</f>
        <v>100</v>
      </c>
      <c r="T29" s="705" t="s">
        <v>14</v>
      </c>
      <c r="U29" s="706">
        <f t="shared" ref="U29:U47" si="13">H29</f>
        <v>100</v>
      </c>
      <c r="V29" s="705" t="s">
        <v>14</v>
      </c>
      <c r="W29" s="706">
        <f t="shared" ref="W29:W47" si="14">J29</f>
        <v>100</v>
      </c>
      <c r="X29" s="3452"/>
      <c r="Y29" s="3706"/>
      <c r="Z29" s="3453">
        <f t="shared" ref="Z29:Z47" si="15">Q29</f>
        <v>111</v>
      </c>
      <c r="AA29" s="3456">
        <f t="shared" si="3"/>
        <v>1</v>
      </c>
      <c r="AB29" s="3456">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4"/>
      <c r="Q30" s="3455">
        <f t="shared" si="11"/>
        <v>111</v>
      </c>
      <c r="R30" s="705" t="s">
        <v>14</v>
      </c>
      <c r="S30" s="706">
        <f t="shared" si="12"/>
        <v>100</v>
      </c>
      <c r="T30" s="705" t="s">
        <v>14</v>
      </c>
      <c r="U30" s="706">
        <f t="shared" si="13"/>
        <v>100</v>
      </c>
      <c r="V30" s="705" t="s">
        <v>14</v>
      </c>
      <c r="W30" s="706">
        <f t="shared" si="14"/>
        <v>100</v>
      </c>
      <c r="X30" s="3452"/>
      <c r="Y30" s="3706"/>
      <c r="Z30" s="3453">
        <f t="shared" si="15"/>
        <v>111</v>
      </c>
      <c r="AA30" s="3456">
        <f t="shared" si="3"/>
        <v>1</v>
      </c>
      <c r="AB30" s="3456">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4"/>
      <c r="Q31" s="3455">
        <f t="shared" si="11"/>
        <v>111</v>
      </c>
      <c r="R31" s="705" t="s">
        <v>14</v>
      </c>
      <c r="S31" s="706">
        <f t="shared" si="12"/>
        <v>100</v>
      </c>
      <c r="T31" s="705" t="s">
        <v>14</v>
      </c>
      <c r="U31" s="706">
        <f t="shared" si="13"/>
        <v>100</v>
      </c>
      <c r="V31" s="705" t="s">
        <v>14</v>
      </c>
      <c r="W31" s="706">
        <f t="shared" si="14"/>
        <v>100</v>
      </c>
      <c r="X31" s="3452"/>
      <c r="Y31" s="3706"/>
      <c r="Z31" s="3453">
        <f t="shared" si="15"/>
        <v>111</v>
      </c>
      <c r="AA31" s="3456">
        <f t="shared" si="3"/>
        <v>1</v>
      </c>
      <c r="AB31" s="3456">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4"/>
      <c r="Q32" s="3455">
        <f t="shared" si="11"/>
        <v>111</v>
      </c>
      <c r="R32" s="705" t="s">
        <v>14</v>
      </c>
      <c r="S32" s="706">
        <f t="shared" si="12"/>
        <v>100</v>
      </c>
      <c r="T32" s="705" t="s">
        <v>14</v>
      </c>
      <c r="U32" s="706">
        <f t="shared" si="13"/>
        <v>100</v>
      </c>
      <c r="V32" s="705" t="s">
        <v>14</v>
      </c>
      <c r="W32" s="706">
        <f t="shared" si="14"/>
        <v>100</v>
      </c>
      <c r="X32" s="3452"/>
      <c r="Y32" s="3706"/>
      <c r="Z32" s="3453">
        <f t="shared" si="15"/>
        <v>111</v>
      </c>
      <c r="AA32" s="3456">
        <f t="shared" si="3"/>
        <v>1</v>
      </c>
      <c r="AB32" s="3456">
        <f t="shared" si="4"/>
        <v>1</v>
      </c>
      <c r="AC32" s="1962">
        <f t="shared" si="5"/>
        <v>1</v>
      </c>
    </row>
    <row r="33" spans="1:29" ht="15">
      <c r="A33" s="391" t="s">
        <v>1694</v>
      </c>
      <c r="B33" s="63" t="s">
        <v>1817</v>
      </c>
      <c r="C33" s="1967" t="s">
        <v>3430</v>
      </c>
      <c r="D33" s="418">
        <v>100</v>
      </c>
      <c r="E33" s="1967" t="s">
        <v>3430</v>
      </c>
      <c r="F33" s="412">
        <f>SUMIF(101:101,E33,102:102)-SUMIF(101:101,C33,102:102)+100</f>
        <v>100</v>
      </c>
      <c r="G33" s="1967" t="s">
        <v>3430</v>
      </c>
      <c r="H33" s="386">
        <f>SUMIF(101:101,G33,102:102)-SUMIF(101:101,C33,102:102)+100</f>
        <v>100</v>
      </c>
      <c r="I33" s="1967" t="s">
        <v>3430</v>
      </c>
      <c r="J33" s="418">
        <f>SUMIF(101:101,I33,102:102)-SUMIF(101:101,C33,102:102)+100</f>
        <v>100</v>
      </c>
      <c r="K33" s="561">
        <v>2</v>
      </c>
      <c r="L33" s="2722"/>
      <c r="M33" s="2716"/>
      <c r="N33" s="2716"/>
      <c r="O33" s="2716"/>
      <c r="P33" s="3707" t="s">
        <v>1696</v>
      </c>
      <c r="Q33" s="3455" t="str">
        <f t="shared" si="11"/>
        <v>建筑类型</v>
      </c>
      <c r="R33" s="705" t="s">
        <v>14</v>
      </c>
      <c r="S33" s="706">
        <f t="shared" si="12"/>
        <v>100</v>
      </c>
      <c r="T33" s="705" t="s">
        <v>14</v>
      </c>
      <c r="U33" s="706">
        <f t="shared" si="13"/>
        <v>100</v>
      </c>
      <c r="V33" s="705" t="s">
        <v>14</v>
      </c>
      <c r="W33" s="706">
        <f t="shared" si="14"/>
        <v>100</v>
      </c>
      <c r="X33" s="3452"/>
      <c r="Y33" s="3710" t="s">
        <v>1696</v>
      </c>
      <c r="Z33" s="3453" t="str">
        <f t="shared" si="15"/>
        <v>建筑类型</v>
      </c>
      <c r="AA33" s="3456">
        <f t="shared" si="3"/>
        <v>1</v>
      </c>
      <c r="AB33" s="3456">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708"/>
      <c r="Q34" s="707" t="str">
        <f t="shared" si="11"/>
        <v>项目建筑规模</v>
      </c>
      <c r="R34" s="708" t="s">
        <v>14</v>
      </c>
      <c r="S34" s="709">
        <f t="shared" si="12"/>
        <v>100</v>
      </c>
      <c r="T34" s="708" t="s">
        <v>14</v>
      </c>
      <c r="U34" s="709">
        <f t="shared" si="13"/>
        <v>100</v>
      </c>
      <c r="V34" s="708" t="s">
        <v>14</v>
      </c>
      <c r="W34" s="709">
        <f t="shared" si="14"/>
        <v>100</v>
      </c>
      <c r="X34" s="710"/>
      <c r="Y34" s="3710"/>
      <c r="Z34" s="711" t="str">
        <f t="shared" si="15"/>
        <v>项目建筑规模</v>
      </c>
      <c r="AA34" s="3456">
        <f t="shared" si="3"/>
        <v>1</v>
      </c>
      <c r="AB34" s="3456">
        <f t="shared" si="4"/>
        <v>1</v>
      </c>
      <c r="AC34" s="1962">
        <f t="shared" si="5"/>
        <v>1</v>
      </c>
    </row>
    <row r="35" spans="1:29" ht="15">
      <c r="A35" s="423"/>
      <c r="B35" s="375" t="s">
        <v>1698</v>
      </c>
      <c r="C35" s="411" t="s">
        <v>3403</v>
      </c>
      <c r="D35" s="386">
        <v>100</v>
      </c>
      <c r="E35" s="411" t="s">
        <v>3403</v>
      </c>
      <c r="F35" s="412">
        <f>SUMIF(106:106,E35,107:107)-SUMIF(106:106,C35,107:107)+100</f>
        <v>100</v>
      </c>
      <c r="G35" s="411" t="s">
        <v>3403</v>
      </c>
      <c r="H35" s="386">
        <f>SUMIF(106:106,G35,107:107)-SUMIF(106:106,C35,107:107)+100</f>
        <v>100</v>
      </c>
      <c r="I35" s="411" t="s">
        <v>3403</v>
      </c>
      <c r="J35" s="386">
        <f>SUMIF(106:106,I35,107:107)-SUMIF(106:106,C35,107:107)+100</f>
        <v>100</v>
      </c>
      <c r="K35" s="561">
        <v>2</v>
      </c>
      <c r="L35" s="2722"/>
      <c r="M35" s="2716"/>
      <c r="N35" s="2716"/>
      <c r="O35" s="2716"/>
      <c r="P35" s="3708"/>
      <c r="Q35" s="3455" t="str">
        <f t="shared" si="11"/>
        <v>建筑结构</v>
      </c>
      <c r="R35" s="705" t="s">
        <v>14</v>
      </c>
      <c r="S35" s="706">
        <f t="shared" si="12"/>
        <v>100</v>
      </c>
      <c r="T35" s="705" t="s">
        <v>14</v>
      </c>
      <c r="U35" s="706">
        <f t="shared" si="13"/>
        <v>100</v>
      </c>
      <c r="V35" s="705" t="s">
        <v>14</v>
      </c>
      <c r="W35" s="706">
        <f t="shared" si="14"/>
        <v>100</v>
      </c>
      <c r="X35" s="3452"/>
      <c r="Y35" s="3710"/>
      <c r="Z35" s="3453" t="str">
        <f t="shared" si="15"/>
        <v>建筑结构</v>
      </c>
      <c r="AA35" s="3456">
        <f t="shared" si="3"/>
        <v>1</v>
      </c>
      <c r="AB35" s="3456">
        <f t="shared" si="4"/>
        <v>1</v>
      </c>
      <c r="AC35" s="1962">
        <f t="shared" si="5"/>
        <v>1</v>
      </c>
    </row>
    <row r="36" spans="1:29" ht="15">
      <c r="A36" s="423"/>
      <c r="B36" s="375" t="s">
        <v>1785</v>
      </c>
      <c r="C36" s="411" t="s">
        <v>3415</v>
      </c>
      <c r="D36" s="386">
        <v>100</v>
      </c>
      <c r="E36" s="411" t="s">
        <v>3415</v>
      </c>
      <c r="F36" s="412">
        <f>SUMIF(108:108,E36,109:109)-SUMIF(108:108,C36,109:109)+100</f>
        <v>100</v>
      </c>
      <c r="G36" s="411" t="s">
        <v>3415</v>
      </c>
      <c r="H36" s="386">
        <f>SUMIF(108:108,G36,109:109)-SUMIF(108:108,C36,109:109)+100</f>
        <v>100</v>
      </c>
      <c r="I36" s="411" t="s">
        <v>3415</v>
      </c>
      <c r="J36" s="386">
        <f>SUMIF(108:108,I36,109:109)-SUMIF(108:108,C36,109:109)+100</f>
        <v>100</v>
      </c>
      <c r="K36" s="561">
        <v>2</v>
      </c>
      <c r="L36" s="2722"/>
      <c r="M36" s="2716"/>
      <c r="N36" s="2716"/>
      <c r="O36" s="2716"/>
      <c r="P36" s="3708"/>
      <c r="Q36" s="3455" t="str">
        <f t="shared" si="11"/>
        <v>公共部分装修</v>
      </c>
      <c r="R36" s="705" t="s">
        <v>14</v>
      </c>
      <c r="S36" s="706">
        <f t="shared" si="12"/>
        <v>100</v>
      </c>
      <c r="T36" s="705" t="s">
        <v>14</v>
      </c>
      <c r="U36" s="706">
        <f t="shared" si="13"/>
        <v>100</v>
      </c>
      <c r="V36" s="705" t="s">
        <v>14</v>
      </c>
      <c r="W36" s="706">
        <f t="shared" si="14"/>
        <v>100</v>
      </c>
      <c r="X36" s="3452"/>
      <c r="Y36" s="3710"/>
      <c r="Z36" s="3453" t="str">
        <f t="shared" si="15"/>
        <v>公共部分装修</v>
      </c>
      <c r="AA36" s="3456">
        <f t="shared" si="3"/>
        <v>1</v>
      </c>
      <c r="AB36" s="3456">
        <f t="shared" si="4"/>
        <v>1</v>
      </c>
      <c r="AC36" s="1962">
        <f t="shared" si="5"/>
        <v>1</v>
      </c>
    </row>
    <row r="37" spans="1:29" ht="15">
      <c r="A37" s="423"/>
      <c r="B37" s="375" t="s">
        <v>1786</v>
      </c>
      <c r="C37" s="425">
        <f>'数据-取费表'!Y6</f>
        <v>0.92</v>
      </c>
      <c r="D37" s="386">
        <v>100</v>
      </c>
      <c r="E37" s="425">
        <f>1-(2023-E51)/60</f>
        <v>0.91666666666666663</v>
      </c>
      <c r="F37" s="412">
        <f>LOOKUP(E37,111:111,112:112)-LOOKUP(C37,111:111,112:112)+100</f>
        <v>100</v>
      </c>
      <c r="G37" s="425">
        <f>1-(2023-G51)/60</f>
        <v>0.83333333333333337</v>
      </c>
      <c r="H37" s="412">
        <f>LOOKUP(G37,111:111,112:112)-LOOKUP(C37,111:111,112:112)+100</f>
        <v>98</v>
      </c>
      <c r="I37" s="425">
        <f>1-(2023-I51)/60</f>
        <v>0.76666666666666661</v>
      </c>
      <c r="J37" s="386">
        <f>LOOKUP(I37,111:111,112:112)-LOOKUP(C37,111:111,112:112)+100</f>
        <v>96</v>
      </c>
      <c r="K37" s="561">
        <v>2</v>
      </c>
      <c r="L37" s="2722"/>
      <c r="M37" s="2716"/>
      <c r="N37" s="2716"/>
      <c r="O37" s="2716"/>
      <c r="P37" s="3708"/>
      <c r="Q37" s="3455" t="str">
        <f t="shared" si="11"/>
        <v>成新度</v>
      </c>
      <c r="R37" s="705" t="s">
        <v>14</v>
      </c>
      <c r="S37" s="706">
        <f t="shared" si="12"/>
        <v>100</v>
      </c>
      <c r="T37" s="705" t="s">
        <v>14</v>
      </c>
      <c r="U37" s="706">
        <f t="shared" si="13"/>
        <v>98</v>
      </c>
      <c r="V37" s="705" t="s">
        <v>14</v>
      </c>
      <c r="W37" s="706">
        <f t="shared" si="14"/>
        <v>96</v>
      </c>
      <c r="X37" s="3452"/>
      <c r="Y37" s="3710"/>
      <c r="Z37" s="3453" t="str">
        <f t="shared" si="15"/>
        <v>成新度</v>
      </c>
      <c r="AA37" s="3456">
        <f t="shared" si="3"/>
        <v>1</v>
      </c>
      <c r="AB37" s="3456">
        <f t="shared" si="4"/>
        <v>1.0204081632653061</v>
      </c>
      <c r="AC37" s="1962">
        <f t="shared" si="5"/>
        <v>1.0416666666666667</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8"/>
      <c r="Q38" s="3451" t="str">
        <f t="shared" si="11"/>
        <v>写字楼等级</v>
      </c>
      <c r="R38" s="701" t="s">
        <v>14</v>
      </c>
      <c r="S38" s="702">
        <f t="shared" si="12"/>
        <v>100</v>
      </c>
      <c r="T38" s="701" t="s">
        <v>14</v>
      </c>
      <c r="U38" s="702">
        <f t="shared" si="13"/>
        <v>100</v>
      </c>
      <c r="V38" s="701" t="s">
        <v>14</v>
      </c>
      <c r="W38" s="702">
        <f t="shared" si="14"/>
        <v>100</v>
      </c>
      <c r="X38" s="703"/>
      <c r="Y38" s="3710"/>
      <c r="Z38" s="3450"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8" t="s">
        <v>1696</v>
      </c>
      <c r="Q39" s="3455" t="str">
        <f t="shared" si="11"/>
        <v>物业管理</v>
      </c>
      <c r="R39" s="705" t="s">
        <v>14</v>
      </c>
      <c r="S39" s="706">
        <f t="shared" si="12"/>
        <v>100</v>
      </c>
      <c r="T39" s="705" t="s">
        <v>14</v>
      </c>
      <c r="U39" s="706">
        <f t="shared" si="13"/>
        <v>100</v>
      </c>
      <c r="V39" s="705" t="s">
        <v>14</v>
      </c>
      <c r="W39" s="706">
        <f t="shared" si="14"/>
        <v>100</v>
      </c>
      <c r="X39" s="3452"/>
      <c r="Y39" s="3710" t="s">
        <v>1696</v>
      </c>
      <c r="Z39" s="3453" t="str">
        <f t="shared" si="15"/>
        <v>物业管理</v>
      </c>
      <c r="AA39" s="3456">
        <f t="shared" si="3"/>
        <v>1</v>
      </c>
      <c r="AB39" s="3456">
        <f t="shared" si="4"/>
        <v>1</v>
      </c>
      <c r="AC39" s="1962">
        <f t="shared" si="5"/>
        <v>1</v>
      </c>
    </row>
    <row r="40" spans="1:29" ht="15">
      <c r="A40" s="423"/>
      <c r="B40" s="375" t="s">
        <v>1787</v>
      </c>
      <c r="C40" s="411" t="s">
        <v>3445</v>
      </c>
      <c r="D40" s="386">
        <v>100</v>
      </c>
      <c r="E40" s="411" t="s">
        <v>3429</v>
      </c>
      <c r="F40" s="412">
        <f>SUMIF(117:117,E40,118:118)-SUMIF(117:117,C40,118:118)+100</f>
        <v>101</v>
      </c>
      <c r="G40" s="411" t="s">
        <v>3447</v>
      </c>
      <c r="H40" s="386">
        <f>SUMIF(117:117,G40,118:118)-SUMIF(117:117,C40,118:118)+100</f>
        <v>99</v>
      </c>
      <c r="I40" s="411" t="s">
        <v>3447</v>
      </c>
      <c r="J40" s="386">
        <f>SUMIF(117:117,I40,118:118)-SUMIF(117:117,C40,118:118)+100</f>
        <v>99</v>
      </c>
      <c r="K40" s="561">
        <v>1</v>
      </c>
      <c r="L40" s="2722"/>
      <c r="M40" s="2716"/>
      <c r="N40" s="2716"/>
      <c r="O40" s="2716"/>
      <c r="P40" s="3708"/>
      <c r="Q40" s="3455" t="str">
        <f t="shared" si="11"/>
        <v>市政基础设施</v>
      </c>
      <c r="R40" s="705" t="s">
        <v>14</v>
      </c>
      <c r="S40" s="706">
        <f t="shared" si="12"/>
        <v>101</v>
      </c>
      <c r="T40" s="705" t="s">
        <v>14</v>
      </c>
      <c r="U40" s="706">
        <f t="shared" si="13"/>
        <v>99</v>
      </c>
      <c r="V40" s="705" t="s">
        <v>14</v>
      </c>
      <c r="W40" s="706">
        <f t="shared" si="14"/>
        <v>99</v>
      </c>
      <c r="X40" s="3452"/>
      <c r="Y40" s="3710"/>
      <c r="Z40" s="3453" t="str">
        <f t="shared" si="15"/>
        <v>市政基础设施</v>
      </c>
      <c r="AA40" s="3456">
        <f t="shared" si="3"/>
        <v>0.99009900990099009</v>
      </c>
      <c r="AB40" s="3456">
        <f t="shared" si="4"/>
        <v>1.0101010101010102</v>
      </c>
      <c r="AC40" s="1962">
        <f t="shared" si="5"/>
        <v>1.0101010101010102</v>
      </c>
    </row>
    <row r="41" spans="1:29" ht="15">
      <c r="A41" s="423"/>
      <c r="B41" s="375" t="s">
        <v>1789</v>
      </c>
      <c r="C41" s="565" t="s">
        <v>3422</v>
      </c>
      <c r="D41" s="386">
        <v>100</v>
      </c>
      <c r="E41" s="565" t="s">
        <v>3422</v>
      </c>
      <c r="F41" s="412">
        <f>SUMIF(119:119,E41,120:120)-SUMIF(119:119,C41,120:120)+100</f>
        <v>100</v>
      </c>
      <c r="G41" s="565" t="s">
        <v>3422</v>
      </c>
      <c r="H41" s="386">
        <f>SUMIF(119:119,G41,120:120)-SUMIF(119:119,C41,120:120)+100</f>
        <v>100</v>
      </c>
      <c r="I41" s="565" t="s">
        <v>3422</v>
      </c>
      <c r="J41" s="386">
        <f>SUMIF(119:119,I41,120:120)-SUMIF(119:119,C41,120:120)+100</f>
        <v>100</v>
      </c>
      <c r="K41" s="561">
        <v>2</v>
      </c>
      <c r="L41" s="2722"/>
      <c r="M41" s="2716"/>
      <c r="N41" s="2716"/>
      <c r="O41" s="2716"/>
      <c r="P41" s="3708"/>
      <c r="Q41" s="3455" t="str">
        <f t="shared" si="11"/>
        <v>层高</v>
      </c>
      <c r="R41" s="705" t="s">
        <v>14</v>
      </c>
      <c r="S41" s="706">
        <f t="shared" si="12"/>
        <v>100</v>
      </c>
      <c r="T41" s="705" t="s">
        <v>14</v>
      </c>
      <c r="U41" s="706">
        <f t="shared" si="13"/>
        <v>100</v>
      </c>
      <c r="V41" s="705" t="s">
        <v>14</v>
      </c>
      <c r="W41" s="706">
        <f t="shared" si="14"/>
        <v>100</v>
      </c>
      <c r="X41" s="3452"/>
      <c r="Y41" s="3710"/>
      <c r="Z41" s="3453" t="str">
        <f t="shared" si="15"/>
        <v>层高</v>
      </c>
      <c r="AA41" s="3456">
        <f t="shared" si="3"/>
        <v>1</v>
      </c>
      <c r="AB41" s="3456">
        <f t="shared" si="4"/>
        <v>1</v>
      </c>
      <c r="AC41" s="1962">
        <f t="shared" si="5"/>
        <v>1</v>
      </c>
    </row>
    <row r="42" spans="1:29" s="422" customFormat="1" ht="15">
      <c r="A42" s="419"/>
      <c r="B42" s="34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8"/>
      <c r="Q42" s="707" t="str">
        <f t="shared" si="11"/>
        <v>单套建筑面积</v>
      </c>
      <c r="R42" s="708" t="s">
        <v>14</v>
      </c>
      <c r="S42" s="709">
        <f t="shared" si="12"/>
        <v>100</v>
      </c>
      <c r="T42" s="708" t="s">
        <v>14</v>
      </c>
      <c r="U42" s="709">
        <f t="shared" si="13"/>
        <v>100</v>
      </c>
      <c r="V42" s="708" t="s">
        <v>14</v>
      </c>
      <c r="W42" s="709">
        <f t="shared" si="14"/>
        <v>100</v>
      </c>
      <c r="X42" s="710"/>
      <c r="Y42" s="3710"/>
      <c r="Z42" s="711" t="str">
        <f t="shared" si="15"/>
        <v>单套建筑面积</v>
      </c>
      <c r="AA42" s="3456">
        <f t="shared" si="3"/>
        <v>1</v>
      </c>
      <c r="AB42" s="3456">
        <f t="shared" si="4"/>
        <v>1</v>
      </c>
      <c r="AC42" s="1962">
        <f t="shared" si="5"/>
        <v>1</v>
      </c>
    </row>
    <row r="43" spans="1:29" ht="15">
      <c r="A43" s="423"/>
      <c r="B43" s="375" t="s">
        <v>1792</v>
      </c>
      <c r="C43" s="411" t="s">
        <v>3415</v>
      </c>
      <c r="D43" s="386">
        <v>100</v>
      </c>
      <c r="E43" s="411" t="s">
        <v>3415</v>
      </c>
      <c r="F43" s="412">
        <f>SUMIF(123:123,E43,124:124)-SUMIF(123:123,C43,124:124)+100</f>
        <v>100</v>
      </c>
      <c r="G43" s="411" t="s">
        <v>3419</v>
      </c>
      <c r="H43" s="386">
        <f>SUMIF(123:123,G43,124:124)-SUMIF(123:123,C43,124:124)+100</f>
        <v>96</v>
      </c>
      <c r="I43" s="411" t="s">
        <v>3419</v>
      </c>
      <c r="J43" s="386">
        <f>SUMIF(123:123,I43,124:124)-SUMIF(123:123,C43,124:124)+100</f>
        <v>96</v>
      </c>
      <c r="K43" s="561">
        <v>2</v>
      </c>
      <c r="L43" s="2722"/>
      <c r="M43" s="2716"/>
      <c r="N43" s="2716"/>
      <c r="O43" s="2716"/>
      <c r="P43" s="3708"/>
      <c r="Q43" s="3455" t="str">
        <f t="shared" si="11"/>
        <v>内部装修</v>
      </c>
      <c r="R43" s="705" t="s">
        <v>14</v>
      </c>
      <c r="S43" s="706">
        <f t="shared" si="12"/>
        <v>100</v>
      </c>
      <c r="T43" s="705" t="s">
        <v>14</v>
      </c>
      <c r="U43" s="706">
        <f t="shared" si="13"/>
        <v>96</v>
      </c>
      <c r="V43" s="705" t="s">
        <v>14</v>
      </c>
      <c r="W43" s="706">
        <f t="shared" si="14"/>
        <v>96</v>
      </c>
      <c r="X43" s="3452"/>
      <c r="Y43" s="3710"/>
      <c r="Z43" s="3453" t="str">
        <f t="shared" si="15"/>
        <v>内部装修</v>
      </c>
      <c r="AA43" s="3456">
        <f t="shared" si="3"/>
        <v>1</v>
      </c>
      <c r="AB43" s="3456">
        <f t="shared" si="4"/>
        <v>1.0416666666666667</v>
      </c>
      <c r="AC43" s="1962">
        <f t="shared" si="5"/>
        <v>1.0416666666666667</v>
      </c>
    </row>
    <row r="44" spans="1:29" ht="15">
      <c r="A44" s="423"/>
      <c r="B44" s="375" t="s">
        <v>1707</v>
      </c>
      <c r="C44" s="411" t="s">
        <v>3397</v>
      </c>
      <c r="D44" s="386">
        <v>100</v>
      </c>
      <c r="E44" s="411" t="s">
        <v>3397</v>
      </c>
      <c r="F44" s="412">
        <f>SUMIF(125:125,E44,126:126)-SUMIF(125:125,C44,126:126)+100</f>
        <v>100</v>
      </c>
      <c r="G44" s="411" t="s">
        <v>3397</v>
      </c>
      <c r="H44" s="386">
        <f>SUMIF(125:125,G44,126:126)-SUMIF(125:125,C44,126:126)+100</f>
        <v>100</v>
      </c>
      <c r="I44" s="411" t="s">
        <v>3397</v>
      </c>
      <c r="J44" s="386">
        <f>SUMIF(125:125,I44,126:126)-SUMIF(125:125,C44,126:126)+100</f>
        <v>100</v>
      </c>
      <c r="K44" s="561">
        <v>2</v>
      </c>
      <c r="L44" s="2722"/>
      <c r="M44" s="2716"/>
      <c r="N44" s="2716"/>
      <c r="O44" s="2716"/>
      <c r="P44" s="3708"/>
      <c r="Q44" s="3455" t="str">
        <f t="shared" si="11"/>
        <v>内部装修维护情况</v>
      </c>
      <c r="R44" s="705" t="s">
        <v>14</v>
      </c>
      <c r="S44" s="706">
        <f t="shared" si="12"/>
        <v>100</v>
      </c>
      <c r="T44" s="705" t="s">
        <v>14</v>
      </c>
      <c r="U44" s="706">
        <f t="shared" si="13"/>
        <v>100</v>
      </c>
      <c r="V44" s="705" t="s">
        <v>14</v>
      </c>
      <c r="W44" s="706">
        <f t="shared" si="14"/>
        <v>100</v>
      </c>
      <c r="X44" s="3452"/>
      <c r="Y44" s="3710"/>
      <c r="Z44" s="3453" t="str">
        <f t="shared" si="15"/>
        <v>内部装修维护情况</v>
      </c>
      <c r="AA44" s="3456">
        <f t="shared" si="3"/>
        <v>1</v>
      </c>
      <c r="AB44" s="3456">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8"/>
      <c r="Q45" s="3451">
        <f t="shared" si="11"/>
        <v>111</v>
      </c>
      <c r="R45" s="701" t="s">
        <v>14</v>
      </c>
      <c r="S45" s="702">
        <f t="shared" si="12"/>
        <v>100</v>
      </c>
      <c r="T45" s="701" t="s">
        <v>14</v>
      </c>
      <c r="U45" s="702">
        <f t="shared" si="13"/>
        <v>100</v>
      </c>
      <c r="V45" s="701" t="s">
        <v>14</v>
      </c>
      <c r="W45" s="702">
        <f t="shared" si="14"/>
        <v>100</v>
      </c>
      <c r="X45" s="703"/>
      <c r="Y45" s="3710"/>
      <c r="Z45" s="3450">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8"/>
      <c r="Q46" s="3455">
        <f t="shared" si="11"/>
        <v>111</v>
      </c>
      <c r="R46" s="705" t="s">
        <v>14</v>
      </c>
      <c r="S46" s="706">
        <f t="shared" si="12"/>
        <v>100</v>
      </c>
      <c r="T46" s="705" t="s">
        <v>14</v>
      </c>
      <c r="U46" s="706">
        <f t="shared" si="13"/>
        <v>100</v>
      </c>
      <c r="V46" s="705" t="s">
        <v>14</v>
      </c>
      <c r="W46" s="706">
        <f t="shared" si="14"/>
        <v>100</v>
      </c>
      <c r="X46" s="3452"/>
      <c r="Y46" s="3710"/>
      <c r="Z46" s="3453">
        <f t="shared" si="15"/>
        <v>111</v>
      </c>
      <c r="AA46" s="3456">
        <f t="shared" si="3"/>
        <v>1</v>
      </c>
      <c r="AB46" s="3456">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9"/>
      <c r="Q47" s="3455">
        <f t="shared" si="11"/>
        <v>111</v>
      </c>
      <c r="R47" s="705" t="s">
        <v>14</v>
      </c>
      <c r="S47" s="706">
        <f t="shared" si="12"/>
        <v>100</v>
      </c>
      <c r="T47" s="705" t="s">
        <v>14</v>
      </c>
      <c r="U47" s="706">
        <f t="shared" si="13"/>
        <v>100</v>
      </c>
      <c r="V47" s="705" t="s">
        <v>14</v>
      </c>
      <c r="W47" s="706">
        <f t="shared" si="14"/>
        <v>100</v>
      </c>
      <c r="X47" s="3452"/>
      <c r="Y47" s="3711"/>
      <c r="Z47" s="3453">
        <f t="shared" si="15"/>
        <v>111</v>
      </c>
      <c r="AA47" s="3456">
        <f t="shared" si="3"/>
        <v>1</v>
      </c>
      <c r="AB47" s="3456">
        <f t="shared" si="4"/>
        <v>1</v>
      </c>
      <c r="AC47" s="1962">
        <f t="shared" si="5"/>
        <v>1</v>
      </c>
    </row>
    <row r="48" spans="1:29" ht="15">
      <c r="A48" s="430" t="s">
        <v>1708</v>
      </c>
      <c r="B48" s="431"/>
      <c r="C48" s="1154" t="s">
        <v>0</v>
      </c>
      <c r="D48" s="1155"/>
      <c r="E48" s="1156">
        <v>4</v>
      </c>
      <c r="F48" s="1157"/>
      <c r="G48" s="1158">
        <v>4</v>
      </c>
      <c r="H48" s="1159"/>
      <c r="I48" s="1156">
        <v>3.8</v>
      </c>
      <c r="J48" s="436"/>
      <c r="K48" s="714"/>
      <c r="L48" s="2724"/>
      <c r="M48" s="2716"/>
      <c r="N48" s="2716"/>
      <c r="O48" s="2716"/>
      <c r="P48" s="3683" t="str">
        <f>A48</f>
        <v>成交单价（元/平方米）</v>
      </c>
      <c r="Q48" s="3712"/>
      <c r="R48" s="3713">
        <f>E48</f>
        <v>4</v>
      </c>
      <c r="S48" s="3713"/>
      <c r="T48" s="3713">
        <f>G48</f>
        <v>4</v>
      </c>
      <c r="U48" s="3713"/>
      <c r="V48" s="3713">
        <f>I48</f>
        <v>3.8</v>
      </c>
      <c r="W48" s="3713"/>
      <c r="X48" s="397"/>
      <c r="Y48" s="712"/>
      <c r="Z48" s="397"/>
      <c r="AA48" s="397"/>
      <c r="AB48" s="397"/>
      <c r="AC48" s="578"/>
    </row>
    <row r="49" spans="1:29" ht="15.75" thickBot="1">
      <c r="A49" s="437" t="s">
        <v>1793</v>
      </c>
      <c r="B49" s="438"/>
      <c r="C49" s="1160">
        <f>R50</f>
        <v>4</v>
      </c>
      <c r="D49" s="2317" t="s">
        <v>2138</v>
      </c>
      <c r="E49" s="1161">
        <f>R49</f>
        <v>3.9</v>
      </c>
      <c r="F49" s="2318"/>
      <c r="G49" s="1160">
        <f>T49</f>
        <v>4.0999999999999996</v>
      </c>
      <c r="H49" s="2318"/>
      <c r="I49" s="1161">
        <f>V49</f>
        <v>4</v>
      </c>
      <c r="J49" s="2318"/>
      <c r="K49" s="2320">
        <f>F49+H49+J49</f>
        <v>0</v>
      </c>
      <c r="L49" s="2724"/>
      <c r="M49" s="2716"/>
      <c r="N49" s="2716"/>
      <c r="O49" s="2716"/>
      <c r="P49" s="3683" t="str">
        <f>A49</f>
        <v>比较价值（元/平方米）</v>
      </c>
      <c r="Q49" s="3712"/>
      <c r="R49" s="3713">
        <f>IF(F1="售价",ROUND(PRODUCT(R48,AA7:AA47),0),ROUND(PRODUCT(R48,AA7:AA47),1))</f>
        <v>3.9</v>
      </c>
      <c r="S49" s="3713"/>
      <c r="T49" s="3713">
        <f>IF(F1="售价",ROUND(PRODUCT(T48,AB7:AB47),0),ROUND(PRODUCT(T48,AB7:AB47),1))</f>
        <v>4.0999999999999996</v>
      </c>
      <c r="U49" s="3713"/>
      <c r="V49" s="3713">
        <f>IF(F1="售价",ROUND(PRODUCT(V48,AC7:AC47),0),ROUND(PRODUCT(V48,AC7:AC47),1))</f>
        <v>4</v>
      </c>
      <c r="W49" s="3713"/>
      <c r="X49" s="397"/>
      <c r="Y49" s="397"/>
      <c r="Z49" s="397"/>
      <c r="AA49" s="397"/>
      <c r="AB49" s="397"/>
      <c r="AC49" s="578"/>
    </row>
    <row r="50" spans="1:29" ht="15.75" thickBot="1">
      <c r="A50" s="441" t="s">
        <v>1794</v>
      </c>
      <c r="B50" s="442"/>
      <c r="C50" s="1163">
        <f>R50</f>
        <v>4</v>
      </c>
      <c r="D50" s="1163"/>
      <c r="E50" s="1163"/>
      <c r="F50" s="1163"/>
      <c r="G50" s="1163"/>
      <c r="H50" s="1163"/>
      <c r="I50" s="1163"/>
      <c r="J50" s="443"/>
      <c r="K50" s="715"/>
      <c r="L50" s="2724"/>
      <c r="M50" s="2716"/>
      <c r="N50" s="2716"/>
      <c r="O50" s="2716"/>
      <c r="P50" s="3714" t="str">
        <f>A50</f>
        <v>估价对象XX用房的比较价值（楼面单价，元/平方米）</v>
      </c>
      <c r="Q50" s="3715"/>
      <c r="R50" s="3716">
        <f>IF(F1="售价",ROUND(IF(D49="简单平均",AVERAGE(R49:V49),R49*F49+T49*H49+V49*J49),0),ROUND(IF(D49="简单平均",AVERAGE(R49:V49),R49*F49+T49*H49+V49*J49),1))</f>
        <v>4</v>
      </c>
      <c r="S50" s="3716"/>
      <c r="T50" s="3716"/>
      <c r="U50" s="3716"/>
      <c r="V50" s="3716"/>
      <c r="W50" s="3716"/>
      <c r="X50" s="1946"/>
      <c r="Y50" s="1946"/>
      <c r="Z50" s="1946"/>
      <c r="AA50" s="1946"/>
      <c r="AB50" s="1946"/>
      <c r="AC50" s="1947"/>
    </row>
    <row r="51" spans="1:29">
      <c r="A51" s="2725"/>
      <c r="B51" s="2725"/>
      <c r="C51" s="2725"/>
      <c r="D51" s="2725"/>
      <c r="E51" s="2725">
        <v>2018</v>
      </c>
      <c r="F51" s="2725"/>
      <c r="G51" s="3463">
        <v>2013</v>
      </c>
      <c r="H51" s="2725"/>
      <c r="I51" s="2725">
        <v>2009</v>
      </c>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v>2009</v>
      </c>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2.5641025641025772E-2</v>
      </c>
      <c r="F53" s="449" t="str">
        <f>IF(OR(E53&gt;=0.3,E53&lt;=-0.3),"超过30%","")</f>
        <v/>
      </c>
      <c r="G53" s="448">
        <f>IF(G48&lt;G49,G49/G48-1,G48/G49-1)</f>
        <v>2.4999999999999911E-2</v>
      </c>
      <c r="H53" s="449" t="str">
        <f>IF(OR(G53&gt;=0.3,G53&lt;=-0.3),"超过30%","")</f>
        <v/>
      </c>
      <c r="I53" s="448">
        <f>IF(I48&lt;I49,I49/I48-1,I48/I49-1)</f>
        <v>5.2631578947368363E-2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5.1282051282051322E-2</v>
      </c>
      <c r="F54" s="449" t="str">
        <f>IF(OR(E54&gt;=0.2,E54&lt;=-0.2),"超过20%","")</f>
        <v/>
      </c>
      <c r="G54" s="448">
        <f>IF(G49&lt;I49,I49/G49-1,G49/I49-1)</f>
        <v>2.4999999999999911E-2</v>
      </c>
      <c r="H54" s="449" t="str">
        <f>IF(OR(G54&gt;=0.2,G54&lt;=-0.2),"超过20%","")</f>
        <v/>
      </c>
      <c r="I54" s="448">
        <f>IF(I49&lt;E49,E49/I49-1,I49/E49-1)</f>
        <v>2.5641025641025772E-2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5.2631578947368363E-2</v>
      </c>
      <c r="H55" s="449" t="str">
        <f>IF(OR(G55&gt;=0.3,G55&lt;=-0.3),"超过30%","")</f>
        <v/>
      </c>
      <c r="I55" s="448">
        <f>IF(I48&lt;E48,E48/I48-1,I48/E48-1)</f>
        <v>5.2631578947368363E-2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v>0</v>
      </c>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62" t="s">
        <v>3436</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商业</v>
      </c>
      <c r="D64" s="3460" t="s">
        <v>3434</v>
      </c>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100</v>
      </c>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3437</v>
      </c>
      <c r="D66" s="532" t="s">
        <v>3438</v>
      </c>
      <c r="E66" s="532" t="s">
        <v>3439</v>
      </c>
      <c r="F66" s="532" t="s">
        <v>3440</v>
      </c>
      <c r="G66" s="532" t="s">
        <v>3441</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104</v>
      </c>
      <c r="E67" s="485">
        <v>108</v>
      </c>
      <c r="F67" s="485">
        <v>112</v>
      </c>
      <c r="G67" s="485">
        <v>116</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8" t="s">
        <v>3425</v>
      </c>
      <c r="D89" s="3458" t="s">
        <v>3426</v>
      </c>
      <c r="E89" s="3458" t="s">
        <v>3428</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3431</v>
      </c>
      <c r="D101" s="3460" t="s">
        <v>3432</v>
      </c>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8" t="s">
        <v>3414</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8" t="s">
        <v>3416</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58" t="s">
        <v>3444</v>
      </c>
      <c r="D117" s="3458" t="s">
        <v>3446</v>
      </c>
      <c r="E117" s="3458" t="s">
        <v>3448</v>
      </c>
      <c r="F117" s="3458" t="s">
        <v>3449</v>
      </c>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59" t="s">
        <v>3423</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8" t="s">
        <v>3416</v>
      </c>
      <c r="D123" s="3458" t="s">
        <v>3418</v>
      </c>
      <c r="E123" s="3458" t="s">
        <v>3420</v>
      </c>
      <c r="F123" s="3459" t="s">
        <v>3421</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56" priority="20" stopIfTrue="1" operator="containsText" text="超过">
      <formula>NOT(ISERROR(SEARCH("超过",F53)))</formula>
    </cfRule>
  </conditionalFormatting>
  <conditionalFormatting sqref="H55">
    <cfRule type="containsText" dxfId="155" priority="19" stopIfTrue="1" operator="containsText" text="超过">
      <formula>NOT(ISERROR(SEARCH("超过",H55)))</formula>
    </cfRule>
  </conditionalFormatting>
  <conditionalFormatting sqref="F55">
    <cfRule type="containsText" dxfId="154" priority="18" stopIfTrue="1" operator="containsText" text="超过">
      <formula>NOT(ISERROR(SEARCH("超过",F55)))</formula>
    </cfRule>
  </conditionalFormatting>
  <conditionalFormatting sqref="F54 H54">
    <cfRule type="containsText" dxfId="153" priority="17" stopIfTrue="1" operator="containsText" text="超过">
      <formula>NOT(ISERROR(SEARCH("超过",F54)))</formula>
    </cfRule>
  </conditionalFormatting>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G55">
    <cfRule type="expression" dxfId="149" priority="13" stopIfTrue="1">
      <formula>$H$55="超过30%"</formula>
    </cfRule>
  </conditionalFormatting>
  <conditionalFormatting sqref="G53">
    <cfRule type="expression" dxfId="148" priority="12" stopIfTrue="1">
      <formula>$H$53="超过30%"</formula>
    </cfRule>
  </conditionalFormatting>
  <conditionalFormatting sqref="G54">
    <cfRule type="expression" dxfId="147" priority="11" stopIfTrue="1">
      <formula>$H$54="超过20%"</formula>
    </cfRule>
  </conditionalFormatting>
  <conditionalFormatting sqref="J53">
    <cfRule type="containsText" dxfId="146" priority="10" stopIfTrue="1" operator="containsText" text="超过">
      <formula>NOT(ISERROR(SEARCH("超过",J53)))</formula>
    </cfRule>
  </conditionalFormatting>
  <conditionalFormatting sqref="J55">
    <cfRule type="containsText" dxfId="145" priority="9" stopIfTrue="1" operator="containsText" text="超过">
      <formula>NOT(ISERROR(SEARCH("超过",J55)))</formula>
    </cfRule>
  </conditionalFormatting>
  <conditionalFormatting sqref="J54">
    <cfRule type="containsText" dxfId="144" priority="8" stopIfTrue="1" operator="containsText" text="超过">
      <formula>NOT(ISERROR(SEARCH("超过",J54)))</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F7:F47 H7:H47 J7:J47">
    <cfRule type="cellIs" dxfId="13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717" t="s">
        <v>2320</v>
      </c>
      <c r="K2" s="371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9" t="s">
        <v>2330</v>
      </c>
      <c r="K3" s="372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9" t="s">
        <v>2332</v>
      </c>
      <c r="K4" s="372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21" t="s">
        <v>2336</v>
      </c>
      <c r="B6" s="3722"/>
      <c r="C6" s="3723"/>
      <c r="D6" s="2870"/>
      <c r="E6" s="2871"/>
      <c r="F6" s="2872"/>
      <c r="G6" s="2873"/>
      <c r="H6" s="2848"/>
      <c r="I6" s="2849"/>
      <c r="J6" s="3724">
        <v>1</v>
      </c>
      <c r="K6" s="3725"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24"/>
      <c r="K7" s="3726"/>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28" t="s">
        <v>2350</v>
      </c>
      <c r="C8" s="3729"/>
      <c r="D8" s="2889" t="s">
        <v>2351</v>
      </c>
      <c r="E8" s="2890" t="s">
        <v>2352</v>
      </c>
      <c r="F8" s="2891" t="s">
        <v>2353</v>
      </c>
      <c r="G8" s="2892"/>
      <c r="H8" s="2848"/>
      <c r="I8" s="2849"/>
      <c r="J8" s="3724"/>
      <c r="K8" s="3726"/>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28" t="s">
        <v>2356</v>
      </c>
      <c r="C9" s="3729"/>
      <c r="D9" s="2889">
        <f>ROUND(D6*E9,0)</f>
        <v>0</v>
      </c>
      <c r="E9" s="2893"/>
      <c r="F9" s="2894" t="s">
        <v>2357</v>
      </c>
      <c r="G9" s="2873"/>
      <c r="H9" s="2848"/>
      <c r="I9" s="2849"/>
      <c r="J9" s="3724"/>
      <c r="K9" s="3726"/>
      <c r="L9" s="2883" t="s">
        <v>2358</v>
      </c>
      <c r="M9" s="2884"/>
      <c r="N9" s="2860"/>
      <c r="O9" s="2885"/>
      <c r="P9" s="2885"/>
      <c r="Q9" s="2886">
        <v>365</v>
      </c>
      <c r="R9" s="2887">
        <f t="shared" si="0"/>
        <v>0</v>
      </c>
      <c r="S9" s="2841"/>
      <c r="T9" s="2841"/>
      <c r="U9" s="2841"/>
      <c r="V9" s="2849"/>
    </row>
    <row r="10" spans="1:22" s="2853" customFormat="1" ht="13.15" customHeight="1">
      <c r="A10" s="2888">
        <v>2</v>
      </c>
      <c r="B10" s="3728" t="s">
        <v>2359</v>
      </c>
      <c r="C10" s="3729"/>
      <c r="D10" s="2889">
        <f>ROUND(D6*E10,0)</f>
        <v>0</v>
      </c>
      <c r="E10" s="2893"/>
      <c r="F10" s="2894" t="s">
        <v>2360</v>
      </c>
      <c r="G10" s="2873"/>
      <c r="H10" s="2848"/>
      <c r="I10" s="2849"/>
      <c r="J10" s="3724"/>
      <c r="K10" s="3726"/>
      <c r="L10" s="2883" t="s">
        <v>2361</v>
      </c>
      <c r="M10" s="2884"/>
      <c r="N10" s="2860"/>
      <c r="O10" s="2885"/>
      <c r="P10" s="2885"/>
      <c r="Q10" s="2886">
        <v>365</v>
      </c>
      <c r="R10" s="2887">
        <f t="shared" si="0"/>
        <v>0</v>
      </c>
      <c r="S10" s="2841"/>
      <c r="T10" s="2841"/>
      <c r="U10" s="2841"/>
      <c r="V10" s="2849"/>
    </row>
    <row r="11" spans="1:22" s="2853" customFormat="1" ht="13.15" customHeight="1">
      <c r="A11" s="2888">
        <v>3</v>
      </c>
      <c r="B11" s="3728" t="s">
        <v>2362</v>
      </c>
      <c r="C11" s="3729"/>
      <c r="D11" s="2889">
        <f>D12+D14+D15+D16</f>
        <v>0</v>
      </c>
      <c r="E11" s="2895" t="e">
        <f>D11/D6</f>
        <v>#DIV/0!</v>
      </c>
      <c r="F11" s="2891"/>
      <c r="G11" s="2892"/>
      <c r="H11" s="2848"/>
      <c r="I11" s="2849"/>
      <c r="J11" s="3724"/>
      <c r="K11" s="3726"/>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30" t="s">
        <v>2365</v>
      </c>
      <c r="C12" s="3731"/>
      <c r="D12" s="2897">
        <f>ROUND(D13*1.2%*(1-30%),0)</f>
        <v>0</v>
      </c>
      <c r="E12" s="2898">
        <v>1.2E-2</v>
      </c>
      <c r="F12" s="2891" t="s">
        <v>2366</v>
      </c>
      <c r="G12" s="2892"/>
      <c r="H12" s="2848"/>
      <c r="I12" s="2849"/>
      <c r="J12" s="3724"/>
      <c r="K12" s="3726"/>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24"/>
      <c r="K13" s="3726"/>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30" t="s">
        <v>2371</v>
      </c>
      <c r="C14" s="3731"/>
      <c r="D14" s="2897">
        <f>ROUND(E14*B5/10000,0)</f>
        <v>0</v>
      </c>
      <c r="E14" s="2886"/>
      <c r="F14" s="2891" t="s">
        <v>2372</v>
      </c>
      <c r="G14" s="2892"/>
      <c r="H14" s="2848"/>
      <c r="I14" s="2849"/>
      <c r="J14" s="3724"/>
      <c r="K14" s="3727"/>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30" t="s">
        <v>2375</v>
      </c>
      <c r="C15" s="3731"/>
      <c r="D15" s="2897">
        <f>ROUND(D6*E15,0)</f>
        <v>0</v>
      </c>
      <c r="E15" s="2898">
        <v>5.5E-2</v>
      </c>
      <c r="F15" s="2891" t="s">
        <v>2376</v>
      </c>
      <c r="G15" s="2873"/>
      <c r="H15" s="2848"/>
      <c r="I15" s="2849"/>
      <c r="J15" s="3724">
        <v>2</v>
      </c>
      <c r="K15" s="3725"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30" t="s">
        <v>2384</v>
      </c>
      <c r="C16" s="3731"/>
      <c r="D16" s="2908">
        <f>D6*E16</f>
        <v>0</v>
      </c>
      <c r="E16" s="2909"/>
      <c r="F16" s="2894" t="s">
        <v>2385</v>
      </c>
      <c r="G16" s="2873"/>
      <c r="H16" s="2848"/>
      <c r="I16" s="2849"/>
      <c r="J16" s="3724"/>
      <c r="K16" s="3726"/>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32" t="s">
        <v>2387</v>
      </c>
      <c r="C17" s="3733"/>
      <c r="D17" s="2911">
        <f>ROUND(D6*E17,0)</f>
        <v>0</v>
      </c>
      <c r="E17" s="2912"/>
      <c r="F17" s="2913" t="s">
        <v>2388</v>
      </c>
      <c r="G17" s="2873"/>
      <c r="H17" s="2848"/>
      <c r="I17" s="2849"/>
      <c r="J17" s="3724"/>
      <c r="K17" s="3726"/>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24"/>
      <c r="K18" s="3726"/>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24"/>
      <c r="K19" s="3727"/>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24">
        <v>3</v>
      </c>
      <c r="K20" s="3725"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24"/>
      <c r="K21" s="3726"/>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24"/>
      <c r="K22" s="3726"/>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24"/>
      <c r="K23" s="3726"/>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24"/>
      <c r="K24" s="3727"/>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34">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3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17" t="s">
        <v>2320</v>
      </c>
      <c r="K32" s="371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9" t="s">
        <v>2330</v>
      </c>
      <c r="K33" s="372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9" t="s">
        <v>2332</v>
      </c>
      <c r="K34" s="372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24">
        <v>1</v>
      </c>
      <c r="K36" s="3725"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24"/>
      <c r="K37" s="3726"/>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24"/>
      <c r="K38" s="3726"/>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24"/>
      <c r="K39" s="3726"/>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24"/>
      <c r="K40" s="3727"/>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34">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3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2072.8184000000001</v>
      </c>
      <c r="C2" s="1872" t="s">
        <v>1651</v>
      </c>
      <c r="D2" s="1873" t="s">
        <v>1652</v>
      </c>
      <c r="E2" s="2607">
        <f>SUM(E6:E13)</f>
        <v>1010.54</v>
      </c>
      <c r="F2" s="2707"/>
      <c r="G2" s="1489"/>
      <c r="H2" s="1489"/>
      <c r="I2" s="1489"/>
      <c r="J2" s="1489"/>
      <c r="K2" s="1489"/>
      <c r="L2" s="1489"/>
      <c r="M2" s="1489"/>
      <c r="N2" s="1489"/>
      <c r="O2" s="1489"/>
      <c r="P2" s="1489"/>
      <c r="Q2" s="1489"/>
      <c r="R2" s="1489"/>
      <c r="S2" s="1489"/>
    </row>
    <row r="3" spans="1:22" ht="15.75">
      <c r="A3" s="1870" t="s">
        <v>686</v>
      </c>
      <c r="B3" s="2601">
        <f ca="1">ROUND(B2*10000/E2,0)</f>
        <v>20512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6" t="s">
        <v>1654</v>
      </c>
      <c r="C5" s="373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2072.8184000000001</v>
      </c>
      <c r="C6" s="1872" t="s">
        <v>1651</v>
      </c>
      <c r="D6" s="2709"/>
      <c r="E6" s="2606">
        <f>IF(OR(A6=0,F6="否"),0,'数据-取费表'!K6+'数据-取费表'!S6)</f>
        <v>1010.54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1010.54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7" t="s">
        <v>1667</v>
      </c>
      <c r="D4" s="3688"/>
      <c r="E4" s="3689" t="s">
        <v>1668</v>
      </c>
      <c r="F4" s="3690"/>
      <c r="G4" s="3687" t="s">
        <v>1669</v>
      </c>
      <c r="H4" s="3688"/>
      <c r="I4" s="3687" t="s">
        <v>1670</v>
      </c>
      <c r="J4" s="3688"/>
      <c r="K4" s="1889" t="s">
        <v>1671</v>
      </c>
      <c r="L4" s="2715"/>
      <c r="M4" s="2716"/>
      <c r="N4" s="2716"/>
      <c r="O4" s="2716"/>
      <c r="P4" s="3742" t="s">
        <v>1672</v>
      </c>
      <c r="Q4" s="3743"/>
      <c r="R4" s="3739" t="s">
        <v>1668</v>
      </c>
      <c r="S4" s="3740"/>
      <c r="T4" s="3739" t="s">
        <v>1669</v>
      </c>
      <c r="U4" s="3740"/>
      <c r="V4" s="3700" t="s">
        <v>1670</v>
      </c>
      <c r="W4" s="3700"/>
      <c r="X4" s="1355"/>
      <c r="Y4" s="3739" t="s">
        <v>1672</v>
      </c>
      <c r="Z4" s="3740"/>
      <c r="AA4" s="3738" t="s">
        <v>1668</v>
      </c>
      <c r="AB4" s="3738" t="s">
        <v>1669</v>
      </c>
      <c r="AC4" s="3738" t="s">
        <v>1670</v>
      </c>
    </row>
    <row r="5" spans="1:29" ht="15">
      <c r="A5" s="358"/>
      <c r="B5" s="359"/>
      <c r="C5" s="3676" t="s">
        <v>1673</v>
      </c>
      <c r="D5" s="3677"/>
      <c r="E5" s="3741" t="s">
        <v>1674</v>
      </c>
      <c r="F5" s="3675"/>
      <c r="G5" s="3676" t="s">
        <v>1675</v>
      </c>
      <c r="H5" s="3677"/>
      <c r="I5" s="3676" t="s">
        <v>1676</v>
      </c>
      <c r="J5" s="3677"/>
      <c r="K5" s="1890"/>
      <c r="L5" s="2715"/>
      <c r="M5" s="2716"/>
      <c r="N5" s="2716"/>
      <c r="O5" s="2716"/>
      <c r="P5" s="3744"/>
      <c r="Q5" s="3694"/>
      <c r="R5" s="3672"/>
      <c r="S5" s="3673"/>
      <c r="T5" s="3672"/>
      <c r="U5" s="3673"/>
      <c r="V5" s="3700"/>
      <c r="W5" s="3700"/>
      <c r="X5" s="1355"/>
      <c r="Y5" s="3672"/>
      <c r="Z5" s="3673"/>
      <c r="AA5" s="3666"/>
      <c r="AB5" s="3666"/>
      <c r="AC5" s="3666"/>
    </row>
    <row r="6" spans="1:29" ht="15.75" thickBot="1">
      <c r="A6" s="360"/>
      <c r="B6" s="361"/>
      <c r="C6" s="3678" t="s">
        <v>1677</v>
      </c>
      <c r="D6" s="3679"/>
      <c r="E6" s="3681" t="s">
        <v>1677</v>
      </c>
      <c r="F6" s="3682"/>
      <c r="G6" s="3678" t="s">
        <v>1677</v>
      </c>
      <c r="H6" s="3679"/>
      <c r="I6" s="3678" t="s">
        <v>1677</v>
      </c>
      <c r="J6" s="3679"/>
      <c r="K6" s="1890" t="s">
        <v>1678</v>
      </c>
      <c r="L6" s="2715"/>
      <c r="M6" s="2716"/>
      <c r="N6" s="2716"/>
      <c r="O6" s="2716"/>
      <c r="P6" s="3745"/>
      <c r="Q6" s="3696"/>
      <c r="R6" s="3672"/>
      <c r="S6" s="3673"/>
      <c r="T6" s="3697"/>
      <c r="U6" s="3698"/>
      <c r="V6" s="3700"/>
      <c r="W6" s="3700"/>
      <c r="X6" s="1355"/>
      <c r="Y6" s="3697"/>
      <c r="Z6" s="3698"/>
      <c r="AA6" s="3667"/>
      <c r="AB6" s="3667"/>
      <c r="AC6" s="3667"/>
    </row>
    <row r="7" spans="1:29" s="108" customFormat="1" ht="15.75" thickBot="1">
      <c r="A7" s="362" t="s">
        <v>1679</v>
      </c>
      <c r="B7" s="363"/>
      <c r="C7" s="364">
        <f>'数据-取费表'!B2</f>
        <v>45000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8" t="s">
        <v>1680</v>
      </c>
      <c r="Q7" s="3702"/>
      <c r="R7" s="701" t="s">
        <v>20</v>
      </c>
      <c r="S7" s="702">
        <f t="shared" ref="S7:S15" si="0">F7</f>
        <v>0</v>
      </c>
      <c r="T7" s="701" t="s">
        <v>20</v>
      </c>
      <c r="U7" s="702">
        <f t="shared" ref="U7:U15" si="1">H7</f>
        <v>0</v>
      </c>
      <c r="V7" s="701" t="s">
        <v>20</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8" t="s">
        <v>1683</v>
      </c>
      <c r="Q8" s="3669"/>
      <c r="R8" s="701" t="s">
        <v>20</v>
      </c>
      <c r="S8" s="702">
        <f t="shared" si="0"/>
        <v>100</v>
      </c>
      <c r="T8" s="701" t="s">
        <v>20</v>
      </c>
      <c r="U8" s="702">
        <f t="shared" si="1"/>
        <v>100</v>
      </c>
      <c r="V8" s="701" t="s">
        <v>20</v>
      </c>
      <c r="W8" s="702">
        <f t="shared" si="2"/>
        <v>100</v>
      </c>
      <c r="X8" s="703"/>
      <c r="Y8" s="3668" t="s">
        <v>1683</v>
      </c>
      <c r="Z8" s="366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3"/>
      <c r="Q11" s="1343" t="str">
        <f t="shared" si="6"/>
        <v>容积率</v>
      </c>
      <c r="R11" s="701" t="s">
        <v>18</v>
      </c>
      <c r="S11" s="702" t="e">
        <f t="shared" si="0"/>
        <v>#N/A</v>
      </c>
      <c r="T11" s="701" t="s">
        <v>18</v>
      </c>
      <c r="U11" s="702" t="e">
        <f t="shared" si="1"/>
        <v>#N/A</v>
      </c>
      <c r="V11" s="701" t="s">
        <v>18</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3"/>
      <c r="Q12" s="1343">
        <f t="shared" si="6"/>
        <v>111</v>
      </c>
      <c r="R12" s="701" t="s">
        <v>18</v>
      </c>
      <c r="S12" s="702">
        <f t="shared" si="0"/>
        <v>100</v>
      </c>
      <c r="T12" s="701" t="s">
        <v>18</v>
      </c>
      <c r="U12" s="702">
        <f t="shared" si="1"/>
        <v>100</v>
      </c>
      <c r="V12" s="701" t="s">
        <v>18</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3"/>
      <c r="Q13" s="1343">
        <f t="shared" si="6"/>
        <v>111</v>
      </c>
      <c r="R13" s="701" t="s">
        <v>18</v>
      </c>
      <c r="S13" s="702">
        <f t="shared" si="0"/>
        <v>100</v>
      </c>
      <c r="T13" s="701" t="s">
        <v>18</v>
      </c>
      <c r="U13" s="702">
        <f t="shared" si="1"/>
        <v>100</v>
      </c>
      <c r="V13" s="701" t="s">
        <v>18</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3"/>
      <c r="Q14" s="1343">
        <f t="shared" si="6"/>
        <v>111</v>
      </c>
      <c r="R14" s="701" t="s">
        <v>18</v>
      </c>
      <c r="S14" s="702">
        <f t="shared" si="0"/>
        <v>100</v>
      </c>
      <c r="T14" s="701" t="s">
        <v>18</v>
      </c>
      <c r="U14" s="702">
        <f t="shared" si="1"/>
        <v>100</v>
      </c>
      <c r="V14" s="701" t="s">
        <v>18</v>
      </c>
      <c r="W14" s="702">
        <f t="shared" si="2"/>
        <v>100</v>
      </c>
      <c r="X14" s="703"/>
      <c r="Y14" s="362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3" t="s">
        <v>1691</v>
      </c>
      <c r="Q15" s="1352" t="str">
        <f t="shared" si="6"/>
        <v>居住社区成熟度</v>
      </c>
      <c r="R15" s="705" t="s">
        <v>18</v>
      </c>
      <c r="S15" s="706">
        <f t="shared" si="0"/>
        <v>100</v>
      </c>
      <c r="T15" s="705" t="s">
        <v>18</v>
      </c>
      <c r="U15" s="706">
        <f t="shared" si="1"/>
        <v>100</v>
      </c>
      <c r="V15" s="705" t="s">
        <v>18</v>
      </c>
      <c r="W15" s="706">
        <f t="shared" si="2"/>
        <v>100</v>
      </c>
      <c r="X15" s="1355"/>
      <c r="Y15" s="370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4"/>
      <c r="Q16" s="1352"/>
      <c r="R16" s="705"/>
      <c r="S16" s="706"/>
      <c r="T16" s="705"/>
      <c r="U16" s="706"/>
      <c r="V16" s="705"/>
      <c r="W16" s="706"/>
      <c r="X16" s="1355"/>
      <c r="Y16" s="370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4"/>
      <c r="Q17" s="1352" t="str">
        <f>B17</f>
        <v>交通便捷度</v>
      </c>
      <c r="R17" s="705" t="s">
        <v>18</v>
      </c>
      <c r="S17" s="706">
        <f>F17</f>
        <v>100</v>
      </c>
      <c r="T17" s="705" t="s">
        <v>18</v>
      </c>
      <c r="U17" s="706">
        <f>H17</f>
        <v>100</v>
      </c>
      <c r="V17" s="705" t="s">
        <v>18</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4"/>
      <c r="Q18" s="1352"/>
      <c r="R18" s="705"/>
      <c r="S18" s="706"/>
      <c r="T18" s="705"/>
      <c r="U18" s="706"/>
      <c r="V18" s="705"/>
      <c r="W18" s="706"/>
      <c r="X18" s="1355"/>
      <c r="Y18" s="370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4"/>
      <c r="Q19" s="1352" t="str">
        <f>B19</f>
        <v>公共配套设施</v>
      </c>
      <c r="R19" s="705" t="s">
        <v>18</v>
      </c>
      <c r="S19" s="706">
        <f>F19</f>
        <v>100</v>
      </c>
      <c r="T19" s="705" t="s">
        <v>18</v>
      </c>
      <c r="U19" s="706">
        <f>H19</f>
        <v>100</v>
      </c>
      <c r="V19" s="705" t="s">
        <v>18</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4"/>
      <c r="Q20" s="1352"/>
      <c r="R20" s="705"/>
      <c r="S20" s="706"/>
      <c r="T20" s="705"/>
      <c r="U20" s="706"/>
      <c r="V20" s="705"/>
      <c r="W20" s="706"/>
      <c r="X20" s="1355"/>
      <c r="Y20" s="370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4"/>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4"/>
      <c r="Q22" s="1352"/>
      <c r="R22" s="705"/>
      <c r="S22" s="706"/>
      <c r="T22" s="705"/>
      <c r="U22" s="706"/>
      <c r="V22" s="705"/>
      <c r="W22" s="706"/>
      <c r="X22" s="1355"/>
      <c r="Y22" s="370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4"/>
      <c r="Q23" s="1352" t="str">
        <f>B23</f>
        <v>自然及人文环境</v>
      </c>
      <c r="R23" s="705" t="s">
        <v>18</v>
      </c>
      <c r="S23" s="706">
        <f>F23</f>
        <v>100</v>
      </c>
      <c r="T23" s="705" t="s">
        <v>18</v>
      </c>
      <c r="U23" s="706">
        <f>H23</f>
        <v>100</v>
      </c>
      <c r="V23" s="705" t="s">
        <v>18</v>
      </c>
      <c r="W23" s="706">
        <f>J23</f>
        <v>100</v>
      </c>
      <c r="X23" s="1355"/>
      <c r="Y23" s="370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4"/>
      <c r="Q24" s="1352"/>
      <c r="R24" s="705"/>
      <c r="S24" s="706"/>
      <c r="T24" s="705"/>
      <c r="U24" s="706"/>
      <c r="V24" s="705"/>
      <c r="W24" s="706"/>
      <c r="X24" s="1355"/>
      <c r="Y24" s="370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4"/>
      <c r="Q26" s="1352" t="str">
        <f t="shared" si="11"/>
        <v>朝向</v>
      </c>
      <c r="R26" s="705" t="s">
        <v>18</v>
      </c>
      <c r="S26" s="706">
        <f t="shared" si="12"/>
        <v>100</v>
      </c>
      <c r="T26" s="705" t="s">
        <v>18</v>
      </c>
      <c r="U26" s="706">
        <f t="shared" si="13"/>
        <v>100</v>
      </c>
      <c r="V26" s="705" t="s">
        <v>18</v>
      </c>
      <c r="W26" s="706">
        <f t="shared" si="14"/>
        <v>100</v>
      </c>
      <c r="X26" s="1355"/>
      <c r="Y26" s="370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4"/>
      <c r="Q27" s="1343">
        <f t="shared" si="11"/>
        <v>111</v>
      </c>
      <c r="R27" s="701" t="s">
        <v>18</v>
      </c>
      <c r="S27" s="702">
        <f t="shared" si="12"/>
        <v>100</v>
      </c>
      <c r="T27" s="701" t="s">
        <v>18</v>
      </c>
      <c r="U27" s="702">
        <f t="shared" si="13"/>
        <v>100</v>
      </c>
      <c r="V27" s="701" t="s">
        <v>18</v>
      </c>
      <c r="W27" s="702">
        <f t="shared" si="14"/>
        <v>100</v>
      </c>
      <c r="X27" s="703"/>
      <c r="Y27" s="370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4"/>
      <c r="Q28" s="1352">
        <f t="shared" si="11"/>
        <v>111</v>
      </c>
      <c r="R28" s="705" t="s">
        <v>18</v>
      </c>
      <c r="S28" s="706">
        <f t="shared" si="12"/>
        <v>100</v>
      </c>
      <c r="T28" s="705" t="s">
        <v>18</v>
      </c>
      <c r="U28" s="706">
        <f t="shared" si="13"/>
        <v>100</v>
      </c>
      <c r="V28" s="705" t="s">
        <v>18</v>
      </c>
      <c r="W28" s="706">
        <f t="shared" si="14"/>
        <v>100</v>
      </c>
      <c r="X28" s="1355"/>
      <c r="Y28" s="370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4"/>
      <c r="Q29" s="1352">
        <f t="shared" si="11"/>
        <v>111</v>
      </c>
      <c r="R29" s="705" t="s">
        <v>18</v>
      </c>
      <c r="S29" s="706">
        <f t="shared" si="12"/>
        <v>100</v>
      </c>
      <c r="T29" s="705" t="s">
        <v>18</v>
      </c>
      <c r="U29" s="706">
        <f t="shared" si="13"/>
        <v>100</v>
      </c>
      <c r="V29" s="705" t="s">
        <v>18</v>
      </c>
      <c r="W29" s="706">
        <f t="shared" si="14"/>
        <v>100</v>
      </c>
      <c r="X29" s="1355"/>
      <c r="Y29" s="370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4"/>
      <c r="Q30" s="1352">
        <f t="shared" si="11"/>
        <v>111</v>
      </c>
      <c r="R30" s="705" t="s">
        <v>18</v>
      </c>
      <c r="S30" s="706">
        <f t="shared" si="12"/>
        <v>100</v>
      </c>
      <c r="T30" s="705" t="s">
        <v>18</v>
      </c>
      <c r="U30" s="706">
        <f t="shared" si="13"/>
        <v>100</v>
      </c>
      <c r="V30" s="705" t="s">
        <v>18</v>
      </c>
      <c r="W30" s="706">
        <f t="shared" si="14"/>
        <v>100</v>
      </c>
      <c r="X30" s="1355"/>
      <c r="Y30" s="370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4"/>
      <c r="Q31" s="1352">
        <f t="shared" si="11"/>
        <v>111</v>
      </c>
      <c r="R31" s="705" t="s">
        <v>18</v>
      </c>
      <c r="S31" s="706">
        <f t="shared" si="12"/>
        <v>100</v>
      </c>
      <c r="T31" s="705" t="s">
        <v>18</v>
      </c>
      <c r="U31" s="706">
        <f t="shared" si="13"/>
        <v>100</v>
      </c>
      <c r="V31" s="705" t="s">
        <v>18</v>
      </c>
      <c r="W31" s="706">
        <f t="shared" si="14"/>
        <v>100</v>
      </c>
      <c r="X31" s="1355"/>
      <c r="Y31" s="370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7" t="s">
        <v>1696</v>
      </c>
      <c r="Q32" s="1352" t="str">
        <f t="shared" si="11"/>
        <v>建筑类型</v>
      </c>
      <c r="R32" s="705" t="s">
        <v>18</v>
      </c>
      <c r="S32" s="706">
        <f t="shared" si="12"/>
        <v>100</v>
      </c>
      <c r="T32" s="705" t="s">
        <v>18</v>
      </c>
      <c r="U32" s="706">
        <f t="shared" si="13"/>
        <v>100</v>
      </c>
      <c r="V32" s="705" t="s">
        <v>18</v>
      </c>
      <c r="W32" s="706">
        <f t="shared" si="14"/>
        <v>100</v>
      </c>
      <c r="X32" s="1355"/>
      <c r="Y32" s="371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8"/>
      <c r="Q33" s="707" t="str">
        <f t="shared" si="11"/>
        <v>项目建筑规模</v>
      </c>
      <c r="R33" s="708" t="s">
        <v>18</v>
      </c>
      <c r="S33" s="709" t="e">
        <f t="shared" si="12"/>
        <v>#N/A</v>
      </c>
      <c r="T33" s="708" t="s">
        <v>18</v>
      </c>
      <c r="U33" s="709" t="e">
        <f t="shared" si="13"/>
        <v>#N/A</v>
      </c>
      <c r="V33" s="708" t="s">
        <v>18</v>
      </c>
      <c r="W33" s="709" t="e">
        <f t="shared" si="14"/>
        <v>#N/A</v>
      </c>
      <c r="X33" s="710"/>
      <c r="Y33" s="371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8"/>
      <c r="Q34" s="1352" t="str">
        <f t="shared" si="11"/>
        <v>建筑结构</v>
      </c>
      <c r="R34" s="705" t="s">
        <v>18</v>
      </c>
      <c r="S34" s="706">
        <f t="shared" si="12"/>
        <v>100</v>
      </c>
      <c r="T34" s="705" t="s">
        <v>18</v>
      </c>
      <c r="U34" s="706">
        <f t="shared" si="13"/>
        <v>100</v>
      </c>
      <c r="V34" s="705" t="s">
        <v>18</v>
      </c>
      <c r="W34" s="706">
        <f t="shared" si="14"/>
        <v>100</v>
      </c>
      <c r="X34" s="1355"/>
      <c r="Y34" s="371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8"/>
      <c r="Q35" s="1352" t="str">
        <f t="shared" si="11"/>
        <v>建筑品质</v>
      </c>
      <c r="R35" s="705" t="s">
        <v>18</v>
      </c>
      <c r="S35" s="706">
        <f t="shared" si="12"/>
        <v>100</v>
      </c>
      <c r="T35" s="705" t="s">
        <v>18</v>
      </c>
      <c r="U35" s="706">
        <f t="shared" si="13"/>
        <v>100</v>
      </c>
      <c r="V35" s="705" t="s">
        <v>18</v>
      </c>
      <c r="W35" s="706">
        <f t="shared" si="14"/>
        <v>100</v>
      </c>
      <c r="X35" s="1355"/>
      <c r="Y35" s="371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8"/>
      <c r="Q36" s="1352" t="str">
        <f t="shared" si="11"/>
        <v>公共部分装修</v>
      </c>
      <c r="R36" s="705" t="s">
        <v>18</v>
      </c>
      <c r="S36" s="706">
        <f t="shared" si="12"/>
        <v>100</v>
      </c>
      <c r="T36" s="705" t="s">
        <v>18</v>
      </c>
      <c r="U36" s="706">
        <f t="shared" si="13"/>
        <v>100</v>
      </c>
      <c r="V36" s="705" t="s">
        <v>18</v>
      </c>
      <c r="W36" s="706">
        <f t="shared" si="14"/>
        <v>100</v>
      </c>
      <c r="X36" s="1355"/>
      <c r="Y36" s="371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8"/>
      <c r="Q37" s="1343" t="str">
        <f t="shared" si="11"/>
        <v>成新度</v>
      </c>
      <c r="R37" s="701" t="s">
        <v>18</v>
      </c>
      <c r="S37" s="702" t="e">
        <f t="shared" si="12"/>
        <v>#N/A</v>
      </c>
      <c r="T37" s="701" t="s">
        <v>18</v>
      </c>
      <c r="U37" s="702" t="e">
        <f t="shared" si="13"/>
        <v>#N/A</v>
      </c>
      <c r="V37" s="701" t="s">
        <v>18</v>
      </c>
      <c r="W37" s="702" t="e">
        <f t="shared" si="14"/>
        <v>#N/A</v>
      </c>
      <c r="X37" s="703"/>
      <c r="Y37" s="371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8" t="s">
        <v>1696</v>
      </c>
      <c r="Q38" s="1352" t="str">
        <f t="shared" si="11"/>
        <v>物业管理</v>
      </c>
      <c r="R38" s="705" t="s">
        <v>18</v>
      </c>
      <c r="S38" s="706">
        <f t="shared" si="12"/>
        <v>100</v>
      </c>
      <c r="T38" s="705" t="s">
        <v>18</v>
      </c>
      <c r="U38" s="706">
        <f t="shared" si="13"/>
        <v>100</v>
      </c>
      <c r="V38" s="705" t="s">
        <v>18</v>
      </c>
      <c r="W38" s="706">
        <f t="shared" si="14"/>
        <v>100</v>
      </c>
      <c r="X38" s="1355"/>
      <c r="Y38" s="371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8"/>
      <c r="Q39" s="1352" t="str">
        <f t="shared" si="11"/>
        <v>市政基础设施</v>
      </c>
      <c r="R39" s="705" t="s">
        <v>18</v>
      </c>
      <c r="S39" s="706">
        <f t="shared" si="12"/>
        <v>100</v>
      </c>
      <c r="T39" s="705" t="s">
        <v>18</v>
      </c>
      <c r="U39" s="706">
        <f t="shared" si="13"/>
        <v>100</v>
      </c>
      <c r="V39" s="705" t="s">
        <v>18</v>
      </c>
      <c r="W39" s="706">
        <f t="shared" si="14"/>
        <v>100</v>
      </c>
      <c r="X39" s="1355"/>
      <c r="Y39" s="371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8"/>
      <c r="Q40" s="1352" t="str">
        <f t="shared" si="11"/>
        <v>房型</v>
      </c>
      <c r="R40" s="705" t="s">
        <v>18</v>
      </c>
      <c r="S40" s="706">
        <f t="shared" si="12"/>
        <v>100</v>
      </c>
      <c r="T40" s="705" t="s">
        <v>18</v>
      </c>
      <c r="U40" s="706">
        <f t="shared" si="13"/>
        <v>100</v>
      </c>
      <c r="V40" s="705" t="s">
        <v>18</v>
      </c>
      <c r="W40" s="706">
        <f t="shared" si="14"/>
        <v>100</v>
      </c>
      <c r="X40" s="1355"/>
      <c r="Y40" s="371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8"/>
      <c r="Q41" s="707" t="str">
        <f t="shared" si="11"/>
        <v>单套/主力户型建筑面积</v>
      </c>
      <c r="R41" s="708" t="s">
        <v>18</v>
      </c>
      <c r="S41" s="709">
        <f t="shared" si="12"/>
        <v>100</v>
      </c>
      <c r="T41" s="708" t="s">
        <v>18</v>
      </c>
      <c r="U41" s="709">
        <f t="shared" si="13"/>
        <v>100</v>
      </c>
      <c r="V41" s="708" t="s">
        <v>18</v>
      </c>
      <c r="W41" s="709">
        <f t="shared" si="14"/>
        <v>100</v>
      </c>
      <c r="X41" s="710"/>
      <c r="Y41" s="371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8"/>
      <c r="Q42" s="1352" t="str">
        <f t="shared" si="11"/>
        <v>内部装修</v>
      </c>
      <c r="R42" s="705" t="s">
        <v>18</v>
      </c>
      <c r="S42" s="706">
        <f t="shared" si="12"/>
        <v>100</v>
      </c>
      <c r="T42" s="705" t="s">
        <v>18</v>
      </c>
      <c r="U42" s="706">
        <f t="shared" si="13"/>
        <v>100</v>
      </c>
      <c r="V42" s="705" t="s">
        <v>18</v>
      </c>
      <c r="W42" s="706">
        <f t="shared" si="14"/>
        <v>100</v>
      </c>
      <c r="X42" s="1355"/>
      <c r="Y42" s="371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8"/>
      <c r="Q43" s="1352" t="str">
        <f t="shared" si="11"/>
        <v>内部装修维护情况</v>
      </c>
      <c r="R43" s="705" t="s">
        <v>18</v>
      </c>
      <c r="S43" s="706">
        <f t="shared" si="12"/>
        <v>100</v>
      </c>
      <c r="T43" s="705" t="s">
        <v>18</v>
      </c>
      <c r="U43" s="706">
        <f t="shared" si="13"/>
        <v>100</v>
      </c>
      <c r="V43" s="705" t="s">
        <v>18</v>
      </c>
      <c r="W43" s="706">
        <f t="shared" si="14"/>
        <v>100</v>
      </c>
      <c r="X43" s="1355"/>
      <c r="Y43" s="371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8"/>
      <c r="Q44" s="1343">
        <f t="shared" si="11"/>
        <v>111</v>
      </c>
      <c r="R44" s="701" t="s">
        <v>18</v>
      </c>
      <c r="S44" s="702">
        <f t="shared" si="12"/>
        <v>100</v>
      </c>
      <c r="T44" s="701" t="s">
        <v>18</v>
      </c>
      <c r="U44" s="702">
        <f t="shared" si="13"/>
        <v>100</v>
      </c>
      <c r="V44" s="701" t="s">
        <v>18</v>
      </c>
      <c r="W44" s="702">
        <f t="shared" si="14"/>
        <v>100</v>
      </c>
      <c r="X44" s="703"/>
      <c r="Y44" s="371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8"/>
      <c r="Q45" s="1352">
        <f t="shared" si="11"/>
        <v>111</v>
      </c>
      <c r="R45" s="705" t="s">
        <v>18</v>
      </c>
      <c r="S45" s="706">
        <f t="shared" si="12"/>
        <v>100</v>
      </c>
      <c r="T45" s="705" t="s">
        <v>18</v>
      </c>
      <c r="U45" s="706">
        <f t="shared" si="13"/>
        <v>100</v>
      </c>
      <c r="V45" s="705" t="s">
        <v>18</v>
      </c>
      <c r="W45" s="706">
        <f t="shared" si="14"/>
        <v>100</v>
      </c>
      <c r="X45" s="1355"/>
      <c r="Y45" s="371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9"/>
      <c r="Q46" s="1352">
        <f t="shared" si="11"/>
        <v>111</v>
      </c>
      <c r="R46" s="705" t="s">
        <v>17</v>
      </c>
      <c r="S46" s="706">
        <f t="shared" si="12"/>
        <v>100</v>
      </c>
      <c r="T46" s="705" t="s">
        <v>17</v>
      </c>
      <c r="U46" s="706">
        <f t="shared" si="13"/>
        <v>100</v>
      </c>
      <c r="V46" s="705" t="s">
        <v>17</v>
      </c>
      <c r="W46" s="706">
        <f t="shared" si="14"/>
        <v>100</v>
      </c>
      <c r="X46" s="1355"/>
      <c r="Y46" s="371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2" t="str">
        <f>A47</f>
        <v>成交单价（元/平方米）</v>
      </c>
      <c r="Q47" s="3712"/>
      <c r="R47" s="3713">
        <f>E47</f>
        <v>0</v>
      </c>
      <c r="S47" s="3713"/>
      <c r="T47" s="3713">
        <f>G47</f>
        <v>0</v>
      </c>
      <c r="U47" s="3713"/>
      <c r="V47" s="3713">
        <f>I47</f>
        <v>0</v>
      </c>
      <c r="W47" s="371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46" t="str">
        <f>A49</f>
        <v>估价对象XX用房的比较价值（楼面单价，元/平方米）</v>
      </c>
      <c r="Q49" s="3747"/>
      <c r="R49" s="3748" t="e">
        <f>IF(F1="售价",ROUND(IF(D48="简单平均",AVERAGE(R48:V48),R48*F48+T48*H48+V48*J48),0),ROUND(IF(D48="简单平均",AVERAGE(R48:V48),R48*F48+T48*H48+V48*J48),1))</f>
        <v>#DIV/0!</v>
      </c>
      <c r="S49" s="3748"/>
      <c r="T49" s="3748"/>
      <c r="U49" s="3748"/>
      <c r="V49" s="3748"/>
      <c r="W49" s="374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估价对象为北京市房地产，为所有。根据《国有土地使用证》[]，估价对象（分摊）出让国有建设用地使用权面积为0平方米，建筑面积为1010.54平方米。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估价对象为北京市房地产,属开发建设的，该项目尚在开发建设中。根据《国有土地使用证》[]，估价对象（分摊）出让国有建设用地使用权面积为0平方米，规划建筑面积为1010.54平方米。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2023年3月15日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1010.54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742" t="s">
        <v>1775</v>
      </c>
      <c r="Q4" s="3743"/>
      <c r="R4" s="3739" t="s">
        <v>1771</v>
      </c>
      <c r="S4" s="3740"/>
      <c r="T4" s="3739" t="s">
        <v>1772</v>
      </c>
      <c r="U4" s="3740"/>
      <c r="V4" s="3700" t="s">
        <v>1773</v>
      </c>
      <c r="W4" s="3700"/>
      <c r="X4" s="1355"/>
      <c r="Y4" s="3739" t="s">
        <v>1775</v>
      </c>
      <c r="Z4" s="3740"/>
      <c r="AA4" s="3738" t="s">
        <v>1771</v>
      </c>
      <c r="AB4" s="3700" t="s">
        <v>1772</v>
      </c>
      <c r="AC4" s="3738" t="s">
        <v>1773</v>
      </c>
    </row>
    <row r="5" spans="1:29" ht="15">
      <c r="A5" s="358"/>
      <c r="B5" s="359"/>
      <c r="C5" s="3676" t="s">
        <v>1673</v>
      </c>
      <c r="D5" s="3677"/>
      <c r="E5" s="3741" t="s">
        <v>1674</v>
      </c>
      <c r="F5" s="3675"/>
      <c r="G5" s="3676" t="s">
        <v>1675</v>
      </c>
      <c r="H5" s="3677"/>
      <c r="I5" s="3676" t="s">
        <v>1676</v>
      </c>
      <c r="J5" s="3677"/>
      <c r="K5" s="559"/>
      <c r="L5" s="2715"/>
      <c r="M5" s="2716"/>
      <c r="N5" s="2716"/>
      <c r="O5" s="2716"/>
      <c r="P5" s="3744"/>
      <c r="Q5" s="3694"/>
      <c r="R5" s="3672"/>
      <c r="S5" s="3673"/>
      <c r="T5" s="3672"/>
      <c r="U5" s="3673"/>
      <c r="V5" s="3700"/>
      <c r="W5" s="3700"/>
      <c r="X5" s="1355"/>
      <c r="Y5" s="3672"/>
      <c r="Z5" s="3673"/>
      <c r="AA5" s="3666"/>
      <c r="AB5" s="3700"/>
      <c r="AC5" s="3666"/>
    </row>
    <row r="6" spans="1:29" ht="15.75" thickBot="1">
      <c r="A6" s="360"/>
      <c r="B6" s="361"/>
      <c r="C6" s="3678" t="s">
        <v>1677</v>
      </c>
      <c r="D6" s="3679"/>
      <c r="E6" s="3681" t="s">
        <v>1677</v>
      </c>
      <c r="F6" s="3682"/>
      <c r="G6" s="3678" t="s">
        <v>1677</v>
      </c>
      <c r="H6" s="3679"/>
      <c r="I6" s="3678" t="s">
        <v>1677</v>
      </c>
      <c r="J6" s="3679"/>
      <c r="K6" s="559" t="s">
        <v>1678</v>
      </c>
      <c r="L6" s="2715"/>
      <c r="M6" s="2716"/>
      <c r="N6" s="2716"/>
      <c r="O6" s="2716"/>
      <c r="P6" s="3745"/>
      <c r="Q6" s="3696"/>
      <c r="R6" s="3672"/>
      <c r="S6" s="3673"/>
      <c r="T6" s="3697"/>
      <c r="U6" s="3698"/>
      <c r="V6" s="3700"/>
      <c r="W6" s="3700"/>
      <c r="X6" s="1355"/>
      <c r="Y6" s="3697"/>
      <c r="Z6" s="3698"/>
      <c r="AA6" s="3667"/>
      <c r="AB6" s="3700"/>
      <c r="AC6" s="3667"/>
    </row>
    <row r="7" spans="1:29" s="108" customFormat="1" ht="15.75" thickBot="1">
      <c r="A7" s="362" t="s">
        <v>1679</v>
      </c>
      <c r="B7" s="363"/>
      <c r="C7" s="364">
        <f>'数据-取费表'!B2</f>
        <v>45000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8" t="s">
        <v>1680</v>
      </c>
      <c r="Q7" s="3702"/>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3"/>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3" t="s">
        <v>1691</v>
      </c>
      <c r="Q15" s="1352" t="str">
        <f t="shared" si="6"/>
        <v>商业繁华度</v>
      </c>
      <c r="R15" s="705" t="s">
        <v>14</v>
      </c>
      <c r="S15" s="706">
        <f t="shared" si="0"/>
        <v>100</v>
      </c>
      <c r="T15" s="705" t="s">
        <v>14</v>
      </c>
      <c r="U15" s="706">
        <f t="shared" si="1"/>
        <v>100</v>
      </c>
      <c r="V15" s="705" t="s">
        <v>14</v>
      </c>
      <c r="W15" s="706">
        <f t="shared" si="2"/>
        <v>100</v>
      </c>
      <c r="X15" s="1355"/>
      <c r="Y15" s="370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4"/>
      <c r="Q16" s="1352"/>
      <c r="R16" s="705"/>
      <c r="S16" s="706"/>
      <c r="T16" s="705"/>
      <c r="U16" s="706"/>
      <c r="V16" s="705"/>
      <c r="W16" s="706"/>
      <c r="X16" s="1355"/>
      <c r="Y16" s="370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4"/>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4"/>
      <c r="Q18" s="1352"/>
      <c r="R18" s="705"/>
      <c r="S18" s="706"/>
      <c r="T18" s="705"/>
      <c r="U18" s="706"/>
      <c r="V18" s="705"/>
      <c r="W18" s="706"/>
      <c r="X18" s="1355"/>
      <c r="Y18" s="370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4"/>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4"/>
      <c r="Q20" s="1352"/>
      <c r="R20" s="705"/>
      <c r="S20" s="706"/>
      <c r="T20" s="705"/>
      <c r="U20" s="706"/>
      <c r="V20" s="705"/>
      <c r="W20" s="706"/>
      <c r="X20" s="1355"/>
      <c r="Y20" s="370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4"/>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4"/>
      <c r="Q22" s="1352"/>
      <c r="R22" s="705"/>
      <c r="S22" s="706"/>
      <c r="T22" s="705"/>
      <c r="U22" s="706"/>
      <c r="V22" s="705"/>
      <c r="W22" s="706"/>
      <c r="X22" s="1355"/>
      <c r="Y22" s="370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4"/>
      <c r="Q23" s="1352" t="str">
        <f>B23</f>
        <v>自然及人文环境</v>
      </c>
      <c r="R23" s="705" t="s">
        <v>14</v>
      </c>
      <c r="S23" s="706">
        <f>F23</f>
        <v>100</v>
      </c>
      <c r="T23" s="705" t="s">
        <v>14</v>
      </c>
      <c r="U23" s="706">
        <f>H23</f>
        <v>100</v>
      </c>
      <c r="V23" s="705" t="s">
        <v>14</v>
      </c>
      <c r="W23" s="706">
        <f>J23</f>
        <v>100</v>
      </c>
      <c r="X23" s="1355"/>
      <c r="Y23" s="370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4"/>
      <c r="Q24" s="1352"/>
      <c r="R24" s="705"/>
      <c r="S24" s="706"/>
      <c r="T24" s="705"/>
      <c r="U24" s="706"/>
      <c r="V24" s="705"/>
      <c r="W24" s="706"/>
      <c r="X24" s="1355"/>
      <c r="Y24" s="370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4"/>
      <c r="Q25" s="1352" t="str">
        <f t="shared" ref="Q25:Q46" si="11">B25</f>
        <v>临街状况</v>
      </c>
      <c r="R25" s="705" t="s">
        <v>14</v>
      </c>
      <c r="S25" s="706">
        <f>F25</f>
        <v>100</v>
      </c>
      <c r="T25" s="705" t="s">
        <v>14</v>
      </c>
      <c r="U25" s="706">
        <f>H25</f>
        <v>100</v>
      </c>
      <c r="V25" s="705" t="s">
        <v>14</v>
      </c>
      <c r="W25" s="706">
        <f>J25</f>
        <v>100</v>
      </c>
      <c r="X25" s="1355"/>
      <c r="Y25" s="370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4"/>
      <c r="Q26" s="1352" t="str">
        <f t="shared" si="11"/>
        <v>平面位置/可视性</v>
      </c>
      <c r="R26" s="705" t="s">
        <v>14</v>
      </c>
      <c r="S26" s="706">
        <f>F26</f>
        <v>100</v>
      </c>
      <c r="T26" s="705" t="s">
        <v>14</v>
      </c>
      <c r="U26" s="706">
        <f>H26</f>
        <v>100</v>
      </c>
      <c r="V26" s="705" t="s">
        <v>14</v>
      </c>
      <c r="W26" s="706">
        <f>J26</f>
        <v>100</v>
      </c>
      <c r="X26" s="1355"/>
      <c r="Y26" s="370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4"/>
      <c r="Q27" s="1343" t="str">
        <f t="shared" si="11"/>
        <v>人流量</v>
      </c>
      <c r="R27" s="701" t="s">
        <v>14</v>
      </c>
      <c r="S27" s="702">
        <f>F27</f>
        <v>100</v>
      </c>
      <c r="T27" s="701" t="s">
        <v>14</v>
      </c>
      <c r="U27" s="702">
        <f>H27</f>
        <v>100</v>
      </c>
      <c r="V27" s="701" t="s">
        <v>14</v>
      </c>
      <c r="W27" s="702">
        <f>J27</f>
        <v>100</v>
      </c>
      <c r="X27" s="703"/>
      <c r="Y27" s="370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4"/>
      <c r="Q29" s="1352">
        <f t="shared" si="11"/>
        <v>111</v>
      </c>
      <c r="R29" s="705" t="s">
        <v>14</v>
      </c>
      <c r="S29" s="706">
        <f t="shared" si="12"/>
        <v>100</v>
      </c>
      <c r="T29" s="705" t="s">
        <v>14</v>
      </c>
      <c r="U29" s="706">
        <f t="shared" si="13"/>
        <v>100</v>
      </c>
      <c r="V29" s="705" t="s">
        <v>14</v>
      </c>
      <c r="W29" s="706">
        <f t="shared" si="14"/>
        <v>100</v>
      </c>
      <c r="X29" s="1355"/>
      <c r="Y29" s="370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4"/>
      <c r="Q30" s="1352">
        <f t="shared" si="11"/>
        <v>111</v>
      </c>
      <c r="R30" s="705" t="s">
        <v>14</v>
      </c>
      <c r="S30" s="706">
        <f t="shared" si="12"/>
        <v>100</v>
      </c>
      <c r="T30" s="705" t="s">
        <v>14</v>
      </c>
      <c r="U30" s="706">
        <f t="shared" si="13"/>
        <v>100</v>
      </c>
      <c r="V30" s="705" t="s">
        <v>14</v>
      </c>
      <c r="W30" s="706">
        <f t="shared" si="14"/>
        <v>100</v>
      </c>
      <c r="X30" s="1355"/>
      <c r="Y30" s="370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4"/>
      <c r="Q31" s="1352">
        <f t="shared" si="11"/>
        <v>111</v>
      </c>
      <c r="R31" s="705" t="s">
        <v>14</v>
      </c>
      <c r="S31" s="706">
        <f t="shared" si="12"/>
        <v>100</v>
      </c>
      <c r="T31" s="705" t="s">
        <v>14</v>
      </c>
      <c r="U31" s="706">
        <f t="shared" si="13"/>
        <v>100</v>
      </c>
      <c r="V31" s="705" t="s">
        <v>14</v>
      </c>
      <c r="W31" s="706">
        <f t="shared" si="14"/>
        <v>100</v>
      </c>
      <c r="X31" s="1355"/>
      <c r="Y31" s="370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7" t="s">
        <v>1696</v>
      </c>
      <c r="Q32" s="1352" t="str">
        <f t="shared" si="11"/>
        <v>商业类型</v>
      </c>
      <c r="R32" s="705" t="s">
        <v>14</v>
      </c>
      <c r="S32" s="706">
        <f t="shared" si="12"/>
        <v>100</v>
      </c>
      <c r="T32" s="705" t="s">
        <v>14</v>
      </c>
      <c r="U32" s="706">
        <f t="shared" si="13"/>
        <v>100</v>
      </c>
      <c r="V32" s="705" t="s">
        <v>14</v>
      </c>
      <c r="W32" s="706">
        <f t="shared" si="14"/>
        <v>100</v>
      </c>
      <c r="X32" s="1355"/>
      <c r="Y32" s="371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8"/>
      <c r="Q33" s="707" t="str">
        <f t="shared" si="11"/>
        <v>项目建筑规模</v>
      </c>
      <c r="R33" s="708" t="s">
        <v>14</v>
      </c>
      <c r="S33" s="709" t="e">
        <f t="shared" si="12"/>
        <v>#N/A</v>
      </c>
      <c r="T33" s="708" t="s">
        <v>14</v>
      </c>
      <c r="U33" s="709" t="e">
        <f t="shared" si="13"/>
        <v>#N/A</v>
      </c>
      <c r="V33" s="708" t="s">
        <v>14</v>
      </c>
      <c r="W33" s="709" t="e">
        <f t="shared" si="14"/>
        <v>#N/A</v>
      </c>
      <c r="X33" s="710"/>
      <c r="Y33" s="371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8"/>
      <c r="Q34" s="1352" t="str">
        <f t="shared" si="11"/>
        <v>建筑结构</v>
      </c>
      <c r="R34" s="705" t="s">
        <v>14</v>
      </c>
      <c r="S34" s="706">
        <f t="shared" si="12"/>
        <v>100</v>
      </c>
      <c r="T34" s="705" t="s">
        <v>14</v>
      </c>
      <c r="U34" s="706">
        <f t="shared" si="13"/>
        <v>100</v>
      </c>
      <c r="V34" s="705" t="s">
        <v>14</v>
      </c>
      <c r="W34" s="706">
        <f t="shared" si="14"/>
        <v>100</v>
      </c>
      <c r="X34" s="1355"/>
      <c r="Y34" s="371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8"/>
      <c r="Q35" s="1352" t="str">
        <f t="shared" si="11"/>
        <v>公共部分装修</v>
      </c>
      <c r="R35" s="705" t="s">
        <v>14</v>
      </c>
      <c r="S35" s="706">
        <f t="shared" si="12"/>
        <v>100</v>
      </c>
      <c r="T35" s="705" t="s">
        <v>14</v>
      </c>
      <c r="U35" s="706">
        <f t="shared" si="13"/>
        <v>100</v>
      </c>
      <c r="V35" s="705" t="s">
        <v>14</v>
      </c>
      <c r="W35" s="706">
        <f t="shared" si="14"/>
        <v>100</v>
      </c>
      <c r="X35" s="1355"/>
      <c r="Y35" s="371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8"/>
      <c r="Q36" s="1352" t="str">
        <f t="shared" si="11"/>
        <v>成新度</v>
      </c>
      <c r="R36" s="705" t="s">
        <v>14</v>
      </c>
      <c r="S36" s="706" t="e">
        <f t="shared" si="12"/>
        <v>#N/A</v>
      </c>
      <c r="T36" s="705" t="s">
        <v>14</v>
      </c>
      <c r="U36" s="706" t="e">
        <f t="shared" si="13"/>
        <v>#N/A</v>
      </c>
      <c r="V36" s="705" t="s">
        <v>14</v>
      </c>
      <c r="W36" s="706" t="e">
        <f t="shared" si="14"/>
        <v>#N/A</v>
      </c>
      <c r="X36" s="1355"/>
      <c r="Y36" s="371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8"/>
      <c r="Q37" s="1343" t="str">
        <f t="shared" si="11"/>
        <v>市政基础设施</v>
      </c>
      <c r="R37" s="701" t="s">
        <v>14</v>
      </c>
      <c r="S37" s="702">
        <f t="shared" si="12"/>
        <v>100</v>
      </c>
      <c r="T37" s="701" t="s">
        <v>14</v>
      </c>
      <c r="U37" s="702">
        <f t="shared" si="13"/>
        <v>100</v>
      </c>
      <c r="V37" s="701" t="s">
        <v>14</v>
      </c>
      <c r="W37" s="702">
        <f t="shared" si="14"/>
        <v>100</v>
      </c>
      <c r="X37" s="703"/>
      <c r="Y37" s="371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8" t="s">
        <v>1696</v>
      </c>
      <c r="Q38" s="1352" t="str">
        <f t="shared" si="11"/>
        <v>业态</v>
      </c>
      <c r="R38" s="705" t="s">
        <v>14</v>
      </c>
      <c r="S38" s="706">
        <f t="shared" si="12"/>
        <v>100</v>
      </c>
      <c r="T38" s="705" t="s">
        <v>14</v>
      </c>
      <c r="U38" s="706">
        <f t="shared" si="13"/>
        <v>100</v>
      </c>
      <c r="V38" s="705" t="s">
        <v>14</v>
      </c>
      <c r="W38" s="706">
        <f t="shared" si="14"/>
        <v>100</v>
      </c>
      <c r="X38" s="1355"/>
      <c r="Y38" s="371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8"/>
      <c r="Q39" s="1352" t="str">
        <f t="shared" si="11"/>
        <v>层高</v>
      </c>
      <c r="R39" s="705" t="s">
        <v>14</v>
      </c>
      <c r="S39" s="706">
        <f t="shared" si="12"/>
        <v>100</v>
      </c>
      <c r="T39" s="705" t="s">
        <v>14</v>
      </c>
      <c r="U39" s="706">
        <f t="shared" si="13"/>
        <v>100</v>
      </c>
      <c r="V39" s="705" t="s">
        <v>14</v>
      </c>
      <c r="W39" s="706">
        <f t="shared" si="14"/>
        <v>100</v>
      </c>
      <c r="X39" s="1355"/>
      <c r="Y39" s="371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8"/>
      <c r="Q40" s="1352" t="str">
        <f t="shared" si="11"/>
        <v>单套建筑面积</v>
      </c>
      <c r="R40" s="705" t="s">
        <v>14</v>
      </c>
      <c r="S40" s="706">
        <f t="shared" si="12"/>
        <v>100</v>
      </c>
      <c r="T40" s="705" t="s">
        <v>14</v>
      </c>
      <c r="U40" s="706">
        <f t="shared" si="13"/>
        <v>100</v>
      </c>
      <c r="V40" s="705" t="s">
        <v>14</v>
      </c>
      <c r="W40" s="706">
        <f t="shared" si="14"/>
        <v>100</v>
      </c>
      <c r="X40" s="1355"/>
      <c r="Y40" s="371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8"/>
      <c r="Q41" s="707" t="str">
        <f t="shared" si="11"/>
        <v>进深比</v>
      </c>
      <c r="R41" s="708" t="s">
        <v>14</v>
      </c>
      <c r="S41" s="709">
        <f t="shared" si="12"/>
        <v>100</v>
      </c>
      <c r="T41" s="708" t="s">
        <v>14</v>
      </c>
      <c r="U41" s="709">
        <f t="shared" si="13"/>
        <v>100</v>
      </c>
      <c r="V41" s="708" t="s">
        <v>14</v>
      </c>
      <c r="W41" s="709">
        <f t="shared" si="14"/>
        <v>100</v>
      </c>
      <c r="X41" s="710"/>
      <c r="Y41" s="371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8"/>
      <c r="Q42" s="1352" t="str">
        <f t="shared" si="11"/>
        <v>内部装修</v>
      </c>
      <c r="R42" s="705" t="s">
        <v>14</v>
      </c>
      <c r="S42" s="706">
        <f t="shared" si="12"/>
        <v>100</v>
      </c>
      <c r="T42" s="705" t="s">
        <v>14</v>
      </c>
      <c r="U42" s="706">
        <f t="shared" si="13"/>
        <v>100</v>
      </c>
      <c r="V42" s="705" t="s">
        <v>14</v>
      </c>
      <c r="W42" s="706">
        <f t="shared" si="14"/>
        <v>100</v>
      </c>
      <c r="X42" s="1355"/>
      <c r="Y42" s="371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8"/>
      <c r="Q43" s="1352" t="str">
        <f t="shared" si="11"/>
        <v>内部装修维护情况</v>
      </c>
      <c r="R43" s="705" t="s">
        <v>14</v>
      </c>
      <c r="S43" s="706">
        <f t="shared" si="12"/>
        <v>100</v>
      </c>
      <c r="T43" s="705" t="s">
        <v>14</v>
      </c>
      <c r="U43" s="706">
        <f t="shared" si="13"/>
        <v>100</v>
      </c>
      <c r="V43" s="705" t="s">
        <v>14</v>
      </c>
      <c r="W43" s="706">
        <f t="shared" si="14"/>
        <v>100</v>
      </c>
      <c r="X43" s="1355"/>
      <c r="Y43" s="371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8"/>
      <c r="Q44" s="1343">
        <f t="shared" si="11"/>
        <v>111</v>
      </c>
      <c r="R44" s="701" t="s">
        <v>14</v>
      </c>
      <c r="S44" s="702">
        <f t="shared" si="12"/>
        <v>100</v>
      </c>
      <c r="T44" s="701" t="s">
        <v>14</v>
      </c>
      <c r="U44" s="702">
        <f t="shared" si="13"/>
        <v>100</v>
      </c>
      <c r="V44" s="701" t="s">
        <v>14</v>
      </c>
      <c r="W44" s="702">
        <f t="shared" si="14"/>
        <v>100</v>
      </c>
      <c r="X44" s="703"/>
      <c r="Y44" s="371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8"/>
      <c r="Q45" s="1352">
        <f t="shared" si="11"/>
        <v>111</v>
      </c>
      <c r="R45" s="705" t="s">
        <v>14</v>
      </c>
      <c r="S45" s="706">
        <f t="shared" si="12"/>
        <v>100</v>
      </c>
      <c r="T45" s="705" t="s">
        <v>14</v>
      </c>
      <c r="U45" s="706">
        <f t="shared" si="13"/>
        <v>100</v>
      </c>
      <c r="V45" s="705" t="s">
        <v>14</v>
      </c>
      <c r="W45" s="706">
        <f t="shared" si="14"/>
        <v>100</v>
      </c>
      <c r="X45" s="1355"/>
      <c r="Y45" s="371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2" t="str">
        <f>A47</f>
        <v>成交单价（元/平方米）</v>
      </c>
      <c r="Q47" s="3712"/>
      <c r="R47" s="3700">
        <f>E47</f>
        <v>0</v>
      </c>
      <c r="S47" s="3700"/>
      <c r="T47" s="3700">
        <f>G47</f>
        <v>0</v>
      </c>
      <c r="U47" s="3700"/>
      <c r="V47" s="3700">
        <f>I47</f>
        <v>0</v>
      </c>
      <c r="W47" s="370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46" t="str">
        <f>A49</f>
        <v>估价对象XX用房的比较价值（楼面单价，元/平方米）</v>
      </c>
      <c r="Q49" s="3747"/>
      <c r="R49" s="3748" t="e">
        <f>IF(F1="售价",ROUND(IF(D48="简单平均",AVERAGE(R48:V48),R48*F48+T48*H48+V48*J48),0),ROUND(IF(D48="简单平均",AVERAGE(R48:V48),R48*F48+T48*H48+V48*J48),1))</f>
        <v>#DIV/0!</v>
      </c>
      <c r="S49" s="3748"/>
      <c r="T49" s="3748"/>
      <c r="U49" s="3748"/>
      <c r="V49" s="3748"/>
      <c r="W49" s="374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1010.54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913"/>
      <c r="M4" s="914"/>
      <c r="N4" s="914"/>
      <c r="O4" s="914"/>
      <c r="P4" s="3742" t="s">
        <v>1775</v>
      </c>
      <c r="Q4" s="3743"/>
      <c r="R4" s="3739" t="s">
        <v>1771</v>
      </c>
      <c r="S4" s="3740"/>
      <c r="T4" s="3739" t="s">
        <v>1772</v>
      </c>
      <c r="U4" s="3740"/>
      <c r="V4" s="3700" t="s">
        <v>1773</v>
      </c>
      <c r="W4" s="3700"/>
      <c r="X4" s="1355"/>
      <c r="Y4" s="3739" t="s">
        <v>1775</v>
      </c>
      <c r="Z4" s="3740"/>
      <c r="AA4" s="3738" t="s">
        <v>1771</v>
      </c>
      <c r="AB4" s="3666" t="s">
        <v>1772</v>
      </c>
      <c r="AC4" s="3738" t="s">
        <v>1773</v>
      </c>
    </row>
    <row r="5" spans="1:29" ht="15">
      <c r="A5" s="358"/>
      <c r="B5" s="359"/>
      <c r="C5" s="3676" t="s">
        <v>1673</v>
      </c>
      <c r="D5" s="3677"/>
      <c r="E5" s="3741" t="s">
        <v>1674</v>
      </c>
      <c r="F5" s="3675"/>
      <c r="G5" s="3676" t="s">
        <v>1675</v>
      </c>
      <c r="H5" s="3677"/>
      <c r="I5" s="3676" t="s">
        <v>1676</v>
      </c>
      <c r="J5" s="3677"/>
      <c r="K5" s="559"/>
      <c r="L5" s="913"/>
      <c r="M5" s="914"/>
      <c r="N5" s="914"/>
      <c r="O5" s="914"/>
      <c r="P5" s="3744"/>
      <c r="Q5" s="3694"/>
      <c r="R5" s="3672"/>
      <c r="S5" s="3673"/>
      <c r="T5" s="3672"/>
      <c r="U5" s="3673"/>
      <c r="V5" s="3700"/>
      <c r="W5" s="3700"/>
      <c r="X5" s="1355"/>
      <c r="Y5" s="3672"/>
      <c r="Z5" s="3673"/>
      <c r="AA5" s="3666"/>
      <c r="AB5" s="3666"/>
      <c r="AC5" s="3666"/>
    </row>
    <row r="6" spans="1:29" ht="15.75" thickBot="1">
      <c r="A6" s="360"/>
      <c r="B6" s="361"/>
      <c r="C6" s="3678" t="s">
        <v>1677</v>
      </c>
      <c r="D6" s="3679"/>
      <c r="E6" s="3681" t="s">
        <v>1677</v>
      </c>
      <c r="F6" s="3682"/>
      <c r="G6" s="3678" t="s">
        <v>1677</v>
      </c>
      <c r="H6" s="3679"/>
      <c r="I6" s="3678" t="s">
        <v>1677</v>
      </c>
      <c r="J6" s="3679"/>
      <c r="K6" s="559" t="s">
        <v>1678</v>
      </c>
      <c r="L6" s="913"/>
      <c r="M6" s="914"/>
      <c r="N6" s="914"/>
      <c r="O6" s="914"/>
      <c r="P6" s="3745"/>
      <c r="Q6" s="3696"/>
      <c r="R6" s="3672"/>
      <c r="S6" s="3673"/>
      <c r="T6" s="3697"/>
      <c r="U6" s="3698"/>
      <c r="V6" s="3700"/>
      <c r="W6" s="3700"/>
      <c r="X6" s="1355"/>
      <c r="Y6" s="3697"/>
      <c r="Z6" s="3698"/>
      <c r="AA6" s="3667"/>
      <c r="AB6" s="3667"/>
      <c r="AC6" s="3667"/>
    </row>
    <row r="7" spans="1:29" s="108" customFormat="1" ht="15.75" thickBot="1">
      <c r="A7" s="362" t="s">
        <v>1679</v>
      </c>
      <c r="B7" s="363"/>
      <c r="C7" s="364">
        <f>'数据-取费表'!B2</f>
        <v>45000</v>
      </c>
      <c r="D7" s="365">
        <v>100</v>
      </c>
      <c r="E7" s="366"/>
      <c r="F7" s="367">
        <f>SUMIF(52:52,YEAR(E7)&amp;"-"&amp;MONTH(E7),53:53)</f>
        <v>0</v>
      </c>
      <c r="G7" s="366"/>
      <c r="H7" s="365">
        <f>SUMIF(52:52,YEAR(G7)&amp;"-"&amp;MONTH(G7),53:53)</f>
        <v>0</v>
      </c>
      <c r="I7" s="366"/>
      <c r="J7" s="365">
        <f>SUMIF(52:52,YEAR(I7)&amp;"-"&amp;MONTH(I7),53:53)</f>
        <v>0</v>
      </c>
      <c r="K7" s="560"/>
      <c r="L7" s="915"/>
      <c r="M7" s="916"/>
      <c r="N7" s="916"/>
      <c r="O7" s="916"/>
      <c r="P7" s="3668" t="s">
        <v>1680</v>
      </c>
      <c r="Q7" s="3702"/>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8" t="s">
        <v>1683</v>
      </c>
      <c r="Q8" s="3669"/>
      <c r="R8" s="701" t="s">
        <v>14</v>
      </c>
      <c r="S8" s="702">
        <f t="shared" si="0"/>
        <v>100</v>
      </c>
      <c r="T8" s="701" t="s">
        <v>14</v>
      </c>
      <c r="U8" s="702">
        <f t="shared" si="1"/>
        <v>100</v>
      </c>
      <c r="V8" s="701" t="s">
        <v>14</v>
      </c>
      <c r="W8" s="702">
        <f t="shared" si="2"/>
        <v>100</v>
      </c>
      <c r="X8" s="703"/>
      <c r="Y8" s="3668" t="s">
        <v>1683</v>
      </c>
      <c r="Z8" s="366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2"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2"/>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2"/>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2"/>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2"/>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2"/>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5" t="s">
        <v>1691</v>
      </c>
      <c r="Q15" s="1352" t="str">
        <f t="shared" si="6"/>
        <v>产业集聚程度</v>
      </c>
      <c r="R15" s="705" t="s">
        <v>14</v>
      </c>
      <c r="S15" s="706">
        <f t="shared" si="0"/>
        <v>100</v>
      </c>
      <c r="T15" s="705" t="s">
        <v>14</v>
      </c>
      <c r="U15" s="706">
        <f t="shared" si="1"/>
        <v>100</v>
      </c>
      <c r="V15" s="705" t="s">
        <v>14</v>
      </c>
      <c r="W15" s="706">
        <f t="shared" si="2"/>
        <v>100</v>
      </c>
      <c r="X15" s="1355"/>
      <c r="Y15" s="370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6"/>
      <c r="Q16" s="1352"/>
      <c r="R16" s="705"/>
      <c r="S16" s="706"/>
      <c r="T16" s="705"/>
      <c r="U16" s="706"/>
      <c r="V16" s="705"/>
      <c r="W16" s="706"/>
      <c r="X16" s="1355"/>
      <c r="Y16" s="370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6"/>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6"/>
      <c r="Q18" s="1352"/>
      <c r="R18" s="705"/>
      <c r="S18" s="706"/>
      <c r="T18" s="705"/>
      <c r="U18" s="706"/>
      <c r="V18" s="705"/>
      <c r="W18" s="706"/>
      <c r="X18" s="1355"/>
      <c r="Y18" s="370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6"/>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6"/>
      <c r="Q20" s="1352"/>
      <c r="R20" s="705"/>
      <c r="S20" s="706"/>
      <c r="T20" s="705"/>
      <c r="U20" s="706"/>
      <c r="V20" s="705"/>
      <c r="W20" s="706"/>
      <c r="X20" s="1355"/>
      <c r="Y20" s="370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6"/>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6"/>
      <c r="Q22" s="1352"/>
      <c r="R22" s="705"/>
      <c r="S22" s="706"/>
      <c r="T22" s="705"/>
      <c r="U22" s="706"/>
      <c r="V22" s="705"/>
      <c r="W22" s="706"/>
      <c r="X22" s="1355"/>
      <c r="Y22" s="370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6"/>
      <c r="Q23" s="1352" t="str">
        <f>B23</f>
        <v>环境质量</v>
      </c>
      <c r="R23" s="705" t="s">
        <v>14</v>
      </c>
      <c r="S23" s="706">
        <f>F23</f>
        <v>100</v>
      </c>
      <c r="T23" s="705" t="s">
        <v>14</v>
      </c>
      <c r="U23" s="706">
        <f>H23</f>
        <v>100</v>
      </c>
      <c r="V23" s="705" t="s">
        <v>14</v>
      </c>
      <c r="W23" s="706">
        <f>J23</f>
        <v>100</v>
      </c>
      <c r="X23" s="1355"/>
      <c r="Y23" s="370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6"/>
      <c r="Q24" s="1352"/>
      <c r="R24" s="705"/>
      <c r="S24" s="706"/>
      <c r="T24" s="705"/>
      <c r="U24" s="706"/>
      <c r="V24" s="705"/>
      <c r="W24" s="706"/>
      <c r="X24" s="1355"/>
      <c r="Y24" s="370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6"/>
      <c r="Q25" s="1352">
        <f>B25</f>
        <v>111</v>
      </c>
      <c r="R25" s="705" t="s">
        <v>14</v>
      </c>
      <c r="S25" s="706">
        <f>F25</f>
        <v>100</v>
      </c>
      <c r="T25" s="705" t="s">
        <v>14</v>
      </c>
      <c r="U25" s="706">
        <f>H25</f>
        <v>100</v>
      </c>
      <c r="V25" s="705" t="s">
        <v>14</v>
      </c>
      <c r="W25" s="706">
        <f>J25</f>
        <v>100</v>
      </c>
      <c r="X25" s="1355"/>
      <c r="Y25" s="370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6"/>
      <c r="Q26" s="1352">
        <f t="shared" ref="Q26:Q40" si="11">B26</f>
        <v>111</v>
      </c>
      <c r="R26" s="705" t="s">
        <v>14</v>
      </c>
      <c r="S26" s="706">
        <f>F26</f>
        <v>100</v>
      </c>
      <c r="T26" s="705" t="s">
        <v>14</v>
      </c>
      <c r="U26" s="706">
        <f>H26</f>
        <v>100</v>
      </c>
      <c r="V26" s="705" t="s">
        <v>14</v>
      </c>
      <c r="W26" s="706">
        <f>J26</f>
        <v>100</v>
      </c>
      <c r="X26" s="1355"/>
      <c r="Y26" s="370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6"/>
      <c r="Q27" s="1343">
        <f t="shared" si="11"/>
        <v>111</v>
      </c>
      <c r="R27" s="701" t="s">
        <v>14</v>
      </c>
      <c r="S27" s="702">
        <f>F27</f>
        <v>100</v>
      </c>
      <c r="T27" s="701" t="s">
        <v>14</v>
      </c>
      <c r="U27" s="702">
        <f>H27</f>
        <v>100</v>
      </c>
      <c r="V27" s="701" t="s">
        <v>14</v>
      </c>
      <c r="W27" s="702">
        <f>J27</f>
        <v>100</v>
      </c>
      <c r="X27" s="703"/>
      <c r="Y27" s="370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6"/>
      <c r="Q28" s="1352">
        <f t="shared" si="11"/>
        <v>111</v>
      </c>
      <c r="R28" s="705" t="s">
        <v>14</v>
      </c>
      <c r="S28" s="706">
        <f t="shared" ref="S28:S40" si="12">F28</f>
        <v>100</v>
      </c>
      <c r="T28" s="705" t="s">
        <v>14</v>
      </c>
      <c r="U28" s="706">
        <f t="shared" ref="U28:U40" si="13">H28</f>
        <v>100</v>
      </c>
      <c r="V28" s="705" t="s">
        <v>14</v>
      </c>
      <c r="W28" s="706">
        <f t="shared" ref="W28:W40" si="14">J28</f>
        <v>100</v>
      </c>
      <c r="X28" s="1355"/>
      <c r="Y28" s="370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9" t="s">
        <v>1696</v>
      </c>
      <c r="Q29" s="1352" t="str">
        <f t="shared" si="11"/>
        <v>建筑类型</v>
      </c>
      <c r="R29" s="705" t="s">
        <v>14</v>
      </c>
      <c r="S29" s="706">
        <f t="shared" si="12"/>
        <v>100</v>
      </c>
      <c r="T29" s="705" t="s">
        <v>14</v>
      </c>
      <c r="U29" s="706">
        <f t="shared" si="13"/>
        <v>100</v>
      </c>
      <c r="V29" s="705" t="s">
        <v>14</v>
      </c>
      <c r="W29" s="706">
        <f t="shared" si="14"/>
        <v>100</v>
      </c>
      <c r="X29" s="1355"/>
      <c r="Y29" s="371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0"/>
      <c r="Q30" s="707" t="str">
        <f t="shared" si="11"/>
        <v>项目建筑规模</v>
      </c>
      <c r="R30" s="708" t="s">
        <v>14</v>
      </c>
      <c r="S30" s="709" t="e">
        <f t="shared" si="12"/>
        <v>#N/A</v>
      </c>
      <c r="T30" s="708" t="s">
        <v>14</v>
      </c>
      <c r="U30" s="709" t="e">
        <f t="shared" si="13"/>
        <v>#N/A</v>
      </c>
      <c r="V30" s="708" t="s">
        <v>14</v>
      </c>
      <c r="W30" s="709" t="e">
        <f t="shared" si="14"/>
        <v>#N/A</v>
      </c>
      <c r="X30" s="710"/>
      <c r="Y30" s="371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0"/>
      <c r="Q31" s="1352" t="str">
        <f t="shared" si="11"/>
        <v>建筑结构</v>
      </c>
      <c r="R31" s="705" t="s">
        <v>14</v>
      </c>
      <c r="S31" s="706">
        <f t="shared" si="12"/>
        <v>100</v>
      </c>
      <c r="T31" s="705" t="s">
        <v>14</v>
      </c>
      <c r="U31" s="706">
        <f t="shared" si="13"/>
        <v>100</v>
      </c>
      <c r="V31" s="705" t="s">
        <v>14</v>
      </c>
      <c r="W31" s="706">
        <f t="shared" si="14"/>
        <v>100</v>
      </c>
      <c r="X31" s="1355"/>
      <c r="Y31" s="371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0"/>
      <c r="Q32" s="1352" t="str">
        <f t="shared" si="11"/>
        <v>公共部分装修</v>
      </c>
      <c r="R32" s="705" t="s">
        <v>14</v>
      </c>
      <c r="S32" s="706">
        <f t="shared" si="12"/>
        <v>100</v>
      </c>
      <c r="T32" s="705" t="s">
        <v>14</v>
      </c>
      <c r="U32" s="706">
        <f t="shared" si="13"/>
        <v>100</v>
      </c>
      <c r="V32" s="705" t="s">
        <v>14</v>
      </c>
      <c r="W32" s="706">
        <f t="shared" si="14"/>
        <v>100</v>
      </c>
      <c r="X32" s="1355"/>
      <c r="Y32" s="371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0"/>
      <c r="Q33" s="1352" t="str">
        <f t="shared" si="11"/>
        <v>成新度</v>
      </c>
      <c r="R33" s="705" t="s">
        <v>14</v>
      </c>
      <c r="S33" s="706" t="e">
        <f t="shared" si="12"/>
        <v>#N/A</v>
      </c>
      <c r="T33" s="705" t="s">
        <v>14</v>
      </c>
      <c r="U33" s="706" t="e">
        <f t="shared" si="13"/>
        <v>#N/A</v>
      </c>
      <c r="V33" s="705" t="s">
        <v>14</v>
      </c>
      <c r="W33" s="706" t="e">
        <f t="shared" si="14"/>
        <v>#N/A</v>
      </c>
      <c r="X33" s="1355"/>
      <c r="Y33" s="371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0"/>
      <c r="Q34" s="1343" t="str">
        <f t="shared" si="11"/>
        <v>物业管理</v>
      </c>
      <c r="R34" s="701" t="s">
        <v>14</v>
      </c>
      <c r="S34" s="702">
        <f t="shared" si="12"/>
        <v>100</v>
      </c>
      <c r="T34" s="701" t="s">
        <v>14</v>
      </c>
      <c r="U34" s="702">
        <f t="shared" si="13"/>
        <v>100</v>
      </c>
      <c r="V34" s="701" t="s">
        <v>14</v>
      </c>
      <c r="W34" s="702">
        <f t="shared" si="14"/>
        <v>100</v>
      </c>
      <c r="X34" s="703"/>
      <c r="Y34" s="371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0" t="s">
        <v>1696</v>
      </c>
      <c r="Q35" s="1352" t="str">
        <f t="shared" si="11"/>
        <v>市政基础设施</v>
      </c>
      <c r="R35" s="705" t="s">
        <v>14</v>
      </c>
      <c r="S35" s="706">
        <f t="shared" si="12"/>
        <v>100</v>
      </c>
      <c r="T35" s="705" t="s">
        <v>14</v>
      </c>
      <c r="U35" s="706">
        <f t="shared" si="13"/>
        <v>100</v>
      </c>
      <c r="V35" s="705" t="s">
        <v>14</v>
      </c>
      <c r="W35" s="706">
        <f t="shared" si="14"/>
        <v>100</v>
      </c>
      <c r="X35" s="1355"/>
      <c r="Y35" s="371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0"/>
      <c r="Q36" s="1352" t="str">
        <f t="shared" si="11"/>
        <v>内部装修</v>
      </c>
      <c r="R36" s="705" t="s">
        <v>14</v>
      </c>
      <c r="S36" s="706">
        <f t="shared" si="12"/>
        <v>100</v>
      </c>
      <c r="T36" s="705" t="s">
        <v>14</v>
      </c>
      <c r="U36" s="706">
        <f t="shared" si="13"/>
        <v>100</v>
      </c>
      <c r="V36" s="705" t="s">
        <v>14</v>
      </c>
      <c r="W36" s="706">
        <f t="shared" si="14"/>
        <v>100</v>
      </c>
      <c r="X36" s="1355"/>
      <c r="Y36" s="371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0"/>
      <c r="Q37" s="1352" t="str">
        <f t="shared" si="11"/>
        <v>内部装修状况</v>
      </c>
      <c r="R37" s="705" t="s">
        <v>14</v>
      </c>
      <c r="S37" s="706">
        <f t="shared" si="12"/>
        <v>100</v>
      </c>
      <c r="T37" s="705" t="s">
        <v>14</v>
      </c>
      <c r="U37" s="706">
        <f t="shared" si="13"/>
        <v>100</v>
      </c>
      <c r="V37" s="705" t="s">
        <v>14</v>
      </c>
      <c r="W37" s="706">
        <f t="shared" si="14"/>
        <v>100</v>
      </c>
      <c r="X37" s="1355"/>
      <c r="Y37" s="371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0"/>
      <c r="Q38" s="707">
        <f t="shared" si="11"/>
        <v>111</v>
      </c>
      <c r="R38" s="708" t="s">
        <v>14</v>
      </c>
      <c r="S38" s="709">
        <f t="shared" si="12"/>
        <v>100</v>
      </c>
      <c r="T38" s="708" t="s">
        <v>14</v>
      </c>
      <c r="U38" s="709">
        <f t="shared" si="13"/>
        <v>100</v>
      </c>
      <c r="V38" s="708" t="s">
        <v>14</v>
      </c>
      <c r="W38" s="709">
        <f t="shared" si="14"/>
        <v>100</v>
      </c>
      <c r="X38" s="710"/>
      <c r="Y38" s="371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0"/>
      <c r="Q39" s="1352">
        <f t="shared" si="11"/>
        <v>111</v>
      </c>
      <c r="R39" s="705" t="s">
        <v>14</v>
      </c>
      <c r="S39" s="706">
        <f t="shared" si="12"/>
        <v>100</v>
      </c>
      <c r="T39" s="705" t="s">
        <v>14</v>
      </c>
      <c r="U39" s="706">
        <f t="shared" si="13"/>
        <v>100</v>
      </c>
      <c r="V39" s="705" t="s">
        <v>14</v>
      </c>
      <c r="W39" s="706">
        <f t="shared" si="14"/>
        <v>100</v>
      </c>
      <c r="X39" s="1355"/>
      <c r="Y39" s="371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1"/>
      <c r="Q40" s="1352">
        <f t="shared" si="11"/>
        <v>111</v>
      </c>
      <c r="R40" s="705" t="s">
        <v>14</v>
      </c>
      <c r="S40" s="706">
        <f t="shared" si="12"/>
        <v>100</v>
      </c>
      <c r="T40" s="705" t="s">
        <v>14</v>
      </c>
      <c r="U40" s="706">
        <f t="shared" si="13"/>
        <v>100</v>
      </c>
      <c r="V40" s="705" t="s">
        <v>14</v>
      </c>
      <c r="W40" s="706">
        <f t="shared" si="14"/>
        <v>100</v>
      </c>
      <c r="X40" s="1355"/>
      <c r="Y40" s="371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2" t="str">
        <f>A41</f>
        <v>成交单价（元/平方米）</v>
      </c>
      <c r="Q41" s="3712"/>
      <c r="R41" s="3713">
        <f>E41</f>
        <v>0</v>
      </c>
      <c r="S41" s="3713"/>
      <c r="T41" s="3713">
        <f>G41</f>
        <v>0</v>
      </c>
      <c r="U41" s="3713"/>
      <c r="V41" s="3713">
        <f>I41</f>
        <v>0</v>
      </c>
      <c r="W41" s="371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2" t="str">
        <f>A42</f>
        <v>比较价值（元/平方米）</v>
      </c>
      <c r="Q42" s="3712"/>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6" t="str">
        <f>A43</f>
        <v>估价对象XX用房的比较价值（楼面单价，元/平方米）</v>
      </c>
      <c r="Q43" s="3747"/>
      <c r="R43" s="3748" t="e">
        <f>IF(F1="售价",ROUND(IF(D42="简单平均",AVERAGE(R42:V42),R42*F42+T42*H42+V42*J42),0),ROUND(IF(D42="简单平均",AVERAGE(R42:V42),R42*F42+T42*H42+V42*J42),1))</f>
        <v>#DIV/0!</v>
      </c>
      <c r="S43" s="3748"/>
      <c r="T43" s="3748"/>
      <c r="U43" s="3748"/>
      <c r="V43" s="3748"/>
      <c r="W43" s="374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742" t="s">
        <v>1775</v>
      </c>
      <c r="Q4" s="3743"/>
      <c r="R4" s="3739" t="s">
        <v>1771</v>
      </c>
      <c r="S4" s="3740"/>
      <c r="T4" s="3739" t="s">
        <v>1772</v>
      </c>
      <c r="U4" s="3740"/>
      <c r="V4" s="3700" t="s">
        <v>1773</v>
      </c>
      <c r="W4" s="3700"/>
      <c r="X4" s="1355"/>
      <c r="Y4" s="3739" t="s">
        <v>1775</v>
      </c>
      <c r="Z4" s="3740"/>
      <c r="AA4" s="3738" t="s">
        <v>1771</v>
      </c>
      <c r="AB4" s="3666" t="s">
        <v>1772</v>
      </c>
      <c r="AC4" s="3738" t="s">
        <v>1773</v>
      </c>
    </row>
    <row r="5" spans="1:29" ht="15">
      <c r="A5" s="358"/>
      <c r="B5" s="359"/>
      <c r="C5" s="3676" t="s">
        <v>1673</v>
      </c>
      <c r="D5" s="3677"/>
      <c r="E5" s="3741" t="s">
        <v>1674</v>
      </c>
      <c r="F5" s="3675"/>
      <c r="G5" s="3676" t="s">
        <v>1675</v>
      </c>
      <c r="H5" s="3677"/>
      <c r="I5" s="3676" t="s">
        <v>1676</v>
      </c>
      <c r="J5" s="3677"/>
      <c r="K5" s="559"/>
      <c r="L5" s="2715"/>
      <c r="M5" s="2716"/>
      <c r="N5" s="2716"/>
      <c r="O5" s="2716"/>
      <c r="P5" s="3744"/>
      <c r="Q5" s="3694"/>
      <c r="R5" s="3672"/>
      <c r="S5" s="3673"/>
      <c r="T5" s="3672"/>
      <c r="U5" s="3673"/>
      <c r="V5" s="3700"/>
      <c r="W5" s="3700"/>
      <c r="X5" s="1355"/>
      <c r="Y5" s="3672"/>
      <c r="Z5" s="3673"/>
      <c r="AA5" s="3666"/>
      <c r="AB5" s="3666"/>
      <c r="AC5" s="3666"/>
    </row>
    <row r="6" spans="1:29" ht="15.75" thickBot="1">
      <c r="A6" s="360"/>
      <c r="B6" s="361"/>
      <c r="C6" s="3678" t="s">
        <v>1677</v>
      </c>
      <c r="D6" s="3679"/>
      <c r="E6" s="3681" t="s">
        <v>1677</v>
      </c>
      <c r="F6" s="3682"/>
      <c r="G6" s="3678" t="s">
        <v>1677</v>
      </c>
      <c r="H6" s="3679"/>
      <c r="I6" s="3678" t="s">
        <v>1677</v>
      </c>
      <c r="J6" s="3679"/>
      <c r="K6" s="559" t="s">
        <v>1678</v>
      </c>
      <c r="L6" s="2715"/>
      <c r="M6" s="2716"/>
      <c r="N6" s="2716"/>
      <c r="O6" s="2716"/>
      <c r="P6" s="3745"/>
      <c r="Q6" s="3696"/>
      <c r="R6" s="3672"/>
      <c r="S6" s="3673"/>
      <c r="T6" s="3697"/>
      <c r="U6" s="3698"/>
      <c r="V6" s="3700"/>
      <c r="W6" s="3700"/>
      <c r="X6" s="1355"/>
      <c r="Y6" s="3697"/>
      <c r="Z6" s="3698"/>
      <c r="AA6" s="3667"/>
      <c r="AB6" s="3667"/>
      <c r="AC6" s="3667"/>
    </row>
    <row r="7" spans="1:29" s="108" customFormat="1" ht="15.75" thickBot="1">
      <c r="A7" s="362" t="s">
        <v>1679</v>
      </c>
      <c r="B7" s="363"/>
      <c r="C7" s="364">
        <f>'数据-取费表'!B2</f>
        <v>45000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8" t="s">
        <v>1680</v>
      </c>
      <c r="Q7" s="3702"/>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2" t="s">
        <v>1686</v>
      </c>
      <c r="Q9" s="1343" t="str">
        <f t="shared" ref="Q9:Q14" si="6">B9</f>
        <v>用途</v>
      </c>
      <c r="R9" s="701" t="s">
        <v>14</v>
      </c>
      <c r="S9" s="702">
        <f t="shared" si="0"/>
        <v>100</v>
      </c>
      <c r="T9" s="701" t="s">
        <v>14</v>
      </c>
      <c r="U9" s="702">
        <f t="shared" si="1"/>
        <v>100</v>
      </c>
      <c r="V9" s="701" t="s">
        <v>14</v>
      </c>
      <c r="W9" s="702">
        <f t="shared" si="2"/>
        <v>100</v>
      </c>
      <c r="X9" s="703"/>
      <c r="Y9" s="362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2"/>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5" t="s">
        <v>1691</v>
      </c>
      <c r="Q14" s="1352" t="str">
        <f t="shared" si="6"/>
        <v>交通便捷度</v>
      </c>
      <c r="R14" s="705" t="s">
        <v>14</v>
      </c>
      <c r="S14" s="706">
        <f t="shared" si="0"/>
        <v>100</v>
      </c>
      <c r="T14" s="705" t="s">
        <v>14</v>
      </c>
      <c r="U14" s="706">
        <f t="shared" si="1"/>
        <v>100</v>
      </c>
      <c r="V14" s="705" t="s">
        <v>14</v>
      </c>
      <c r="W14" s="706">
        <f t="shared" si="2"/>
        <v>100</v>
      </c>
      <c r="X14" s="1355"/>
      <c r="Y14" s="370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6"/>
      <c r="Q15" s="1352"/>
      <c r="R15" s="705"/>
      <c r="S15" s="706"/>
      <c r="T15" s="705"/>
      <c r="U15" s="706"/>
      <c r="V15" s="705"/>
      <c r="W15" s="706"/>
      <c r="X15" s="1355"/>
      <c r="Y15" s="370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6"/>
      <c r="Q16" s="1352" t="str">
        <f>B16</f>
        <v>公共配套设施</v>
      </c>
      <c r="R16" s="705" t="s">
        <v>14</v>
      </c>
      <c r="S16" s="706">
        <f>F16</f>
        <v>100</v>
      </c>
      <c r="T16" s="705" t="s">
        <v>14</v>
      </c>
      <c r="U16" s="706">
        <f>H16</f>
        <v>100</v>
      </c>
      <c r="V16" s="705" t="s">
        <v>14</v>
      </c>
      <c r="W16" s="706">
        <f>J16</f>
        <v>100</v>
      </c>
      <c r="X16" s="1355"/>
      <c r="Y16" s="370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6"/>
      <c r="Q17" s="1352"/>
      <c r="R17" s="705"/>
      <c r="S17" s="706"/>
      <c r="T17" s="705"/>
      <c r="U17" s="706"/>
      <c r="V17" s="705"/>
      <c r="W17" s="706"/>
      <c r="X17" s="1355"/>
      <c r="Y17" s="370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6"/>
      <c r="Q18" s="1352" t="str">
        <f>B18</f>
        <v>基础设施水平</v>
      </c>
      <c r="R18" s="705" t="s">
        <v>14</v>
      </c>
      <c r="S18" s="706">
        <f>F18</f>
        <v>100</v>
      </c>
      <c r="T18" s="705" t="s">
        <v>14</v>
      </c>
      <c r="U18" s="706">
        <f>H18</f>
        <v>100</v>
      </c>
      <c r="V18" s="705" t="s">
        <v>14</v>
      </c>
      <c r="W18" s="706">
        <f>J18</f>
        <v>100</v>
      </c>
      <c r="X18" s="1355"/>
      <c r="Y18" s="370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6"/>
      <c r="Q19" s="1352"/>
      <c r="R19" s="705"/>
      <c r="S19" s="706"/>
      <c r="T19" s="705"/>
      <c r="U19" s="706"/>
      <c r="V19" s="705"/>
      <c r="W19" s="706"/>
      <c r="X19" s="1355"/>
      <c r="Y19" s="370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6"/>
      <c r="Q20" s="1352" t="str">
        <f>B20</f>
        <v>自然及人文环境</v>
      </c>
      <c r="R20" s="705" t="s">
        <v>14</v>
      </c>
      <c r="S20" s="706">
        <f>F20</f>
        <v>100</v>
      </c>
      <c r="T20" s="705" t="s">
        <v>14</v>
      </c>
      <c r="U20" s="706">
        <f>H20</f>
        <v>100</v>
      </c>
      <c r="V20" s="705" t="s">
        <v>14</v>
      </c>
      <c r="W20" s="706">
        <f>J20</f>
        <v>100</v>
      </c>
      <c r="X20" s="1355"/>
      <c r="Y20" s="370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6"/>
      <c r="Q21" s="1352"/>
      <c r="R21" s="705"/>
      <c r="S21" s="706"/>
      <c r="T21" s="705"/>
      <c r="U21" s="706"/>
      <c r="V21" s="705"/>
      <c r="W21" s="706"/>
      <c r="X21" s="1355"/>
      <c r="Y21" s="370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6"/>
      <c r="Q22" s="1352" t="str">
        <f>B22</f>
        <v>楼层</v>
      </c>
      <c r="R22" s="705" t="s">
        <v>14</v>
      </c>
      <c r="S22" s="706">
        <f>F22</f>
        <v>100</v>
      </c>
      <c r="T22" s="705" t="s">
        <v>14</v>
      </c>
      <c r="U22" s="706">
        <f>H22</f>
        <v>100</v>
      </c>
      <c r="V22" s="705" t="s">
        <v>14</v>
      </c>
      <c r="W22" s="706">
        <f>J22</f>
        <v>100</v>
      </c>
      <c r="X22" s="1355"/>
      <c r="Y22" s="370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6"/>
      <c r="Q23" s="1352">
        <f>B23</f>
        <v>111</v>
      </c>
      <c r="R23" s="705" t="s">
        <v>14</v>
      </c>
      <c r="S23" s="706">
        <f>F23</f>
        <v>100</v>
      </c>
      <c r="T23" s="705" t="s">
        <v>14</v>
      </c>
      <c r="U23" s="706">
        <f>H23</f>
        <v>100</v>
      </c>
      <c r="V23" s="705" t="s">
        <v>14</v>
      </c>
      <c r="W23" s="706">
        <f>J23</f>
        <v>100</v>
      </c>
      <c r="X23" s="1355"/>
      <c r="Y23" s="370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6"/>
      <c r="Q24" s="1352">
        <f t="shared" ref="Q24:Q36" si="11">B24</f>
        <v>111</v>
      </c>
      <c r="R24" s="705" t="s">
        <v>14</v>
      </c>
      <c r="S24" s="706">
        <f>F24</f>
        <v>100</v>
      </c>
      <c r="T24" s="705" t="s">
        <v>14</v>
      </c>
      <c r="U24" s="706">
        <f>H24</f>
        <v>100</v>
      </c>
      <c r="V24" s="705" t="s">
        <v>14</v>
      </c>
      <c r="W24" s="706">
        <f>J24</f>
        <v>100</v>
      </c>
      <c r="X24" s="1355"/>
      <c r="Y24" s="370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6"/>
      <c r="Q25" s="1343">
        <f t="shared" si="11"/>
        <v>111</v>
      </c>
      <c r="R25" s="701" t="s">
        <v>14</v>
      </c>
      <c r="S25" s="702">
        <f>F25</f>
        <v>100</v>
      </c>
      <c r="T25" s="701" t="s">
        <v>14</v>
      </c>
      <c r="U25" s="702">
        <f>H25</f>
        <v>100</v>
      </c>
      <c r="V25" s="701" t="s">
        <v>14</v>
      </c>
      <c r="W25" s="702">
        <f>J25</f>
        <v>100</v>
      </c>
      <c r="X25" s="703"/>
      <c r="Y25" s="370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0"/>
      <c r="Q27" s="707" t="str">
        <f t="shared" si="11"/>
        <v>项目停车位配比</v>
      </c>
      <c r="R27" s="708" t="s">
        <v>14</v>
      </c>
      <c r="S27" s="709">
        <f t="shared" si="12"/>
        <v>100</v>
      </c>
      <c r="T27" s="708" t="s">
        <v>14</v>
      </c>
      <c r="U27" s="709">
        <f t="shared" si="13"/>
        <v>100</v>
      </c>
      <c r="V27" s="708" t="s">
        <v>14</v>
      </c>
      <c r="W27" s="709">
        <f t="shared" si="14"/>
        <v>100</v>
      </c>
      <c r="X27" s="710"/>
      <c r="Y27" s="371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0"/>
      <c r="Q28" s="1352" t="str">
        <f t="shared" si="11"/>
        <v>公共部分装修</v>
      </c>
      <c r="R28" s="705" t="s">
        <v>14</v>
      </c>
      <c r="S28" s="706">
        <f t="shared" si="12"/>
        <v>100</v>
      </c>
      <c r="T28" s="705" t="s">
        <v>14</v>
      </c>
      <c r="U28" s="706">
        <f t="shared" si="13"/>
        <v>100</v>
      </c>
      <c r="V28" s="705" t="s">
        <v>14</v>
      </c>
      <c r="W28" s="706">
        <f t="shared" si="14"/>
        <v>100</v>
      </c>
      <c r="X28" s="1355"/>
      <c r="Y28" s="371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0"/>
      <c r="Q29" s="1352" t="str">
        <f t="shared" si="11"/>
        <v>成新率</v>
      </c>
      <c r="R29" s="705" t="s">
        <v>14</v>
      </c>
      <c r="S29" s="706" t="e">
        <f t="shared" si="12"/>
        <v>#N/A</v>
      </c>
      <c r="T29" s="705" t="s">
        <v>14</v>
      </c>
      <c r="U29" s="706" t="e">
        <f t="shared" si="13"/>
        <v>#N/A</v>
      </c>
      <c r="V29" s="705" t="s">
        <v>14</v>
      </c>
      <c r="W29" s="706" t="e">
        <f t="shared" si="14"/>
        <v>#N/A</v>
      </c>
      <c r="X29" s="1355"/>
      <c r="Y29" s="371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0"/>
      <c r="Q30" s="1352" t="str">
        <f t="shared" si="11"/>
        <v>物业等级</v>
      </c>
      <c r="R30" s="705" t="s">
        <v>14</v>
      </c>
      <c r="S30" s="706">
        <f t="shared" si="12"/>
        <v>100</v>
      </c>
      <c r="T30" s="705" t="s">
        <v>14</v>
      </c>
      <c r="U30" s="706">
        <f t="shared" si="13"/>
        <v>100</v>
      </c>
      <c r="V30" s="705" t="s">
        <v>14</v>
      </c>
      <c r="W30" s="706">
        <f t="shared" si="14"/>
        <v>100</v>
      </c>
      <c r="X30" s="1355"/>
      <c r="Y30" s="371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0"/>
      <c r="Q31" s="1343" t="str">
        <f t="shared" si="11"/>
        <v>停车位面积</v>
      </c>
      <c r="R31" s="701" t="s">
        <v>14</v>
      </c>
      <c r="S31" s="702" t="e">
        <f t="shared" si="12"/>
        <v>#N/A</v>
      </c>
      <c r="T31" s="701" t="s">
        <v>14</v>
      </c>
      <c r="U31" s="702" t="e">
        <f t="shared" si="13"/>
        <v>#N/A</v>
      </c>
      <c r="V31" s="701" t="s">
        <v>14</v>
      </c>
      <c r="W31" s="702" t="e">
        <f t="shared" si="14"/>
        <v>#N/A</v>
      </c>
      <c r="X31" s="703"/>
      <c r="Y31" s="371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0" t="s">
        <v>1696</v>
      </c>
      <c r="Q32" s="1352" t="str">
        <f t="shared" si="11"/>
        <v>车位类型</v>
      </c>
      <c r="R32" s="705" t="s">
        <v>14</v>
      </c>
      <c r="S32" s="706">
        <f t="shared" si="12"/>
        <v>100</v>
      </c>
      <c r="T32" s="705" t="s">
        <v>14</v>
      </c>
      <c r="U32" s="706">
        <f t="shared" si="13"/>
        <v>100</v>
      </c>
      <c r="V32" s="705" t="s">
        <v>14</v>
      </c>
      <c r="W32" s="706">
        <f t="shared" si="14"/>
        <v>100</v>
      </c>
      <c r="X32" s="1355"/>
      <c r="Y32" s="371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0"/>
      <c r="Q33" s="1352" t="str">
        <f t="shared" si="11"/>
        <v>是否直接入户</v>
      </c>
      <c r="R33" s="705" t="s">
        <v>14</v>
      </c>
      <c r="S33" s="706">
        <f t="shared" si="12"/>
        <v>100</v>
      </c>
      <c r="T33" s="705" t="s">
        <v>14</v>
      </c>
      <c r="U33" s="706">
        <f t="shared" si="13"/>
        <v>100</v>
      </c>
      <c r="V33" s="705" t="s">
        <v>14</v>
      </c>
      <c r="W33" s="706">
        <f t="shared" si="14"/>
        <v>100</v>
      </c>
      <c r="X33" s="1355"/>
      <c r="Y33" s="371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0"/>
      <c r="Q34" s="1352">
        <f t="shared" si="11"/>
        <v>111</v>
      </c>
      <c r="R34" s="705" t="s">
        <v>14</v>
      </c>
      <c r="S34" s="706">
        <f t="shared" si="12"/>
        <v>100</v>
      </c>
      <c r="T34" s="705" t="s">
        <v>14</v>
      </c>
      <c r="U34" s="706">
        <f t="shared" si="13"/>
        <v>100</v>
      </c>
      <c r="V34" s="705" t="s">
        <v>14</v>
      </c>
      <c r="W34" s="706">
        <f t="shared" si="14"/>
        <v>100</v>
      </c>
      <c r="X34" s="1355"/>
      <c r="Y34" s="371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0"/>
      <c r="Q35" s="707">
        <f t="shared" si="11"/>
        <v>111</v>
      </c>
      <c r="R35" s="708" t="s">
        <v>14</v>
      </c>
      <c r="S35" s="709">
        <f t="shared" si="12"/>
        <v>100</v>
      </c>
      <c r="T35" s="708" t="s">
        <v>14</v>
      </c>
      <c r="U35" s="709">
        <f t="shared" si="13"/>
        <v>100</v>
      </c>
      <c r="V35" s="708" t="s">
        <v>14</v>
      </c>
      <c r="W35" s="709">
        <f t="shared" si="14"/>
        <v>100</v>
      </c>
      <c r="X35" s="710"/>
      <c r="Y35" s="371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0"/>
      <c r="Q36" s="1352">
        <f t="shared" si="11"/>
        <v>111</v>
      </c>
      <c r="R36" s="705" t="s">
        <v>14</v>
      </c>
      <c r="S36" s="706">
        <f t="shared" si="12"/>
        <v>100</v>
      </c>
      <c r="T36" s="705" t="s">
        <v>14</v>
      </c>
      <c r="U36" s="706">
        <f t="shared" si="13"/>
        <v>100</v>
      </c>
      <c r="V36" s="705" t="s">
        <v>14</v>
      </c>
      <c r="W36" s="706">
        <f t="shared" si="14"/>
        <v>100</v>
      </c>
      <c r="X36" s="1355"/>
      <c r="Y36" s="3710"/>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712" t="str">
        <f>A37</f>
        <v>成交单价</v>
      </c>
      <c r="Q37" s="3712"/>
      <c r="R37" s="3713">
        <f>E37</f>
        <v>0</v>
      </c>
      <c r="S37" s="3713"/>
      <c r="T37" s="3713">
        <f>G37</f>
        <v>0</v>
      </c>
      <c r="U37" s="3713"/>
      <c r="V37" s="3713">
        <f>I37</f>
        <v>0</v>
      </c>
      <c r="W37" s="371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2" t="str">
        <f>A38</f>
        <v>比较价值（元/平方米）</v>
      </c>
      <c r="Q38" s="3712"/>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46" t="str">
        <f>A39</f>
        <v>估价对象XX用房的比较价值（楼面单价，元/平方米）</v>
      </c>
      <c r="Q39" s="3747"/>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742" t="s">
        <v>1775</v>
      </c>
      <c r="Q4" s="3743"/>
      <c r="R4" s="3739" t="s">
        <v>1771</v>
      </c>
      <c r="S4" s="3740"/>
      <c r="T4" s="3739" t="s">
        <v>1772</v>
      </c>
      <c r="U4" s="3740"/>
      <c r="V4" s="3700" t="s">
        <v>1773</v>
      </c>
      <c r="W4" s="3700"/>
      <c r="X4" s="1355"/>
      <c r="Y4" s="3739" t="s">
        <v>1775</v>
      </c>
      <c r="Z4" s="3740"/>
      <c r="AA4" s="3738" t="s">
        <v>1771</v>
      </c>
      <c r="AB4" s="3666" t="s">
        <v>1772</v>
      </c>
      <c r="AC4" s="3738" t="s">
        <v>1773</v>
      </c>
    </row>
    <row r="5" spans="1:29" ht="15">
      <c r="A5" s="358"/>
      <c r="B5" s="359"/>
      <c r="C5" s="3676" t="s">
        <v>1673</v>
      </c>
      <c r="D5" s="3677"/>
      <c r="E5" s="3741" t="s">
        <v>1674</v>
      </c>
      <c r="F5" s="3675"/>
      <c r="G5" s="3676" t="s">
        <v>1675</v>
      </c>
      <c r="H5" s="3677"/>
      <c r="I5" s="3676" t="s">
        <v>1676</v>
      </c>
      <c r="J5" s="3677"/>
      <c r="K5" s="559"/>
      <c r="L5" s="2715"/>
      <c r="M5" s="2716"/>
      <c r="N5" s="2716"/>
      <c r="O5" s="2716"/>
      <c r="P5" s="3744"/>
      <c r="Q5" s="3694"/>
      <c r="R5" s="3672"/>
      <c r="S5" s="3673"/>
      <c r="T5" s="3672"/>
      <c r="U5" s="3673"/>
      <c r="V5" s="3700"/>
      <c r="W5" s="3700"/>
      <c r="X5" s="1355"/>
      <c r="Y5" s="3672"/>
      <c r="Z5" s="3673"/>
      <c r="AA5" s="3666"/>
      <c r="AB5" s="3666"/>
      <c r="AC5" s="3666"/>
    </row>
    <row r="6" spans="1:29" ht="15.75" thickBot="1">
      <c r="A6" s="360"/>
      <c r="B6" s="361"/>
      <c r="C6" s="3678" t="s">
        <v>1677</v>
      </c>
      <c r="D6" s="3679"/>
      <c r="E6" s="3681" t="s">
        <v>1677</v>
      </c>
      <c r="F6" s="3682"/>
      <c r="G6" s="3678" t="s">
        <v>1677</v>
      </c>
      <c r="H6" s="3679"/>
      <c r="I6" s="3678" t="s">
        <v>1677</v>
      </c>
      <c r="J6" s="3679"/>
      <c r="K6" s="559" t="s">
        <v>1678</v>
      </c>
      <c r="L6" s="2715"/>
      <c r="M6" s="2716"/>
      <c r="N6" s="2716"/>
      <c r="O6" s="2716"/>
      <c r="P6" s="3745"/>
      <c r="Q6" s="3696"/>
      <c r="R6" s="3672"/>
      <c r="S6" s="3673"/>
      <c r="T6" s="3697"/>
      <c r="U6" s="3698"/>
      <c r="V6" s="3700"/>
      <c r="W6" s="3700"/>
      <c r="X6" s="1355"/>
      <c r="Y6" s="3697"/>
      <c r="Z6" s="3698"/>
      <c r="AA6" s="3667"/>
      <c r="AB6" s="3667"/>
      <c r="AC6" s="3667"/>
    </row>
    <row r="7" spans="1:29" s="108" customFormat="1" ht="15.75" thickBot="1">
      <c r="A7" s="362" t="s">
        <v>1679</v>
      </c>
      <c r="B7" s="363"/>
      <c r="C7" s="364">
        <f>'数据-取费表'!B2</f>
        <v>45000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8" t="s">
        <v>1680</v>
      </c>
      <c r="Q7" s="3702"/>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2" t="s">
        <v>1686</v>
      </c>
      <c r="Q9" s="1343" t="str">
        <f t="shared" ref="Q9:Q14" si="6">B9</f>
        <v>用途</v>
      </c>
      <c r="R9" s="701" t="s">
        <v>14</v>
      </c>
      <c r="S9" s="702">
        <f t="shared" si="0"/>
        <v>100</v>
      </c>
      <c r="T9" s="701" t="s">
        <v>14</v>
      </c>
      <c r="U9" s="702">
        <f t="shared" si="1"/>
        <v>100</v>
      </c>
      <c r="V9" s="701" t="s">
        <v>14</v>
      </c>
      <c r="W9" s="702">
        <f t="shared" si="2"/>
        <v>100</v>
      </c>
      <c r="X9" s="703"/>
      <c r="Y9" s="362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2"/>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2"/>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2"/>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2"/>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5" t="s">
        <v>1691</v>
      </c>
      <c r="Q14" s="1352" t="str">
        <f t="shared" si="6"/>
        <v>交通便捷度</v>
      </c>
      <c r="R14" s="705" t="s">
        <v>14</v>
      </c>
      <c r="S14" s="706">
        <f t="shared" si="0"/>
        <v>100</v>
      </c>
      <c r="T14" s="705" t="s">
        <v>14</v>
      </c>
      <c r="U14" s="706">
        <f t="shared" si="1"/>
        <v>100</v>
      </c>
      <c r="V14" s="705" t="s">
        <v>14</v>
      </c>
      <c r="W14" s="706">
        <f t="shared" si="2"/>
        <v>100</v>
      </c>
      <c r="X14" s="1355"/>
      <c r="Y14" s="370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6"/>
      <c r="Q15" s="1352"/>
      <c r="R15" s="705"/>
      <c r="S15" s="706"/>
      <c r="T15" s="705"/>
      <c r="U15" s="706"/>
      <c r="V15" s="705"/>
      <c r="W15" s="706"/>
      <c r="X15" s="1355"/>
      <c r="Y15" s="370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6"/>
      <c r="Q16" s="1352" t="str">
        <f>B16</f>
        <v>公共配套设施</v>
      </c>
      <c r="R16" s="705" t="s">
        <v>14</v>
      </c>
      <c r="S16" s="706">
        <f>F16</f>
        <v>100</v>
      </c>
      <c r="T16" s="705" t="s">
        <v>14</v>
      </c>
      <c r="U16" s="706">
        <f>H16</f>
        <v>100</v>
      </c>
      <c r="V16" s="705" t="s">
        <v>14</v>
      </c>
      <c r="W16" s="706">
        <f>J16</f>
        <v>100</v>
      </c>
      <c r="X16" s="1355"/>
      <c r="Y16" s="370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6"/>
      <c r="Q17" s="1352"/>
      <c r="R17" s="705"/>
      <c r="S17" s="706"/>
      <c r="T17" s="705"/>
      <c r="U17" s="706"/>
      <c r="V17" s="705"/>
      <c r="W17" s="706"/>
      <c r="X17" s="1355"/>
      <c r="Y17" s="370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6"/>
      <c r="Q18" s="1352" t="str">
        <f>B18</f>
        <v>基础设施水平</v>
      </c>
      <c r="R18" s="705" t="s">
        <v>14</v>
      </c>
      <c r="S18" s="706">
        <f>F18</f>
        <v>100</v>
      </c>
      <c r="T18" s="705" t="s">
        <v>14</v>
      </c>
      <c r="U18" s="706">
        <f>H18</f>
        <v>100</v>
      </c>
      <c r="V18" s="705" t="s">
        <v>14</v>
      </c>
      <c r="W18" s="706">
        <f>J18</f>
        <v>100</v>
      </c>
      <c r="X18" s="1355"/>
      <c r="Y18" s="370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6"/>
      <c r="Q19" s="1352"/>
      <c r="R19" s="705"/>
      <c r="S19" s="706"/>
      <c r="T19" s="705"/>
      <c r="U19" s="706"/>
      <c r="V19" s="705"/>
      <c r="W19" s="706"/>
      <c r="X19" s="1355"/>
      <c r="Y19" s="370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6"/>
      <c r="Q20" s="1352" t="str">
        <f>B20</f>
        <v>自然及人文环境</v>
      </c>
      <c r="R20" s="705" t="s">
        <v>14</v>
      </c>
      <c r="S20" s="706">
        <f>F20</f>
        <v>100</v>
      </c>
      <c r="T20" s="705" t="s">
        <v>14</v>
      </c>
      <c r="U20" s="706">
        <f>H20</f>
        <v>100</v>
      </c>
      <c r="V20" s="705" t="s">
        <v>14</v>
      </c>
      <c r="W20" s="706">
        <f>J20</f>
        <v>100</v>
      </c>
      <c r="X20" s="1355"/>
      <c r="Y20" s="370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6"/>
      <c r="Q21" s="1352"/>
      <c r="R21" s="705"/>
      <c r="S21" s="706"/>
      <c r="T21" s="705"/>
      <c r="U21" s="706"/>
      <c r="V21" s="705"/>
      <c r="W21" s="706"/>
      <c r="X21" s="1355"/>
      <c r="Y21" s="370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6"/>
      <c r="Q22" s="1352" t="str">
        <f>B22</f>
        <v>楼层</v>
      </c>
      <c r="R22" s="705" t="s">
        <v>14</v>
      </c>
      <c r="S22" s="706">
        <f>F22</f>
        <v>100</v>
      </c>
      <c r="T22" s="705" t="s">
        <v>14</v>
      </c>
      <c r="U22" s="706">
        <f>H22</f>
        <v>100</v>
      </c>
      <c r="V22" s="705" t="s">
        <v>14</v>
      </c>
      <c r="W22" s="706">
        <f>J22</f>
        <v>100</v>
      </c>
      <c r="X22" s="1355"/>
      <c r="Y22" s="370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6"/>
      <c r="Q23" s="1352">
        <f>B23</f>
        <v>111</v>
      </c>
      <c r="R23" s="705" t="s">
        <v>14</v>
      </c>
      <c r="S23" s="706">
        <f>F23</f>
        <v>100</v>
      </c>
      <c r="T23" s="705" t="s">
        <v>14</v>
      </c>
      <c r="U23" s="706">
        <f>H23</f>
        <v>100</v>
      </c>
      <c r="V23" s="705" t="s">
        <v>14</v>
      </c>
      <c r="W23" s="706">
        <f>J23</f>
        <v>100</v>
      </c>
      <c r="X23" s="1355"/>
      <c r="Y23" s="370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6"/>
      <c r="Q24" s="1352">
        <f t="shared" ref="Q24:Q34" si="11">B24</f>
        <v>111</v>
      </c>
      <c r="R24" s="705" t="s">
        <v>14</v>
      </c>
      <c r="S24" s="706">
        <f>F24</f>
        <v>100</v>
      </c>
      <c r="T24" s="705" t="s">
        <v>14</v>
      </c>
      <c r="U24" s="706">
        <f>H24</f>
        <v>100</v>
      </c>
      <c r="V24" s="705" t="s">
        <v>14</v>
      </c>
      <c r="W24" s="706">
        <f>J24</f>
        <v>100</v>
      </c>
      <c r="X24" s="1355"/>
      <c r="Y24" s="370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6"/>
      <c r="Q25" s="1343">
        <f t="shared" si="11"/>
        <v>111</v>
      </c>
      <c r="R25" s="701" t="s">
        <v>14</v>
      </c>
      <c r="S25" s="702">
        <f>F25</f>
        <v>100</v>
      </c>
      <c r="T25" s="701" t="s">
        <v>14</v>
      </c>
      <c r="U25" s="702">
        <f>H25</f>
        <v>100</v>
      </c>
      <c r="V25" s="701" t="s">
        <v>14</v>
      </c>
      <c r="W25" s="702">
        <f>J25</f>
        <v>100</v>
      </c>
      <c r="X25" s="703"/>
      <c r="Y25" s="370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0"/>
      <c r="Q27" s="707" t="str">
        <f t="shared" si="11"/>
        <v>成新率</v>
      </c>
      <c r="R27" s="708" t="s">
        <v>14</v>
      </c>
      <c r="S27" s="709" t="e">
        <f t="shared" si="12"/>
        <v>#N/A</v>
      </c>
      <c r="T27" s="708" t="s">
        <v>14</v>
      </c>
      <c r="U27" s="709" t="e">
        <f t="shared" si="13"/>
        <v>#N/A</v>
      </c>
      <c r="V27" s="708" t="s">
        <v>14</v>
      </c>
      <c r="W27" s="709" t="e">
        <f t="shared" si="14"/>
        <v>#N/A</v>
      </c>
      <c r="X27" s="710"/>
      <c r="Y27" s="371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0"/>
      <c r="Q28" s="1352" t="str">
        <f t="shared" si="11"/>
        <v>物业等级</v>
      </c>
      <c r="R28" s="705" t="s">
        <v>14</v>
      </c>
      <c r="S28" s="706">
        <f t="shared" si="12"/>
        <v>100</v>
      </c>
      <c r="T28" s="705" t="s">
        <v>14</v>
      </c>
      <c r="U28" s="706">
        <f t="shared" si="13"/>
        <v>100</v>
      </c>
      <c r="V28" s="705" t="s">
        <v>14</v>
      </c>
      <c r="W28" s="706">
        <f t="shared" si="14"/>
        <v>100</v>
      </c>
      <c r="X28" s="1355"/>
      <c r="Y28" s="371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0"/>
      <c r="Q29" s="1352" t="str">
        <f t="shared" si="11"/>
        <v>有无电梯</v>
      </c>
      <c r="R29" s="705" t="s">
        <v>14</v>
      </c>
      <c r="S29" s="706">
        <f t="shared" si="12"/>
        <v>100</v>
      </c>
      <c r="T29" s="705" t="s">
        <v>14</v>
      </c>
      <c r="U29" s="706">
        <f t="shared" si="13"/>
        <v>100</v>
      </c>
      <c r="V29" s="705" t="s">
        <v>14</v>
      </c>
      <c r="W29" s="706">
        <f t="shared" si="14"/>
        <v>100</v>
      </c>
      <c r="X29" s="1355"/>
      <c r="Y29" s="371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0"/>
      <c r="Q30" s="1352" t="str">
        <f t="shared" si="11"/>
        <v>建筑面积</v>
      </c>
      <c r="R30" s="705" t="s">
        <v>14</v>
      </c>
      <c r="S30" s="706" t="e">
        <f t="shared" si="12"/>
        <v>#N/A</v>
      </c>
      <c r="T30" s="705" t="s">
        <v>14</v>
      </c>
      <c r="U30" s="706" t="e">
        <f t="shared" si="13"/>
        <v>#N/A</v>
      </c>
      <c r="V30" s="705" t="s">
        <v>14</v>
      </c>
      <c r="W30" s="706" t="e">
        <f t="shared" si="14"/>
        <v>#N/A</v>
      </c>
      <c r="X30" s="1355"/>
      <c r="Y30" s="371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0"/>
      <c r="Q31" s="1343" t="str">
        <f t="shared" si="11"/>
        <v>是否封闭</v>
      </c>
      <c r="R31" s="701" t="s">
        <v>14</v>
      </c>
      <c r="S31" s="702">
        <f t="shared" si="12"/>
        <v>100</v>
      </c>
      <c r="T31" s="701" t="s">
        <v>14</v>
      </c>
      <c r="U31" s="702">
        <f t="shared" si="13"/>
        <v>100</v>
      </c>
      <c r="V31" s="701" t="s">
        <v>14</v>
      </c>
      <c r="W31" s="702">
        <f t="shared" si="14"/>
        <v>100</v>
      </c>
      <c r="X31" s="703"/>
      <c r="Y31" s="371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0" t="s">
        <v>1696</v>
      </c>
      <c r="Q32" s="1352">
        <f t="shared" si="11"/>
        <v>111</v>
      </c>
      <c r="R32" s="705" t="s">
        <v>14</v>
      </c>
      <c r="S32" s="706">
        <f t="shared" si="12"/>
        <v>100</v>
      </c>
      <c r="T32" s="705" t="s">
        <v>14</v>
      </c>
      <c r="U32" s="706">
        <f t="shared" si="13"/>
        <v>100</v>
      </c>
      <c r="V32" s="705" t="s">
        <v>14</v>
      </c>
      <c r="W32" s="706">
        <f t="shared" si="14"/>
        <v>100</v>
      </c>
      <c r="X32" s="1355"/>
      <c r="Y32" s="371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0"/>
      <c r="Q33" s="1352">
        <f t="shared" si="11"/>
        <v>111</v>
      </c>
      <c r="R33" s="705" t="s">
        <v>14</v>
      </c>
      <c r="S33" s="706">
        <f t="shared" si="12"/>
        <v>100</v>
      </c>
      <c r="T33" s="705" t="s">
        <v>14</v>
      </c>
      <c r="U33" s="706">
        <f t="shared" si="13"/>
        <v>100</v>
      </c>
      <c r="V33" s="705" t="s">
        <v>14</v>
      </c>
      <c r="W33" s="706">
        <f t="shared" si="14"/>
        <v>100</v>
      </c>
      <c r="X33" s="1355"/>
      <c r="Y33" s="371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0"/>
      <c r="Q34" s="1352">
        <f t="shared" si="11"/>
        <v>111</v>
      </c>
      <c r="R34" s="705" t="s">
        <v>14</v>
      </c>
      <c r="S34" s="706">
        <f t="shared" si="12"/>
        <v>100</v>
      </c>
      <c r="T34" s="705" t="s">
        <v>14</v>
      </c>
      <c r="U34" s="706">
        <f t="shared" si="13"/>
        <v>100</v>
      </c>
      <c r="V34" s="705" t="s">
        <v>14</v>
      </c>
      <c r="W34" s="706">
        <f t="shared" si="14"/>
        <v>100</v>
      </c>
      <c r="X34" s="1355"/>
      <c r="Y34" s="371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2" t="str">
        <f>A35</f>
        <v>成交单价（元/平方米）</v>
      </c>
      <c r="Q35" s="3712"/>
      <c r="R35" s="3713">
        <f>E35</f>
        <v>0</v>
      </c>
      <c r="S35" s="3713"/>
      <c r="T35" s="3713">
        <f>G35</f>
        <v>0</v>
      </c>
      <c r="U35" s="3713"/>
      <c r="V35" s="3713">
        <f>I35</f>
        <v>0</v>
      </c>
      <c r="W35" s="371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2" t="str">
        <f>A36</f>
        <v>比较价值（元/平方米）</v>
      </c>
      <c r="Q36" s="3712"/>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46" t="str">
        <f>A37</f>
        <v>估价对象XX用房的比较价值（楼面单价，元/平方米）</v>
      </c>
      <c r="Q37" s="3747"/>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7" t="s">
        <v>1770</v>
      </c>
      <c r="D4" s="3688"/>
      <c r="E4" s="3689" t="s">
        <v>1771</v>
      </c>
      <c r="F4" s="3690"/>
      <c r="G4" s="3687" t="s">
        <v>1772</v>
      </c>
      <c r="H4" s="3688"/>
      <c r="I4" s="3687" t="s">
        <v>1773</v>
      </c>
      <c r="J4" s="3688"/>
      <c r="K4" s="559" t="s">
        <v>1774</v>
      </c>
      <c r="L4" s="2715"/>
      <c r="M4" s="2716"/>
      <c r="N4" s="2716"/>
      <c r="O4" s="2716"/>
      <c r="P4" s="3742" t="s">
        <v>1775</v>
      </c>
      <c r="Q4" s="3743"/>
      <c r="R4" s="3739" t="s">
        <v>1771</v>
      </c>
      <c r="S4" s="3740"/>
      <c r="T4" s="3739" t="s">
        <v>1772</v>
      </c>
      <c r="U4" s="3740"/>
      <c r="V4" s="3700" t="s">
        <v>1773</v>
      </c>
      <c r="W4" s="3700"/>
      <c r="X4" s="1355"/>
      <c r="Y4" s="3739" t="s">
        <v>1775</v>
      </c>
      <c r="Z4" s="3740"/>
      <c r="AA4" s="3738" t="s">
        <v>1771</v>
      </c>
      <c r="AB4" s="3666" t="s">
        <v>1772</v>
      </c>
      <c r="AC4" s="3738" t="s">
        <v>1773</v>
      </c>
    </row>
    <row r="5" spans="1:30" ht="15">
      <c r="A5" s="358"/>
      <c r="B5" s="359"/>
      <c r="C5" s="3676" t="s">
        <v>1673</v>
      </c>
      <c r="D5" s="3677"/>
      <c r="E5" s="3741" t="s">
        <v>1674</v>
      </c>
      <c r="F5" s="3675"/>
      <c r="G5" s="3676" t="s">
        <v>1675</v>
      </c>
      <c r="H5" s="3677"/>
      <c r="I5" s="3676" t="s">
        <v>1676</v>
      </c>
      <c r="J5" s="3677"/>
      <c r="K5" s="559"/>
      <c r="L5" s="2715"/>
      <c r="M5" s="2716"/>
      <c r="N5" s="2716"/>
      <c r="O5" s="2716"/>
      <c r="P5" s="3744"/>
      <c r="Q5" s="3694"/>
      <c r="R5" s="3672"/>
      <c r="S5" s="3673"/>
      <c r="T5" s="3672"/>
      <c r="U5" s="3673"/>
      <c r="V5" s="3700"/>
      <c r="W5" s="3700"/>
      <c r="X5" s="1355"/>
      <c r="Y5" s="3672"/>
      <c r="Z5" s="3673"/>
      <c r="AA5" s="3666"/>
      <c r="AB5" s="3666"/>
      <c r="AC5" s="3666"/>
    </row>
    <row r="6" spans="1:30" ht="15.75" thickBot="1">
      <c r="A6" s="360"/>
      <c r="B6" s="361"/>
      <c r="C6" s="3678" t="s">
        <v>1677</v>
      </c>
      <c r="D6" s="3679"/>
      <c r="E6" s="3681" t="s">
        <v>1677</v>
      </c>
      <c r="F6" s="3682"/>
      <c r="G6" s="3678" t="s">
        <v>1677</v>
      </c>
      <c r="H6" s="3679"/>
      <c r="I6" s="3678" t="s">
        <v>1677</v>
      </c>
      <c r="J6" s="3679"/>
      <c r="K6" s="559" t="s">
        <v>1678</v>
      </c>
      <c r="L6" s="2715"/>
      <c r="M6" s="2716"/>
      <c r="N6" s="2716"/>
      <c r="O6" s="2716"/>
      <c r="P6" s="3745"/>
      <c r="Q6" s="3696"/>
      <c r="R6" s="3672"/>
      <c r="S6" s="3673"/>
      <c r="T6" s="3697"/>
      <c r="U6" s="3698"/>
      <c r="V6" s="3700"/>
      <c r="W6" s="3700"/>
      <c r="X6" s="1355"/>
      <c r="Y6" s="3697"/>
      <c r="Z6" s="3698"/>
      <c r="AA6" s="3667"/>
      <c r="AB6" s="3667"/>
      <c r="AC6" s="3667"/>
    </row>
    <row r="7" spans="1:30" s="108" customFormat="1" ht="15.75" thickBot="1">
      <c r="A7" s="362" t="s">
        <v>1679</v>
      </c>
      <c r="B7" s="363"/>
      <c r="C7" s="364">
        <f>'数据-取费表'!B2</f>
        <v>45000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8" t="s">
        <v>1680</v>
      </c>
      <c r="Q7" s="3702"/>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2"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137</v>
      </c>
      <c r="G10" s="414"/>
      <c r="H10" s="127">
        <f>ROUND(100/'数据-取费表'!G16,0)</f>
        <v>137</v>
      </c>
      <c r="I10" s="414"/>
      <c r="J10" s="127">
        <f>ROUND(100/'数据-取费表'!G16,0)</f>
        <v>137</v>
      </c>
      <c r="K10" s="620"/>
      <c r="L10" s="2719"/>
      <c r="M10" s="2720"/>
      <c r="N10" s="2720"/>
      <c r="O10" s="2773"/>
      <c r="P10" s="3712"/>
      <c r="Q10" s="1343" t="str">
        <f t="shared" si="6"/>
        <v>土地使用年限（年）</v>
      </c>
      <c r="R10" s="701" t="s">
        <v>14</v>
      </c>
      <c r="S10" s="702">
        <f t="shared" si="0"/>
        <v>137</v>
      </c>
      <c r="T10" s="701" t="s">
        <v>14</v>
      </c>
      <c r="U10" s="702">
        <f t="shared" si="1"/>
        <v>137</v>
      </c>
      <c r="V10" s="701" t="s">
        <v>14</v>
      </c>
      <c r="W10" s="702">
        <f t="shared" si="2"/>
        <v>137</v>
      </c>
      <c r="X10" s="703"/>
      <c r="Y10" s="3629"/>
      <c r="Z10" s="52" t="str">
        <f t="shared" si="7"/>
        <v>土地使用年限（年）</v>
      </c>
      <c r="AA10" s="704">
        <f t="shared" si="3"/>
        <v>0.72992700729927007</v>
      </c>
      <c r="AB10" s="704">
        <f t="shared" si="4"/>
        <v>0.72992700729927007</v>
      </c>
      <c r="AC10" s="704">
        <f t="shared" si="5"/>
        <v>0.72992700729927007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2"/>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2"/>
      <c r="Q12" s="1343" t="str">
        <f t="shared" si="6"/>
        <v>配建</v>
      </c>
      <c r="R12" s="701" t="s">
        <v>14</v>
      </c>
      <c r="S12" s="702">
        <f t="shared" si="0"/>
        <v>100</v>
      </c>
      <c r="T12" s="701" t="s">
        <v>14</v>
      </c>
      <c r="U12" s="702">
        <f t="shared" si="1"/>
        <v>100</v>
      </c>
      <c r="V12" s="701" t="s">
        <v>14</v>
      </c>
      <c r="W12" s="702">
        <f t="shared" si="2"/>
        <v>100</v>
      </c>
      <c r="X12" s="703"/>
      <c r="Y12" s="362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2"/>
      <c r="Q13" s="1343">
        <f t="shared" si="6"/>
        <v>111</v>
      </c>
      <c r="R13" s="701" t="s">
        <v>14</v>
      </c>
      <c r="S13" s="702">
        <f t="shared" si="0"/>
        <v>100</v>
      </c>
      <c r="T13" s="701" t="s">
        <v>14</v>
      </c>
      <c r="U13" s="702">
        <f t="shared" si="1"/>
        <v>100</v>
      </c>
      <c r="V13" s="701" t="s">
        <v>14</v>
      </c>
      <c r="W13" s="702">
        <f t="shared" si="2"/>
        <v>100</v>
      </c>
      <c r="X13" s="703"/>
      <c r="Y13" s="362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2"/>
      <c r="Q14" s="1343">
        <f t="shared" si="6"/>
        <v>111</v>
      </c>
      <c r="R14" s="701" t="s">
        <v>14</v>
      </c>
      <c r="S14" s="702">
        <f t="shared" si="0"/>
        <v>100</v>
      </c>
      <c r="T14" s="701" t="s">
        <v>14</v>
      </c>
      <c r="U14" s="702">
        <f t="shared" si="1"/>
        <v>100</v>
      </c>
      <c r="V14" s="701" t="s">
        <v>14</v>
      </c>
      <c r="W14" s="702">
        <f t="shared" si="2"/>
        <v>100</v>
      </c>
      <c r="X14" s="703"/>
      <c r="Y14" s="362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5" t="s">
        <v>1691</v>
      </c>
      <c r="Q15" s="1352" t="str">
        <f t="shared" si="6"/>
        <v>居住社区成熟度</v>
      </c>
      <c r="R15" s="705" t="s">
        <v>14</v>
      </c>
      <c r="S15" s="706">
        <f t="shared" si="0"/>
        <v>100</v>
      </c>
      <c r="T15" s="705" t="s">
        <v>14</v>
      </c>
      <c r="U15" s="706">
        <f t="shared" si="1"/>
        <v>100</v>
      </c>
      <c r="V15" s="705" t="s">
        <v>14</v>
      </c>
      <c r="W15" s="706">
        <f t="shared" si="2"/>
        <v>100</v>
      </c>
      <c r="X15" s="1355"/>
      <c r="Y15" s="370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6"/>
      <c r="Q16" s="1352"/>
      <c r="R16" s="705"/>
      <c r="S16" s="706"/>
      <c r="T16" s="705"/>
      <c r="U16" s="706"/>
      <c r="V16" s="705"/>
      <c r="W16" s="706"/>
      <c r="X16" s="1355"/>
      <c r="Y16" s="370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6"/>
      <c r="Q17" s="1352" t="str">
        <f>B17</f>
        <v>商业繁华度</v>
      </c>
      <c r="R17" s="705" t="s">
        <v>14</v>
      </c>
      <c r="S17" s="706">
        <f>F17</f>
        <v>100</v>
      </c>
      <c r="T17" s="705" t="s">
        <v>14</v>
      </c>
      <c r="U17" s="706">
        <f>H17</f>
        <v>100</v>
      </c>
      <c r="V17" s="705" t="s">
        <v>14</v>
      </c>
      <c r="W17" s="706">
        <f>J17</f>
        <v>100</v>
      </c>
      <c r="X17" s="1355"/>
      <c r="Y17" s="370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6"/>
      <c r="Q18" s="1352"/>
      <c r="R18" s="705"/>
      <c r="S18" s="706"/>
      <c r="T18" s="705"/>
      <c r="U18" s="706"/>
      <c r="V18" s="705"/>
      <c r="W18" s="706"/>
      <c r="X18" s="1355"/>
      <c r="Y18" s="370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6"/>
      <c r="Q19" s="1352" t="str">
        <f>B19</f>
        <v>办公集聚程度</v>
      </c>
      <c r="R19" s="705" t="s">
        <v>14</v>
      </c>
      <c r="S19" s="706">
        <f>F19</f>
        <v>100</v>
      </c>
      <c r="T19" s="705" t="s">
        <v>14</v>
      </c>
      <c r="U19" s="706">
        <f>H19</f>
        <v>100</v>
      </c>
      <c r="V19" s="705" t="s">
        <v>14</v>
      </c>
      <c r="W19" s="706">
        <f>J19</f>
        <v>100</v>
      </c>
      <c r="X19" s="1355"/>
      <c r="Y19" s="370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6"/>
      <c r="Q20" s="1352"/>
      <c r="R20" s="705"/>
      <c r="S20" s="706"/>
      <c r="T20" s="705"/>
      <c r="U20" s="706"/>
      <c r="V20" s="705"/>
      <c r="W20" s="706"/>
      <c r="X20" s="1355"/>
      <c r="Y20" s="370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6"/>
      <c r="Q21" s="1352" t="str">
        <f>B21</f>
        <v>交通便捷度</v>
      </c>
      <c r="R21" s="705" t="s">
        <v>14</v>
      </c>
      <c r="S21" s="706">
        <f>F21</f>
        <v>100</v>
      </c>
      <c r="T21" s="705" t="s">
        <v>14</v>
      </c>
      <c r="U21" s="706">
        <f>H21</f>
        <v>100</v>
      </c>
      <c r="V21" s="705" t="s">
        <v>14</v>
      </c>
      <c r="W21" s="706">
        <f>J21</f>
        <v>100</v>
      </c>
      <c r="X21" s="1355"/>
      <c r="Y21" s="370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6"/>
      <c r="Q22" s="1352"/>
      <c r="R22" s="705"/>
      <c r="S22" s="706"/>
      <c r="T22" s="705"/>
      <c r="U22" s="706"/>
      <c r="V22" s="705"/>
      <c r="W22" s="706"/>
      <c r="X22" s="1355"/>
      <c r="Y22" s="370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6"/>
      <c r="Q23" s="1352" t="str">
        <f t="shared" ref="Q23:Q37" si="8">B23</f>
        <v>区域土地利用方向</v>
      </c>
      <c r="R23" s="705" t="s">
        <v>14</v>
      </c>
      <c r="S23" s="706">
        <f>F23</f>
        <v>100</v>
      </c>
      <c r="T23" s="705" t="s">
        <v>14</v>
      </c>
      <c r="U23" s="706">
        <f>H23</f>
        <v>100</v>
      </c>
      <c r="V23" s="705" t="s">
        <v>14</v>
      </c>
      <c r="W23" s="706">
        <f>J23</f>
        <v>100</v>
      </c>
      <c r="X23" s="1355"/>
      <c r="Y23" s="370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6"/>
      <c r="Q24" s="1352"/>
      <c r="R24" s="705"/>
      <c r="S24" s="706"/>
      <c r="T24" s="705"/>
      <c r="U24" s="706"/>
      <c r="V24" s="705"/>
      <c r="W24" s="706"/>
      <c r="X24" s="1355"/>
      <c r="Y24" s="370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6"/>
      <c r="Q25" s="1352" t="str">
        <f t="shared" si="8"/>
        <v>自然及人文环境状况</v>
      </c>
      <c r="R25" s="705" t="s">
        <v>14</v>
      </c>
      <c r="S25" s="706">
        <f>F25</f>
        <v>100</v>
      </c>
      <c r="T25" s="705" t="s">
        <v>14</v>
      </c>
      <c r="U25" s="706">
        <f>H25</f>
        <v>100</v>
      </c>
      <c r="V25" s="705" t="s">
        <v>14</v>
      </c>
      <c r="W25" s="706">
        <f>J25</f>
        <v>100</v>
      </c>
      <c r="X25" s="1355"/>
      <c r="Y25" s="370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6"/>
      <c r="Q26" s="1352"/>
      <c r="R26" s="705"/>
      <c r="S26" s="706"/>
      <c r="T26" s="705"/>
      <c r="U26" s="706"/>
      <c r="V26" s="705"/>
      <c r="W26" s="706"/>
      <c r="X26" s="1355"/>
      <c r="Y26" s="370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6"/>
      <c r="Q27" s="1343" t="str">
        <f t="shared" si="8"/>
        <v>公共配套设施</v>
      </c>
      <c r="R27" s="701" t="s">
        <v>14</v>
      </c>
      <c r="S27" s="702">
        <f>F27</f>
        <v>100</v>
      </c>
      <c r="T27" s="701" t="s">
        <v>14</v>
      </c>
      <c r="U27" s="702">
        <f>H27</f>
        <v>100</v>
      </c>
      <c r="V27" s="701" t="s">
        <v>14</v>
      </c>
      <c r="W27" s="702">
        <f>J27</f>
        <v>100</v>
      </c>
      <c r="X27" s="703"/>
      <c r="Y27" s="370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6"/>
      <c r="Q28" s="1343"/>
      <c r="R28" s="701"/>
      <c r="S28" s="702"/>
      <c r="T28" s="701"/>
      <c r="U28" s="702"/>
      <c r="V28" s="701"/>
      <c r="W28" s="702"/>
      <c r="X28" s="703"/>
      <c r="Y28" s="370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6"/>
      <c r="Q29" s="1343" t="str">
        <f t="shared" ref="Q29" si="9">B29</f>
        <v>基础设施水平</v>
      </c>
      <c r="R29" s="701" t="s">
        <v>14</v>
      </c>
      <c r="S29" s="702">
        <f>F29</f>
        <v>100</v>
      </c>
      <c r="T29" s="701" t="s">
        <v>14</v>
      </c>
      <c r="U29" s="702">
        <f>H29</f>
        <v>100</v>
      </c>
      <c r="V29" s="701" t="s">
        <v>14</v>
      </c>
      <c r="W29" s="702">
        <f>J29</f>
        <v>100</v>
      </c>
      <c r="X29" s="703"/>
      <c r="Y29" s="370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6"/>
      <c r="Q30" s="1343"/>
      <c r="R30" s="701"/>
      <c r="S30" s="702"/>
      <c r="T30" s="701"/>
      <c r="U30" s="702"/>
      <c r="V30" s="701"/>
      <c r="W30" s="702"/>
      <c r="X30" s="703"/>
      <c r="Y30" s="370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6"/>
      <c r="Q32" s="1352" t="str">
        <f t="shared" si="8"/>
        <v>毗邻道路的类型与等级</v>
      </c>
      <c r="R32" s="705" t="s">
        <v>14</v>
      </c>
      <c r="S32" s="706">
        <f t="shared" si="10"/>
        <v>100</v>
      </c>
      <c r="T32" s="705" t="s">
        <v>14</v>
      </c>
      <c r="U32" s="706">
        <f t="shared" si="11"/>
        <v>100</v>
      </c>
      <c r="V32" s="705" t="s">
        <v>14</v>
      </c>
      <c r="W32" s="706">
        <f t="shared" si="12"/>
        <v>100</v>
      </c>
      <c r="X32" s="1355"/>
      <c r="Y32" s="370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6"/>
      <c r="Q33" s="1352"/>
      <c r="R33" s="705"/>
      <c r="S33" s="706"/>
      <c r="T33" s="705"/>
      <c r="U33" s="706"/>
      <c r="V33" s="705"/>
      <c r="W33" s="706"/>
      <c r="X33" s="1355"/>
      <c r="Y33" s="370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6"/>
      <c r="Q34" s="1352" t="str">
        <f t="shared" si="8"/>
        <v>土地级别</v>
      </c>
      <c r="R34" s="705" t="s">
        <v>14</v>
      </c>
      <c r="S34" s="706">
        <f t="shared" si="10"/>
        <v>100</v>
      </c>
      <c r="T34" s="705" t="s">
        <v>14</v>
      </c>
      <c r="U34" s="706">
        <f t="shared" si="11"/>
        <v>100</v>
      </c>
      <c r="V34" s="705" t="s">
        <v>14</v>
      </c>
      <c r="W34" s="706">
        <f t="shared" si="12"/>
        <v>100</v>
      </c>
      <c r="X34" s="1355"/>
      <c r="Y34" s="370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6"/>
      <c r="Q35" s="1352">
        <f t="shared" si="8"/>
        <v>111</v>
      </c>
      <c r="R35" s="705" t="s">
        <v>14</v>
      </c>
      <c r="S35" s="706">
        <f t="shared" si="10"/>
        <v>100</v>
      </c>
      <c r="T35" s="705" t="s">
        <v>14</v>
      </c>
      <c r="U35" s="706">
        <f t="shared" si="11"/>
        <v>100</v>
      </c>
      <c r="V35" s="705" t="s">
        <v>14</v>
      </c>
      <c r="W35" s="706">
        <f t="shared" si="12"/>
        <v>100</v>
      </c>
      <c r="X35" s="1355"/>
      <c r="Y35" s="370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9" t="s">
        <v>1696</v>
      </c>
      <c r="Q36" s="1352">
        <f t="shared" si="8"/>
        <v>111</v>
      </c>
      <c r="R36" s="705" t="s">
        <v>14</v>
      </c>
      <c r="S36" s="706">
        <f t="shared" si="10"/>
        <v>100</v>
      </c>
      <c r="T36" s="705" t="s">
        <v>14</v>
      </c>
      <c r="U36" s="706">
        <f t="shared" si="11"/>
        <v>100</v>
      </c>
      <c r="V36" s="705" t="s">
        <v>14</v>
      </c>
      <c r="W36" s="706">
        <f t="shared" si="12"/>
        <v>100</v>
      </c>
      <c r="X36" s="1355"/>
      <c r="Y36" s="371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0"/>
      <c r="Q37" s="1352">
        <f t="shared" si="8"/>
        <v>111</v>
      </c>
      <c r="R37" s="708" t="s">
        <v>14</v>
      </c>
      <c r="S37" s="709">
        <f t="shared" si="10"/>
        <v>100</v>
      </c>
      <c r="T37" s="708" t="s">
        <v>14</v>
      </c>
      <c r="U37" s="709">
        <f t="shared" si="11"/>
        <v>100</v>
      </c>
      <c r="V37" s="708" t="s">
        <v>14</v>
      </c>
      <c r="W37" s="709">
        <f t="shared" si="12"/>
        <v>100</v>
      </c>
      <c r="X37" s="710"/>
      <c r="Y37" s="371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0"/>
      <c r="Q38" s="1352" t="str">
        <f>B38</f>
        <v>宗地面积</v>
      </c>
      <c r="R38" s="705" t="s">
        <v>14</v>
      </c>
      <c r="S38" s="706" t="e">
        <f t="shared" si="10"/>
        <v>#N/A</v>
      </c>
      <c r="T38" s="705" t="s">
        <v>14</v>
      </c>
      <c r="U38" s="706" t="e">
        <f t="shared" si="11"/>
        <v>#N/A</v>
      </c>
      <c r="V38" s="705" t="s">
        <v>14</v>
      </c>
      <c r="W38" s="706" t="e">
        <f t="shared" si="12"/>
        <v>#N/A</v>
      </c>
      <c r="X38" s="1355"/>
      <c r="Y38" s="371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0"/>
      <c r="Q39" s="1352" t="str">
        <f t="shared" ref="Q39:Q45" si="14">B39</f>
        <v>宗地形状</v>
      </c>
      <c r="R39" s="705" t="s">
        <v>14</v>
      </c>
      <c r="S39" s="706">
        <f t="shared" si="10"/>
        <v>100</v>
      </c>
      <c r="T39" s="705" t="s">
        <v>14</v>
      </c>
      <c r="U39" s="706">
        <f t="shared" si="11"/>
        <v>100</v>
      </c>
      <c r="V39" s="705" t="s">
        <v>14</v>
      </c>
      <c r="W39" s="706">
        <f t="shared" si="12"/>
        <v>100</v>
      </c>
      <c r="X39" s="1355"/>
      <c r="Y39" s="371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0"/>
      <c r="Q40" s="1352" t="str">
        <f t="shared" si="14"/>
        <v>临街宽度及深度</v>
      </c>
      <c r="R40" s="705" t="s">
        <v>14</v>
      </c>
      <c r="S40" s="706">
        <f t="shared" si="10"/>
        <v>100</v>
      </c>
      <c r="T40" s="705" t="s">
        <v>14</v>
      </c>
      <c r="U40" s="706">
        <f t="shared" si="11"/>
        <v>100</v>
      </c>
      <c r="V40" s="705" t="s">
        <v>14</v>
      </c>
      <c r="W40" s="706">
        <f t="shared" si="12"/>
        <v>100</v>
      </c>
      <c r="X40" s="1355"/>
      <c r="Y40" s="371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0"/>
      <c r="Q41" s="1352" t="str">
        <f t="shared" si="14"/>
        <v>宗地开发程度</v>
      </c>
      <c r="R41" s="701" t="s">
        <v>14</v>
      </c>
      <c r="S41" s="702">
        <f t="shared" si="10"/>
        <v>100</v>
      </c>
      <c r="T41" s="701" t="s">
        <v>14</v>
      </c>
      <c r="U41" s="702">
        <f t="shared" si="11"/>
        <v>100</v>
      </c>
      <c r="V41" s="701" t="s">
        <v>14</v>
      </c>
      <c r="W41" s="702">
        <f t="shared" si="12"/>
        <v>100</v>
      </c>
      <c r="X41" s="703"/>
      <c r="Y41" s="371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0" t="s">
        <v>1696</v>
      </c>
      <c r="Q42" s="1352" t="str">
        <f t="shared" si="14"/>
        <v>工程地质条件</v>
      </c>
      <c r="R42" s="705" t="s">
        <v>14</v>
      </c>
      <c r="S42" s="706">
        <f t="shared" si="10"/>
        <v>100</v>
      </c>
      <c r="T42" s="705" t="s">
        <v>14</v>
      </c>
      <c r="U42" s="706">
        <f t="shared" si="11"/>
        <v>100</v>
      </c>
      <c r="V42" s="705" t="s">
        <v>14</v>
      </c>
      <c r="W42" s="706">
        <f t="shared" si="12"/>
        <v>100</v>
      </c>
      <c r="X42" s="1355"/>
      <c r="Y42" s="371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0"/>
      <c r="Q43" s="1352">
        <f t="shared" si="14"/>
        <v>111</v>
      </c>
      <c r="R43" s="705" t="s">
        <v>14</v>
      </c>
      <c r="S43" s="706">
        <f t="shared" si="10"/>
        <v>100</v>
      </c>
      <c r="T43" s="705" t="s">
        <v>14</v>
      </c>
      <c r="U43" s="706">
        <f t="shared" si="11"/>
        <v>100</v>
      </c>
      <c r="V43" s="705" t="s">
        <v>14</v>
      </c>
      <c r="W43" s="706">
        <f t="shared" si="12"/>
        <v>100</v>
      </c>
      <c r="X43" s="1355"/>
      <c r="Y43" s="371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0"/>
      <c r="Q44" s="1352">
        <f t="shared" si="14"/>
        <v>111</v>
      </c>
      <c r="R44" s="705" t="s">
        <v>14</v>
      </c>
      <c r="S44" s="706">
        <f t="shared" si="10"/>
        <v>100</v>
      </c>
      <c r="T44" s="705" t="s">
        <v>14</v>
      </c>
      <c r="U44" s="706">
        <f t="shared" si="11"/>
        <v>100</v>
      </c>
      <c r="V44" s="705" t="s">
        <v>14</v>
      </c>
      <c r="W44" s="706">
        <f t="shared" si="12"/>
        <v>100</v>
      </c>
      <c r="X44" s="1355"/>
      <c r="Y44" s="371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0"/>
      <c r="Q45" s="1352">
        <f t="shared" si="14"/>
        <v>111</v>
      </c>
      <c r="R45" s="708" t="s">
        <v>14</v>
      </c>
      <c r="S45" s="709">
        <f t="shared" si="10"/>
        <v>100</v>
      </c>
      <c r="T45" s="708" t="s">
        <v>14</v>
      </c>
      <c r="U45" s="709">
        <f t="shared" si="11"/>
        <v>100</v>
      </c>
      <c r="V45" s="708" t="s">
        <v>14</v>
      </c>
      <c r="W45" s="709">
        <f t="shared" si="12"/>
        <v>100</v>
      </c>
      <c r="X45" s="710"/>
      <c r="Y45" s="371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2" t="str">
        <f>A46</f>
        <v>成交单价</v>
      </c>
      <c r="Q46" s="3712"/>
      <c r="R46" s="3700">
        <f>E46</f>
        <v>0</v>
      </c>
      <c r="S46" s="3700"/>
      <c r="T46" s="3700">
        <f>G46</f>
        <v>0</v>
      </c>
      <c r="U46" s="3700"/>
      <c r="V46" s="3700">
        <f>I46</f>
        <v>0</v>
      </c>
      <c r="W46" s="370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2" t="str">
        <f>A47</f>
        <v>比较价值（元/平方米）</v>
      </c>
      <c r="Q47" s="3712"/>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46" t="str">
        <f>A48</f>
        <v>估价对象XX用房的比较价值（楼面单价，元/平方米）</v>
      </c>
      <c r="Q48" s="3747"/>
      <c r="R48" s="3752" t="e">
        <f>ROUND(IF(D47="简单平均",AVERAGE(R47:W47),R47*F47+T47*H47+V47*J47),0)</f>
        <v>#DIV/0!</v>
      </c>
      <c r="S48" s="3752"/>
      <c r="T48" s="3752"/>
      <c r="U48" s="3752"/>
      <c r="V48" s="3752"/>
      <c r="W48" s="375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7" t="s">
        <v>1887</v>
      </c>
      <c r="H55" s="375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1010.54</v>
      </c>
      <c r="F56" s="886" t="e">
        <f t="shared" ref="F56:F64" si="15">ROUND(B56*E56/10000,0)</f>
        <v>#DIV/0!</v>
      </c>
      <c r="G56" s="3683"/>
      <c r="H56" s="371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六级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六级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六级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六级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1010.54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742" t="s">
        <v>1775</v>
      </c>
      <c r="Q4" s="3743"/>
      <c r="R4" s="3739" t="s">
        <v>1771</v>
      </c>
      <c r="S4" s="3740"/>
      <c r="T4" s="3739" t="s">
        <v>1772</v>
      </c>
      <c r="U4" s="3740"/>
      <c r="V4" s="3700" t="s">
        <v>1773</v>
      </c>
      <c r="W4" s="3700"/>
      <c r="X4" s="1355"/>
      <c r="Y4" s="3739" t="s">
        <v>1775</v>
      </c>
      <c r="Z4" s="3740"/>
      <c r="AA4" s="3738" t="s">
        <v>1771</v>
      </c>
      <c r="AB4" s="3666" t="s">
        <v>1772</v>
      </c>
      <c r="AC4" s="3738" t="s">
        <v>1773</v>
      </c>
    </row>
    <row r="5" spans="1:29" ht="15">
      <c r="A5" s="358"/>
      <c r="B5" s="359"/>
      <c r="C5" s="3676" t="s">
        <v>1673</v>
      </c>
      <c r="D5" s="3677"/>
      <c r="E5" s="3741" t="s">
        <v>1674</v>
      </c>
      <c r="F5" s="3675"/>
      <c r="G5" s="3676" t="s">
        <v>1675</v>
      </c>
      <c r="H5" s="3677"/>
      <c r="I5" s="3676" t="s">
        <v>1676</v>
      </c>
      <c r="J5" s="3677"/>
      <c r="K5" s="559"/>
      <c r="L5" s="2715"/>
      <c r="M5" s="2716"/>
      <c r="N5" s="2716"/>
      <c r="O5" s="2716"/>
      <c r="P5" s="3744"/>
      <c r="Q5" s="3694"/>
      <c r="R5" s="3672"/>
      <c r="S5" s="3673"/>
      <c r="T5" s="3672"/>
      <c r="U5" s="3673"/>
      <c r="V5" s="3700"/>
      <c r="W5" s="3700"/>
      <c r="X5" s="1355"/>
      <c r="Y5" s="3672"/>
      <c r="Z5" s="3673"/>
      <c r="AA5" s="3666"/>
      <c r="AB5" s="3666"/>
      <c r="AC5" s="3666"/>
    </row>
    <row r="6" spans="1:29" ht="15.75" thickBot="1">
      <c r="A6" s="360"/>
      <c r="B6" s="361"/>
      <c r="C6" s="3754" t="s">
        <v>1919</v>
      </c>
      <c r="D6" s="3755"/>
      <c r="E6" s="3756" t="s">
        <v>1919</v>
      </c>
      <c r="F6" s="3757"/>
      <c r="G6" s="3754" t="s">
        <v>1919</v>
      </c>
      <c r="H6" s="3755"/>
      <c r="I6" s="3754" t="s">
        <v>1919</v>
      </c>
      <c r="J6" s="3755"/>
      <c r="K6" s="559" t="s">
        <v>1678</v>
      </c>
      <c r="L6" s="2715"/>
      <c r="M6" s="2716"/>
      <c r="N6" s="2716"/>
      <c r="O6" s="2716"/>
      <c r="P6" s="3745"/>
      <c r="Q6" s="3696"/>
      <c r="R6" s="3672"/>
      <c r="S6" s="3673"/>
      <c r="T6" s="3697"/>
      <c r="U6" s="3698"/>
      <c r="V6" s="3700"/>
      <c r="W6" s="3700"/>
      <c r="X6" s="1355"/>
      <c r="Y6" s="3697"/>
      <c r="Z6" s="3698"/>
      <c r="AA6" s="3667"/>
      <c r="AB6" s="3667"/>
      <c r="AC6" s="3667"/>
    </row>
    <row r="7" spans="1:29" s="108" customFormat="1" ht="15.75" thickBot="1">
      <c r="A7" s="362" t="s">
        <v>1679</v>
      </c>
      <c r="B7" s="363"/>
      <c r="C7" s="364">
        <f>'数据-取费表'!B2</f>
        <v>45000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8" t="s">
        <v>1680</v>
      </c>
      <c r="Q7" s="3702"/>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2"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137</v>
      </c>
      <c r="G10" s="383"/>
      <c r="H10" s="127">
        <f>ROUND(100/'数据-取费表'!G16,0)</f>
        <v>137</v>
      </c>
      <c r="I10" s="383"/>
      <c r="J10" s="127">
        <f>ROUND(100/'数据-取费表'!G16,0)</f>
        <v>137</v>
      </c>
      <c r="K10" s="620"/>
      <c r="L10" s="2719"/>
      <c r="M10" s="2720"/>
      <c r="N10" s="2720"/>
      <c r="O10" s="2773"/>
      <c r="P10" s="3712"/>
      <c r="Q10" s="1343" t="str">
        <f t="shared" si="6"/>
        <v>土地使用年限（年）</v>
      </c>
      <c r="R10" s="701" t="s">
        <v>14</v>
      </c>
      <c r="S10" s="702">
        <f t="shared" si="0"/>
        <v>137</v>
      </c>
      <c r="T10" s="701" t="s">
        <v>14</v>
      </c>
      <c r="U10" s="702">
        <f t="shared" si="1"/>
        <v>137</v>
      </c>
      <c r="V10" s="701" t="s">
        <v>14</v>
      </c>
      <c r="W10" s="702">
        <f t="shared" si="2"/>
        <v>137</v>
      </c>
      <c r="X10" s="703"/>
      <c r="Y10" s="3629"/>
      <c r="Z10" s="52" t="str">
        <f t="shared" si="7"/>
        <v>土地使用年限（年）</v>
      </c>
      <c r="AA10" s="704">
        <f t="shared" si="3"/>
        <v>0.72992700729927007</v>
      </c>
      <c r="AB10" s="704">
        <f t="shared" si="4"/>
        <v>0.72992700729927007</v>
      </c>
      <c r="AC10" s="704">
        <f t="shared" si="5"/>
        <v>0.72992700729927007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2"/>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2"/>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2"/>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2"/>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5" t="s">
        <v>1691</v>
      </c>
      <c r="Q15" s="1352" t="str">
        <f t="shared" si="6"/>
        <v>产业集聚程度</v>
      </c>
      <c r="R15" s="705" t="s">
        <v>14</v>
      </c>
      <c r="S15" s="706">
        <f t="shared" si="0"/>
        <v>100</v>
      </c>
      <c r="T15" s="705" t="s">
        <v>14</v>
      </c>
      <c r="U15" s="706">
        <f t="shared" si="1"/>
        <v>100</v>
      </c>
      <c r="V15" s="705" t="s">
        <v>14</v>
      </c>
      <c r="W15" s="706">
        <f t="shared" si="2"/>
        <v>100</v>
      </c>
      <c r="X15" s="1355"/>
      <c r="Y15" s="370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6"/>
      <c r="Q16" s="1352"/>
      <c r="R16" s="705"/>
      <c r="S16" s="706"/>
      <c r="T16" s="705"/>
      <c r="U16" s="706"/>
      <c r="V16" s="705"/>
      <c r="W16" s="706"/>
      <c r="X16" s="1355"/>
      <c r="Y16" s="370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6"/>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6"/>
      <c r="Q18" s="1352"/>
      <c r="R18" s="705"/>
      <c r="S18" s="706"/>
      <c r="T18" s="705"/>
      <c r="U18" s="706"/>
      <c r="V18" s="705"/>
      <c r="W18" s="706"/>
      <c r="X18" s="1355"/>
      <c r="Y18" s="370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6"/>
      <c r="Q19" s="1352" t="str">
        <f t="shared" ref="Q19:Q33" si="8">B19</f>
        <v>区域土地利用方向</v>
      </c>
      <c r="R19" s="705" t="s">
        <v>14</v>
      </c>
      <c r="S19" s="706">
        <f>F19</f>
        <v>100</v>
      </c>
      <c r="T19" s="705" t="s">
        <v>14</v>
      </c>
      <c r="U19" s="706">
        <f>H19</f>
        <v>100</v>
      </c>
      <c r="V19" s="705" t="s">
        <v>14</v>
      </c>
      <c r="W19" s="706">
        <f>J19</f>
        <v>100</v>
      </c>
      <c r="X19" s="1355"/>
      <c r="Y19" s="370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6"/>
      <c r="Q20" s="1352"/>
      <c r="R20" s="705"/>
      <c r="S20" s="706"/>
      <c r="T20" s="705"/>
      <c r="U20" s="706"/>
      <c r="V20" s="705"/>
      <c r="W20" s="706"/>
      <c r="X20" s="1355"/>
      <c r="Y20" s="370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6"/>
      <c r="Q21" s="1352" t="str">
        <f t="shared" si="8"/>
        <v>环境状况</v>
      </c>
      <c r="R21" s="705" t="s">
        <v>14</v>
      </c>
      <c r="S21" s="706">
        <f>F21</f>
        <v>100</v>
      </c>
      <c r="T21" s="705" t="s">
        <v>14</v>
      </c>
      <c r="U21" s="706">
        <f>H21</f>
        <v>100</v>
      </c>
      <c r="V21" s="705" t="s">
        <v>14</v>
      </c>
      <c r="W21" s="706">
        <f>J21</f>
        <v>100</v>
      </c>
      <c r="X21" s="1355"/>
      <c r="Y21" s="370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6"/>
      <c r="Q22" s="1352"/>
      <c r="R22" s="705"/>
      <c r="S22" s="706"/>
      <c r="T22" s="705"/>
      <c r="U22" s="706"/>
      <c r="V22" s="705"/>
      <c r="W22" s="706"/>
      <c r="X22" s="1355"/>
      <c r="Y22" s="370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6"/>
      <c r="Q23" s="1343" t="str">
        <f t="shared" si="8"/>
        <v>公共配套设施</v>
      </c>
      <c r="R23" s="701" t="s">
        <v>14</v>
      </c>
      <c r="S23" s="702">
        <f>F23</f>
        <v>100</v>
      </c>
      <c r="T23" s="701" t="s">
        <v>14</v>
      </c>
      <c r="U23" s="702">
        <f>H23</f>
        <v>100</v>
      </c>
      <c r="V23" s="701" t="s">
        <v>14</v>
      </c>
      <c r="W23" s="702">
        <f>J23</f>
        <v>100</v>
      </c>
      <c r="X23" s="703"/>
      <c r="Y23" s="370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6"/>
      <c r="Q24" s="1343"/>
      <c r="R24" s="701"/>
      <c r="S24" s="702"/>
      <c r="T24" s="701"/>
      <c r="U24" s="702"/>
      <c r="V24" s="701"/>
      <c r="W24" s="702"/>
      <c r="X24" s="703"/>
      <c r="Y24" s="370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6"/>
      <c r="Q25" s="1343" t="str">
        <f t="shared" ref="Q25" si="9">B25</f>
        <v>基础设施水平</v>
      </c>
      <c r="R25" s="701" t="s">
        <v>14</v>
      </c>
      <c r="S25" s="702">
        <f>F25</f>
        <v>100</v>
      </c>
      <c r="T25" s="701" t="s">
        <v>14</v>
      </c>
      <c r="U25" s="702">
        <f>H25</f>
        <v>100</v>
      </c>
      <c r="V25" s="701" t="s">
        <v>14</v>
      </c>
      <c r="W25" s="702">
        <f>J25</f>
        <v>100</v>
      </c>
      <c r="X25" s="703"/>
      <c r="Y25" s="370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6"/>
      <c r="Q26" s="1343"/>
      <c r="R26" s="701"/>
      <c r="S26" s="702"/>
      <c r="T26" s="701"/>
      <c r="U26" s="702"/>
      <c r="V26" s="701"/>
      <c r="W26" s="702"/>
      <c r="X26" s="703"/>
      <c r="Y26" s="370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6"/>
      <c r="Q28" s="1352" t="str">
        <f t="shared" si="8"/>
        <v>毗邻道路的类型与等级</v>
      </c>
      <c r="R28" s="705" t="s">
        <v>14</v>
      </c>
      <c r="S28" s="706">
        <f t="shared" si="10"/>
        <v>100</v>
      </c>
      <c r="T28" s="705" t="s">
        <v>14</v>
      </c>
      <c r="U28" s="706">
        <f t="shared" si="11"/>
        <v>100</v>
      </c>
      <c r="V28" s="705" t="s">
        <v>14</v>
      </c>
      <c r="W28" s="706">
        <f t="shared" si="12"/>
        <v>100</v>
      </c>
      <c r="X28" s="1355"/>
      <c r="Y28" s="370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6"/>
      <c r="Q29" s="1352"/>
      <c r="R29" s="705"/>
      <c r="S29" s="706"/>
      <c r="T29" s="705"/>
      <c r="U29" s="706"/>
      <c r="V29" s="705"/>
      <c r="W29" s="706"/>
      <c r="X29" s="1355"/>
      <c r="Y29" s="370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6"/>
      <c r="Q30" s="1352" t="str">
        <f t="shared" si="8"/>
        <v>土地级别</v>
      </c>
      <c r="R30" s="705" t="s">
        <v>14</v>
      </c>
      <c r="S30" s="706">
        <f t="shared" si="10"/>
        <v>100</v>
      </c>
      <c r="T30" s="705" t="s">
        <v>14</v>
      </c>
      <c r="U30" s="706">
        <f t="shared" si="11"/>
        <v>100</v>
      </c>
      <c r="V30" s="705" t="s">
        <v>14</v>
      </c>
      <c r="W30" s="706">
        <f t="shared" si="12"/>
        <v>100</v>
      </c>
      <c r="X30" s="1355"/>
      <c r="Y30" s="370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6"/>
      <c r="Q31" s="1352">
        <f t="shared" si="8"/>
        <v>111</v>
      </c>
      <c r="R31" s="705" t="s">
        <v>14</v>
      </c>
      <c r="S31" s="706">
        <f t="shared" si="10"/>
        <v>100</v>
      </c>
      <c r="T31" s="705" t="s">
        <v>14</v>
      </c>
      <c r="U31" s="706">
        <f t="shared" si="11"/>
        <v>100</v>
      </c>
      <c r="V31" s="705" t="s">
        <v>14</v>
      </c>
      <c r="W31" s="706">
        <f t="shared" si="12"/>
        <v>100</v>
      </c>
      <c r="X31" s="1355"/>
      <c r="Y31" s="370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9" t="s">
        <v>1696</v>
      </c>
      <c r="Q32" s="1352">
        <f t="shared" si="8"/>
        <v>111</v>
      </c>
      <c r="R32" s="705" t="s">
        <v>14</v>
      </c>
      <c r="S32" s="706">
        <f t="shared" si="10"/>
        <v>100</v>
      </c>
      <c r="T32" s="705" t="s">
        <v>14</v>
      </c>
      <c r="U32" s="706">
        <f t="shared" si="11"/>
        <v>100</v>
      </c>
      <c r="V32" s="705" t="s">
        <v>14</v>
      </c>
      <c r="W32" s="706">
        <f t="shared" si="12"/>
        <v>100</v>
      </c>
      <c r="X32" s="1355"/>
      <c r="Y32" s="371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0"/>
      <c r="Q33" s="1352">
        <f t="shared" si="8"/>
        <v>111</v>
      </c>
      <c r="R33" s="708" t="s">
        <v>14</v>
      </c>
      <c r="S33" s="709">
        <f t="shared" si="10"/>
        <v>100</v>
      </c>
      <c r="T33" s="708" t="s">
        <v>14</v>
      </c>
      <c r="U33" s="709">
        <f t="shared" si="11"/>
        <v>100</v>
      </c>
      <c r="V33" s="708" t="s">
        <v>14</v>
      </c>
      <c r="W33" s="709">
        <f t="shared" si="12"/>
        <v>100</v>
      </c>
      <c r="X33" s="710"/>
      <c r="Y33" s="371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0"/>
      <c r="Q34" s="1352" t="str">
        <f>B34</f>
        <v>宗地面积</v>
      </c>
      <c r="R34" s="705" t="s">
        <v>14</v>
      </c>
      <c r="S34" s="706" t="e">
        <f t="shared" si="10"/>
        <v>#N/A</v>
      </c>
      <c r="T34" s="705" t="s">
        <v>14</v>
      </c>
      <c r="U34" s="706" t="e">
        <f t="shared" si="11"/>
        <v>#N/A</v>
      </c>
      <c r="V34" s="705" t="s">
        <v>14</v>
      </c>
      <c r="W34" s="706" t="e">
        <f t="shared" si="12"/>
        <v>#N/A</v>
      </c>
      <c r="X34" s="1355"/>
      <c r="Y34" s="371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0"/>
      <c r="Q35" s="1352" t="str">
        <f t="shared" ref="Q35:Q40" si="14">B35</f>
        <v>宗地形状</v>
      </c>
      <c r="R35" s="705" t="s">
        <v>14</v>
      </c>
      <c r="S35" s="706">
        <f t="shared" si="10"/>
        <v>100</v>
      </c>
      <c r="T35" s="705" t="s">
        <v>14</v>
      </c>
      <c r="U35" s="706">
        <f t="shared" si="11"/>
        <v>100</v>
      </c>
      <c r="V35" s="705" t="s">
        <v>14</v>
      </c>
      <c r="W35" s="706">
        <f t="shared" si="12"/>
        <v>100</v>
      </c>
      <c r="X35" s="1355"/>
      <c r="Y35" s="371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0"/>
      <c r="Q36" s="1352" t="str">
        <f t="shared" si="14"/>
        <v>宗地开发程度</v>
      </c>
      <c r="R36" s="701" t="s">
        <v>14</v>
      </c>
      <c r="S36" s="702">
        <f t="shared" si="10"/>
        <v>100</v>
      </c>
      <c r="T36" s="701" t="s">
        <v>14</v>
      </c>
      <c r="U36" s="702">
        <f t="shared" si="11"/>
        <v>100</v>
      </c>
      <c r="V36" s="701" t="s">
        <v>14</v>
      </c>
      <c r="W36" s="702">
        <f t="shared" si="12"/>
        <v>100</v>
      </c>
      <c r="X36" s="703"/>
      <c r="Y36" s="371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0" t="s">
        <v>1696</v>
      </c>
      <c r="Q37" s="1352" t="str">
        <f t="shared" si="14"/>
        <v>工程地质条件</v>
      </c>
      <c r="R37" s="705" t="s">
        <v>14</v>
      </c>
      <c r="S37" s="706">
        <f t="shared" si="10"/>
        <v>100</v>
      </c>
      <c r="T37" s="705" t="s">
        <v>14</v>
      </c>
      <c r="U37" s="706">
        <f t="shared" si="11"/>
        <v>100</v>
      </c>
      <c r="V37" s="705" t="s">
        <v>14</v>
      </c>
      <c r="W37" s="706">
        <f t="shared" si="12"/>
        <v>100</v>
      </c>
      <c r="X37" s="1355"/>
      <c r="Y37" s="371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0"/>
      <c r="Q38" s="1352">
        <f t="shared" si="14"/>
        <v>111</v>
      </c>
      <c r="R38" s="705" t="s">
        <v>14</v>
      </c>
      <c r="S38" s="706">
        <f t="shared" si="10"/>
        <v>100</v>
      </c>
      <c r="T38" s="705" t="s">
        <v>14</v>
      </c>
      <c r="U38" s="706">
        <f t="shared" si="11"/>
        <v>100</v>
      </c>
      <c r="V38" s="705" t="s">
        <v>14</v>
      </c>
      <c r="W38" s="706">
        <f t="shared" si="12"/>
        <v>100</v>
      </c>
      <c r="X38" s="1355"/>
      <c r="Y38" s="371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0"/>
      <c r="Q39" s="1352">
        <f t="shared" si="14"/>
        <v>111</v>
      </c>
      <c r="R39" s="705" t="s">
        <v>14</v>
      </c>
      <c r="S39" s="706">
        <f t="shared" si="10"/>
        <v>100</v>
      </c>
      <c r="T39" s="705" t="s">
        <v>14</v>
      </c>
      <c r="U39" s="706">
        <f t="shared" si="11"/>
        <v>100</v>
      </c>
      <c r="V39" s="705" t="s">
        <v>14</v>
      </c>
      <c r="W39" s="706">
        <f t="shared" si="12"/>
        <v>100</v>
      </c>
      <c r="X39" s="1355"/>
      <c r="Y39" s="371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0"/>
      <c r="Q40" s="1352">
        <f t="shared" si="14"/>
        <v>111</v>
      </c>
      <c r="R40" s="708" t="s">
        <v>14</v>
      </c>
      <c r="S40" s="709">
        <f t="shared" si="10"/>
        <v>100</v>
      </c>
      <c r="T40" s="708" t="s">
        <v>14</v>
      </c>
      <c r="U40" s="709">
        <f t="shared" si="11"/>
        <v>100</v>
      </c>
      <c r="V40" s="708" t="s">
        <v>14</v>
      </c>
      <c r="W40" s="709">
        <f t="shared" si="12"/>
        <v>100</v>
      </c>
      <c r="X40" s="710"/>
      <c r="Y40" s="371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2" t="str">
        <f>A41</f>
        <v>成交单价</v>
      </c>
      <c r="Q41" s="3712"/>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2" t="str">
        <f>A42</f>
        <v>比较价值（元/平方米）</v>
      </c>
      <c r="Q42" s="3712"/>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46" t="str">
        <f>A43</f>
        <v>估价对象XX用房的比较价值（楼面单价，元/平方米）</v>
      </c>
      <c r="Q43" s="3747"/>
      <c r="R43" s="3752" t="e">
        <f>ROUND(IF(D42="简单平均",AVERAGE(R42:W42),R42*F42+T42*H42+V42*J42),0)</f>
        <v>#DIV/0!</v>
      </c>
      <c r="S43" s="3752"/>
      <c r="T43" s="3752"/>
      <c r="U43" s="3752"/>
      <c r="V43" s="3752"/>
      <c r="W43" s="375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7" t="s">
        <v>1887</v>
      </c>
      <c r="H50" s="375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1010.54</v>
      </c>
      <c r="F51" s="639" t="e">
        <f t="shared" ref="F51:F60" si="15">ROUND(B51*E51/10000,0)</f>
        <v>#DIV/0!</v>
      </c>
      <c r="G51" s="3683"/>
      <c r="H51" s="371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六级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六级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六级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六级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1" t="s">
        <v>2084</v>
      </c>
      <c r="D1" s="3762"/>
      <c r="E1" s="3762"/>
      <c r="F1" s="3762"/>
      <c r="G1" s="3762"/>
      <c r="H1" s="3762"/>
      <c r="I1" s="3762"/>
      <c r="J1" s="3762"/>
      <c r="K1" s="3762"/>
      <c r="L1" s="3762"/>
      <c r="M1" s="3762"/>
      <c r="N1" s="3762"/>
      <c r="O1" s="3762"/>
      <c r="P1" s="3762"/>
      <c r="Q1" s="3762"/>
      <c r="R1" s="3762"/>
      <c r="S1" s="376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1024</v>
      </c>
      <c r="C2" s="2145" t="s">
        <v>2074</v>
      </c>
      <c r="D2" s="2145" t="s">
        <v>2075</v>
      </c>
      <c r="E2" s="2612">
        <f ca="1">SUMIF(E6:E13,"&lt;&gt;#ref!",E6:E13)</f>
        <v>1010.54</v>
      </c>
      <c r="F2" s="2793"/>
      <c r="G2" s="2793"/>
      <c r="H2" s="2793"/>
      <c r="I2" s="2793"/>
      <c r="J2" s="2793"/>
      <c r="K2" s="2793"/>
      <c r="L2" s="2793"/>
      <c r="M2" s="2793"/>
      <c r="N2" s="2793"/>
      <c r="O2" s="2793"/>
      <c r="P2" s="2793"/>
    </row>
    <row r="3" spans="1:16" ht="15.75">
      <c r="A3" s="2145" t="s">
        <v>2076</v>
      </c>
      <c r="B3" s="2602">
        <f ca="1">ROUND(B2*10000/E2,0)</f>
        <v>10133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1024</v>
      </c>
      <c r="C6" s="2145" t="s">
        <v>2074</v>
      </c>
      <c r="D6" s="2793"/>
      <c r="E6" s="2612">
        <f ca="1">SUMIF(INDIRECT("'"&amp;A6&amp;"'"&amp;"!C:C"),"建筑面积",INDIRECT("'"&amp;A6&amp;"'"&amp;"!D:D"))</f>
        <v>1010.54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E3" sqref="E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1010.54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1024</v>
      </c>
      <c r="C2" s="1999" t="s">
        <v>1935</v>
      </c>
      <c r="D2" s="2000" t="s">
        <v>1936</v>
      </c>
      <c r="E2" s="3422" t="s">
        <v>673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Ⅵ-07</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15224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10133</v>
      </c>
      <c r="C3" s="1999" t="s">
        <v>1941</v>
      </c>
      <c r="D3" s="2000" t="s">
        <v>1942</v>
      </c>
      <c r="E3" s="3420" t="s">
        <v>3465</v>
      </c>
      <c r="F3" s="2004" t="s">
        <v>3389</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12000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1"/>
      <c r="B4" s="3772"/>
      <c r="C4" s="3772"/>
      <c r="D4" s="3773"/>
      <c r="E4" s="3773"/>
      <c r="F4" s="3773"/>
      <c r="G4" s="3773"/>
      <c r="H4" s="3773"/>
      <c r="I4" s="3773"/>
      <c r="J4" s="377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10142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12234</v>
      </c>
      <c r="D5" s="1339">
        <f>ROUND(C6*C17+C20,0)</f>
        <v>12234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8945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12270</v>
      </c>
      <c r="D6" s="2017"/>
      <c r="E6" s="2018"/>
      <c r="F6" s="2018"/>
      <c r="G6" s="2019"/>
      <c r="H6" s="2019"/>
      <c r="I6" s="2019"/>
      <c r="J6" s="2020"/>
      <c r="K6" s="1384"/>
      <c r="L6" s="2003" t="s">
        <v>1951</v>
      </c>
      <c r="M6" s="864">
        <f>SUMPRODUCT((区片价!B127:B189=I2)*(区片价!C3:G3=E2)*(区片价!C127:G189))</f>
        <v>12270</v>
      </c>
      <c r="N6" s="866">
        <f>SUMPRODUCT((因素修正幅度!B127:B189=I2)*(因素修正幅度!C3:G3=E2)*(因素修正幅度!C127:G189))</f>
        <v>0.111</v>
      </c>
      <c r="O6" s="1119"/>
      <c r="P6" s="1119"/>
      <c r="Q6" s="1119"/>
      <c r="R6" s="1212">
        <v>5</v>
      </c>
      <c r="S6" s="3361">
        <f>ROUND(SUMPRODUCT((B106:B110=R6)*(C105:N105=G2)*(C106:N110)),4)</f>
        <v>0.84799999999999998</v>
      </c>
      <c r="T6" s="3361">
        <f t="shared" si="0"/>
        <v>8596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2.5</v>
      </c>
      <c r="AA7" s="1216"/>
      <c r="AB7" s="1216"/>
      <c r="AC7" s="1217"/>
      <c r="AD7" s="1218"/>
      <c r="AE7" s="1218"/>
      <c r="AF7" s="1218"/>
      <c r="AG7" s="1218"/>
      <c r="AH7" s="1218"/>
      <c r="AI7" s="1218"/>
      <c r="AJ7" s="1219"/>
    </row>
    <row r="8" spans="1:36" ht="25.5">
      <c r="A8" s="3299"/>
      <c r="B8" s="170" t="s">
        <v>1957</v>
      </c>
      <c r="C8" s="2026" t="s">
        <v>3390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8" t="s">
        <v>1960</v>
      </c>
      <c r="X8" s="376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0"/>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5" t="s">
        <v>3261</v>
      </c>
      <c r="B20" s="167" t="s">
        <v>1994</v>
      </c>
      <c r="C20" s="3325">
        <f>ROUND(IF(F21="与级别开发程度一致",0,(G21-E21)/C21),0)</f>
        <v>-36</v>
      </c>
      <c r="D20" s="3341" t="s">
        <v>1998</v>
      </c>
      <c r="E20" s="3342"/>
      <c r="F20" s="3781" t="s">
        <v>1995</v>
      </c>
      <c r="G20" s="3782"/>
      <c r="H20" s="3326" t="s">
        <v>3391</v>
      </c>
      <c r="I20" s="3326" t="s">
        <v>3392</v>
      </c>
      <c r="J20" s="3327" t="s">
        <v>3393</v>
      </c>
      <c r="K20" s="2047" t="s">
        <v>3394</v>
      </c>
      <c r="L20" s="2047" t="s">
        <v>3395</v>
      </c>
      <c r="M20" s="2047"/>
      <c r="N20" s="2047"/>
      <c r="O20" s="2048" t="s">
        <v>3396</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6"/>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45000</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0.7681</v>
      </c>
      <c r="D24" s="2060" t="s">
        <v>2007</v>
      </c>
      <c r="E24" s="1335">
        <f>存贷款利率!E22/100</f>
        <v>4.3499999999999997E-2</v>
      </c>
      <c r="F24" s="2060" t="s">
        <v>1999</v>
      </c>
      <c r="G24" s="768">
        <f>SUMIF(M30:Q30,E2,M33:Q33)</f>
        <v>5.5E-2</v>
      </c>
      <c r="H24" s="2060" t="s">
        <v>2008</v>
      </c>
      <c r="I24" s="769">
        <f>SUMIF('数据-取费表'!C6:C15,E2,'数据-取费表'!F6:F15)/COUNTIF('数据-取费表'!C6:C15,E2)</f>
        <v>21.16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1.0523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1024</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10137</v>
      </c>
      <c r="D33" s="2098">
        <f>'数据-基础表'!I13</f>
        <v>1010.54</v>
      </c>
      <c r="E33" s="773">
        <f>ROUND(C33*D33/10000,0)</f>
        <v>1024</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2534</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9"/>
      <c r="B37" s="2113" t="s">
        <v>2036</v>
      </c>
      <c r="C37" s="175">
        <f>ROUND(D5*C22*C23*C24*C28*F37,0)</f>
        <v>6082</v>
      </c>
      <c r="D37" s="2098"/>
      <c r="E37" s="171">
        <f>ROUND(C37*D37/10000,0)</f>
        <v>0</v>
      </c>
      <c r="F37" s="171">
        <f>SUMIF(修正!A57:A68,G2,修正!B57:B68)</f>
        <v>0.6</v>
      </c>
      <c r="G37" s="171">
        <f>ROUND(IF(E2="工业",C37*$M$42,C37*$M$41),0)</f>
        <v>1521</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0"/>
      <c r="B38" s="2041" t="s">
        <v>2037</v>
      </c>
      <c r="C38" s="175">
        <f>ROUND(D5*C22*C23*C24*C28*F38,0)</f>
        <v>3041</v>
      </c>
      <c r="D38" s="2098"/>
      <c r="E38" s="171">
        <f t="shared" ref="E38:E42" si="4">ROUND(C38*D38/10000,0)</f>
        <v>0</v>
      </c>
      <c r="F38" s="171">
        <f>SUMIF(修正!A57:A68,G2,修正!C57:C68)</f>
        <v>0.3</v>
      </c>
      <c r="G38" s="171">
        <f>ROUND(IF(E2="工业",C38*$M$42,C38*$M$41),0)</f>
        <v>760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0"/>
      <c r="B39" s="2041" t="s">
        <v>3266</v>
      </c>
      <c r="C39" s="175">
        <f>ROUND(D5*C22*C23*C24*C28*F39,0)</f>
        <v>2534</v>
      </c>
      <c r="D39" s="2098"/>
      <c r="E39" s="171">
        <f t="shared" si="4"/>
        <v>0</v>
      </c>
      <c r="F39" s="171">
        <f>SUMIF(修正!A57:A68,G2,修正!D57:D68)</f>
        <v>0.25</v>
      </c>
      <c r="G39" s="171">
        <f>ROUND(IF(E2="工业",C39*$M$42,C39*$M$41),0)</f>
        <v>634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2534</v>
      </c>
      <c r="D40" s="2098"/>
      <c r="E40" s="171">
        <f t="shared" si="4"/>
        <v>0</v>
      </c>
      <c r="F40" s="175">
        <f>SUMIF(修正!A57:A68,G2,修正!E57:E68)</f>
        <v>0.25</v>
      </c>
      <c r="G40" s="171">
        <f>ROUND(IF(E2="工业",C40*$M$42,C40*$M$41),0)</f>
        <v>634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1.0523</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3397</v>
      </c>
      <c r="D50" s="1065">
        <f t="shared" ref="D50:D58" si="7">SUMIF($J$49:$N$49,C50,J50:N50)</f>
        <v>1.66E-2</v>
      </c>
      <c r="E50" s="744">
        <f>ROUND(SUM(D50:D58),4)</f>
        <v>5.2299999999999999E-2</v>
      </c>
      <c r="F50" s="1814">
        <f>IF(E2="商业",SUMIF(L1:L12,G2,N1:N12),"——")</f>
        <v>0.111</v>
      </c>
      <c r="G50" s="1063">
        <f>H50</f>
        <v>1.66E-2</v>
      </c>
      <c r="H50" s="1066">
        <f t="shared" ref="H50:H58" si="8">IFERROR(ROUNDDOWN($F$50*I50/2,4),"——")</f>
        <v>1.66E-2</v>
      </c>
      <c r="I50" s="3367">
        <v>0.3</v>
      </c>
      <c r="J50" s="1064">
        <f t="shared" ref="J50:J58" si="9">K50+$G50</f>
        <v>3.32E-2</v>
      </c>
      <c r="K50" s="1064">
        <f t="shared" ref="K50:K58" si="10">$L50+$G50</f>
        <v>1.66E-2</v>
      </c>
      <c r="L50" s="1064">
        <v>0</v>
      </c>
      <c r="M50" s="1064">
        <f t="shared" ref="M50:N58" si="11">L50-$G50</f>
        <v>-1.66E-2</v>
      </c>
      <c r="N50" s="1064">
        <f t="shared" si="11"/>
        <v>-3.32E-2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3397</v>
      </c>
      <c r="D51" s="1065">
        <f t="shared" si="7"/>
        <v>1.2200000000000001E-2</v>
      </c>
      <c r="E51" s="745"/>
      <c r="F51" s="1814"/>
      <c r="G51" s="1063">
        <f t="shared" ref="G51:G58" si="12">H51</f>
        <v>1.2200000000000001E-2</v>
      </c>
      <c r="H51" s="1066">
        <f t="shared" si="8"/>
        <v>1.2200000000000001E-2</v>
      </c>
      <c r="I51" s="3367">
        <v>0.22</v>
      </c>
      <c r="J51" s="1064">
        <f t="shared" si="9"/>
        <v>2.4400000000000002E-2</v>
      </c>
      <c r="K51" s="1064">
        <f t="shared" si="10"/>
        <v>1.2200000000000001E-2</v>
      </c>
      <c r="L51" s="1064">
        <v>0</v>
      </c>
      <c r="M51" s="1064">
        <f t="shared" si="11"/>
        <v>-1.2200000000000001E-2</v>
      </c>
      <c r="N51" s="1064">
        <f t="shared" si="11"/>
        <v>-2.4400000000000002E-2</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t="s">
        <v>3397</v>
      </c>
      <c r="D52" s="1065">
        <f t="shared" si="7"/>
        <v>6.6E-3</v>
      </c>
      <c r="E52" s="745"/>
      <c r="F52" s="1814"/>
      <c r="G52" s="1063">
        <f t="shared" si="12"/>
        <v>6.6E-3</v>
      </c>
      <c r="H52" s="1066">
        <f t="shared" si="8"/>
        <v>6.6E-3</v>
      </c>
      <c r="I52" s="3367">
        <v>0.12</v>
      </c>
      <c r="J52" s="1064">
        <f t="shared" si="9"/>
        <v>1.32E-2</v>
      </c>
      <c r="K52" s="1064">
        <f t="shared" si="10"/>
        <v>6.6E-3</v>
      </c>
      <c r="L52" s="1064">
        <v>0</v>
      </c>
      <c r="M52" s="1064">
        <f t="shared" si="11"/>
        <v>-6.6E-3</v>
      </c>
      <c r="N52" s="1064">
        <f t="shared" si="11"/>
        <v>-1.32E-2</v>
      </c>
      <c r="AA52" s="1120"/>
      <c r="AB52" s="1120"/>
      <c r="AC52" s="1120"/>
      <c r="AD52" s="1120"/>
      <c r="AE52" s="1120"/>
      <c r="AF52" s="1120"/>
      <c r="AG52" s="1120"/>
      <c r="AH52" s="1120"/>
      <c r="AI52" s="1120"/>
      <c r="AJ52" s="1120"/>
      <c r="AK52" s="1120"/>
    </row>
    <row r="53" spans="1:37" s="1119" customFormat="1" ht="36.75">
      <c r="A53" s="2130" t="s">
        <v>2054</v>
      </c>
      <c r="B53" s="2135" t="s">
        <v>2055</v>
      </c>
      <c r="C53" s="2044" t="s">
        <v>3398</v>
      </c>
      <c r="D53" s="1065">
        <f t="shared" si="7"/>
        <v>0</v>
      </c>
      <c r="E53" s="745"/>
      <c r="F53" s="1814"/>
      <c r="G53" s="1063">
        <f t="shared" si="12"/>
        <v>2.7000000000000001E-3</v>
      </c>
      <c r="H53" s="1066">
        <f t="shared" si="8"/>
        <v>2.7000000000000001E-3</v>
      </c>
      <c r="I53" s="3367">
        <v>0.05</v>
      </c>
      <c r="J53" s="1064">
        <f t="shared" si="9"/>
        <v>5.4000000000000003E-3</v>
      </c>
      <c r="K53" s="1064">
        <f t="shared" si="10"/>
        <v>2.7000000000000001E-3</v>
      </c>
      <c r="L53" s="1064">
        <v>0</v>
      </c>
      <c r="M53" s="1064">
        <f t="shared" si="11"/>
        <v>-2.7000000000000001E-3</v>
      </c>
      <c r="N53" s="1064">
        <f t="shared" si="11"/>
        <v>-5.4000000000000003E-3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3398</v>
      </c>
      <c r="D54" s="1065">
        <f t="shared" si="7"/>
        <v>0</v>
      </c>
      <c r="E54" s="745"/>
      <c r="F54" s="1814"/>
      <c r="G54" s="1063">
        <f t="shared" si="12"/>
        <v>4.4000000000000003E-3</v>
      </c>
      <c r="H54" s="1066">
        <f t="shared" si="8"/>
        <v>4.4000000000000003E-3</v>
      </c>
      <c r="I54" s="3367">
        <v>0.08</v>
      </c>
      <c r="J54" s="1064">
        <f t="shared" si="9"/>
        <v>8.8000000000000005E-3</v>
      </c>
      <c r="K54" s="1064">
        <f t="shared" si="10"/>
        <v>4.4000000000000003E-3</v>
      </c>
      <c r="L54" s="1064">
        <v>0</v>
      </c>
      <c r="M54" s="1064">
        <f t="shared" si="11"/>
        <v>-4.4000000000000003E-3</v>
      </c>
      <c r="N54" s="1064">
        <f t="shared" si="11"/>
        <v>-8.8000000000000005E-3</v>
      </c>
      <c r="AA54" s="1120"/>
      <c r="AB54" s="1120"/>
      <c r="AC54" s="1120"/>
      <c r="AD54" s="1120"/>
      <c r="AE54" s="1120"/>
      <c r="AF54" s="1120"/>
      <c r="AG54" s="1120"/>
      <c r="AH54" s="1120"/>
      <c r="AI54" s="1120"/>
      <c r="AJ54" s="1120"/>
      <c r="AK54" s="1120"/>
    </row>
    <row r="55" spans="1:37" s="1119" customFormat="1" ht="24">
      <c r="A55" s="2130" t="s">
        <v>2057</v>
      </c>
      <c r="B55" s="2136" t="s">
        <v>2058</v>
      </c>
      <c r="C55" s="2044" t="s">
        <v>3397</v>
      </c>
      <c r="D55" s="1065">
        <f t="shared" si="7"/>
        <v>2.7000000000000001E-3</v>
      </c>
      <c r="E55" s="745"/>
      <c r="F55" s="1814"/>
      <c r="G55" s="1063">
        <f t="shared" si="12"/>
        <v>2.7000000000000001E-3</v>
      </c>
      <c r="H55" s="1066">
        <f t="shared" si="8"/>
        <v>2.7000000000000001E-3</v>
      </c>
      <c r="I55" s="3367">
        <v>0.05</v>
      </c>
      <c r="J55" s="1064">
        <f t="shared" si="9"/>
        <v>5.4000000000000003E-3</v>
      </c>
      <c r="K55" s="1064">
        <f t="shared" si="10"/>
        <v>2.7000000000000001E-3</v>
      </c>
      <c r="L55" s="1064">
        <v>0</v>
      </c>
      <c r="M55" s="1064">
        <f t="shared" si="11"/>
        <v>-2.7000000000000001E-3</v>
      </c>
      <c r="N55" s="1064">
        <f t="shared" si="11"/>
        <v>-5.4000000000000003E-3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3397</v>
      </c>
      <c r="D56" s="1065">
        <f t="shared" si="7"/>
        <v>2.7000000000000001E-3</v>
      </c>
      <c r="E56" s="745"/>
      <c r="F56" s="1814"/>
      <c r="G56" s="1063">
        <f t="shared" si="12"/>
        <v>2.7000000000000001E-3</v>
      </c>
      <c r="H56" s="1066">
        <f t="shared" si="8"/>
        <v>2.7000000000000001E-3</v>
      </c>
      <c r="I56" s="3367">
        <v>0.05</v>
      </c>
      <c r="J56" s="1064">
        <f t="shared" si="9"/>
        <v>5.4000000000000003E-3</v>
      </c>
      <c r="K56" s="1064">
        <f t="shared" si="10"/>
        <v>2.7000000000000001E-3</v>
      </c>
      <c r="L56" s="1064">
        <v>0</v>
      </c>
      <c r="M56" s="1064">
        <f t="shared" si="11"/>
        <v>-2.7000000000000001E-3</v>
      </c>
      <c r="N56" s="1064">
        <f t="shared" si="11"/>
        <v>-5.4000000000000003E-3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3399</v>
      </c>
      <c r="D57" s="1065">
        <f t="shared" si="7"/>
        <v>8.8000000000000005E-3</v>
      </c>
      <c r="E57" s="745"/>
      <c r="F57" s="1814"/>
      <c r="G57" s="1063">
        <f t="shared" si="12"/>
        <v>4.4000000000000003E-3</v>
      </c>
      <c r="H57" s="1066">
        <f t="shared" si="8"/>
        <v>4.4000000000000003E-3</v>
      </c>
      <c r="I57" s="3367">
        <v>0.08</v>
      </c>
      <c r="J57" s="1064">
        <f t="shared" si="9"/>
        <v>8.8000000000000005E-3</v>
      </c>
      <c r="K57" s="1064">
        <f t="shared" si="10"/>
        <v>4.4000000000000003E-3</v>
      </c>
      <c r="L57" s="1064">
        <v>0</v>
      </c>
      <c r="M57" s="1064">
        <f t="shared" si="11"/>
        <v>-4.4000000000000003E-3</v>
      </c>
      <c r="N57" s="1064">
        <f t="shared" si="11"/>
        <v>-8.8000000000000005E-3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3397</v>
      </c>
      <c r="D58" s="1065">
        <f t="shared" si="7"/>
        <v>2.7000000000000001E-3</v>
      </c>
      <c r="E58" s="746"/>
      <c r="F58" s="1814"/>
      <c r="G58" s="1063">
        <f t="shared" si="12"/>
        <v>2.7000000000000001E-3</v>
      </c>
      <c r="H58" s="1066">
        <f t="shared" si="8"/>
        <v>2.7000000000000001E-3</v>
      </c>
      <c r="I58" s="3368">
        <v>0.05</v>
      </c>
      <c r="J58" s="1064">
        <f t="shared" si="9"/>
        <v>5.4000000000000003E-3</v>
      </c>
      <c r="K58" s="1064">
        <f t="shared" si="10"/>
        <v>2.7000000000000001E-3</v>
      </c>
      <c r="L58" s="1064">
        <v>0</v>
      </c>
      <c r="M58" s="1064">
        <f t="shared" si="11"/>
        <v>-2.7000000000000001E-3</v>
      </c>
      <c r="N58" s="1064">
        <f t="shared" si="11"/>
        <v>-5.4000000000000003E-3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3277</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3280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3281</v>
      </c>
      <c r="B96" s="3385" t="s">
        <v>3292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3283</v>
      </c>
      <c r="B98" s="3386" t="s">
        <v>3293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7" t="s">
        <v>3301</v>
      </c>
      <c r="B103" s="3777"/>
      <c r="C103" s="3777"/>
      <c r="D103" s="3777"/>
      <c r="E103" s="3777"/>
      <c r="F103" s="3777"/>
      <c r="G103" s="3777"/>
      <c r="H103" s="3777"/>
      <c r="I103" s="3777"/>
      <c r="J103" s="3777"/>
      <c r="K103" s="3390"/>
      <c r="L103" s="3390"/>
      <c r="M103" s="3390"/>
      <c r="N103" s="3390"/>
    </row>
    <row r="104" spans="1:14">
      <c r="A104" s="3778" t="s">
        <v>3302</v>
      </c>
      <c r="B104" s="3778" t="s">
        <v>3303</v>
      </c>
      <c r="C104" s="3391" t="s">
        <v>3304</v>
      </c>
      <c r="D104" s="3392"/>
      <c r="E104" s="3392"/>
      <c r="F104" s="3392"/>
      <c r="G104" s="3392"/>
      <c r="H104" s="3392"/>
      <c r="I104" s="3392"/>
      <c r="J104" s="3393"/>
      <c r="K104" s="3394"/>
      <c r="L104" s="3394"/>
      <c r="M104" s="3394"/>
      <c r="N104" s="3394"/>
    </row>
    <row r="105" spans="1:14">
      <c r="A105" s="3778"/>
      <c r="B105" s="3778"/>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64"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5"/>
      <c r="B111" s="3395" t="s">
        <v>3275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6"/>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7" t="s">
        <v>3318</v>
      </c>
      <c r="B113" s="3767"/>
      <c r="C113" s="3767"/>
      <c r="D113" s="3767"/>
      <c r="E113" s="3767"/>
      <c r="F113" s="3767"/>
      <c r="G113" s="3767"/>
      <c r="H113" s="3767"/>
      <c r="I113" s="3767"/>
      <c r="J113" s="376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2.5</v>
      </c>
      <c r="C116" s="3400" t="s">
        <v>3320</v>
      </c>
      <c r="D116" s="3401">
        <f>SUMPRODUCT((A118:A122=F116)*(B117:M117=H116)*B118:M122)</f>
        <v>0.91400000000000003</v>
      </c>
      <c r="E116" s="2000" t="s">
        <v>3321</v>
      </c>
      <c r="F116" s="3402" t="str">
        <f>E2</f>
        <v>商业</v>
      </c>
      <c r="G116" s="2000" t="s">
        <v>3322</v>
      </c>
      <c r="H116" s="3402" t="str">
        <f>G2</f>
        <v>六级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3336</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3337</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3338</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90" t="s">
        <v>2610</v>
      </c>
      <c r="B20" s="3783" t="s">
        <v>2631</v>
      </c>
      <c r="C20" s="3103" t="s">
        <v>2442</v>
      </c>
      <c r="D20" s="3104"/>
      <c r="E20" s="3105">
        <v>1</v>
      </c>
      <c r="F20" s="3106" t="s">
        <v>2443</v>
      </c>
      <c r="G20" s="3106"/>
    </row>
    <row r="21" spans="1:13" ht="19.5" customHeight="1">
      <c r="A21" s="3791"/>
      <c r="B21" s="3784"/>
      <c r="C21" s="3107" t="s">
        <v>2444</v>
      </c>
      <c r="D21" s="3108"/>
      <c r="E21" s="3109">
        <v>1</v>
      </c>
      <c r="F21" s="3106" t="s">
        <v>2445</v>
      </c>
      <c r="G21" s="3106"/>
    </row>
    <row r="22" spans="1:13" ht="19.5" customHeight="1">
      <c r="A22" s="3791"/>
      <c r="B22" s="3784"/>
      <c r="C22" s="3107" t="s">
        <v>2446</v>
      </c>
      <c r="D22" s="3108"/>
      <c r="E22" s="3109">
        <v>0.9</v>
      </c>
      <c r="F22" s="3106" t="s">
        <v>2447</v>
      </c>
      <c r="G22" s="3106"/>
    </row>
    <row r="23" spans="1:13" ht="19.5" customHeight="1">
      <c r="A23" s="3791"/>
      <c r="B23" s="3784"/>
      <c r="C23" s="3107" t="s">
        <v>2448</v>
      </c>
      <c r="D23" s="3108"/>
      <c r="E23" s="3109">
        <v>0.9</v>
      </c>
      <c r="F23" s="3106" t="s">
        <v>2449</v>
      </c>
      <c r="G23" s="3106"/>
    </row>
    <row r="24" spans="1:13" ht="19.5" customHeight="1">
      <c r="A24" s="3791"/>
      <c r="B24" s="3784"/>
      <c r="C24" s="3107" t="s">
        <v>2450</v>
      </c>
      <c r="D24" s="3108"/>
      <c r="E24" s="3109">
        <v>0.8</v>
      </c>
      <c r="F24" s="3106" t="s">
        <v>2451</v>
      </c>
      <c r="G24" s="3106"/>
    </row>
    <row r="25" spans="1:13" ht="19.5" customHeight="1" thickBot="1">
      <c r="A25" s="3792"/>
      <c r="B25" s="3785"/>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6" t="s">
        <v>2634</v>
      </c>
      <c r="B27" s="3783" t="s">
        <v>2615</v>
      </c>
      <c r="C27" s="3103" t="s">
        <v>2455</v>
      </c>
      <c r="D27" s="3104"/>
      <c r="E27" s="3105">
        <v>1</v>
      </c>
      <c r="F27" s="3106" t="s">
        <v>2456</v>
      </c>
      <c r="G27" s="3106"/>
    </row>
    <row r="28" spans="1:13" ht="19.5" customHeight="1">
      <c r="A28" s="3787"/>
      <c r="B28" s="3784"/>
      <c r="C28" s="3107" t="s">
        <v>2457</v>
      </c>
      <c r="D28" s="3108"/>
      <c r="E28" s="3109">
        <v>1</v>
      </c>
      <c r="F28" s="3106" t="s">
        <v>2458</v>
      </c>
      <c r="G28" s="3106"/>
    </row>
    <row r="29" spans="1:13" ht="19.5" customHeight="1">
      <c r="A29" s="3787"/>
      <c r="B29" s="3784"/>
      <c r="C29" s="3107" t="s">
        <v>2459</v>
      </c>
      <c r="D29" s="3108"/>
      <c r="E29" s="3109">
        <v>0.8</v>
      </c>
      <c r="F29" s="3106" t="s">
        <v>2460</v>
      </c>
      <c r="G29" s="3106"/>
    </row>
    <row r="30" spans="1:13" ht="19.5" customHeight="1">
      <c r="A30" s="3787"/>
      <c r="B30" s="3784"/>
      <c r="C30" s="3107" t="s">
        <v>2461</v>
      </c>
      <c r="D30" s="3108"/>
      <c r="E30" s="3109">
        <v>0.8</v>
      </c>
      <c r="F30" s="3106" t="s">
        <v>2462</v>
      </c>
      <c r="G30" s="3106"/>
    </row>
    <row r="31" spans="1:13" ht="19.5" customHeight="1">
      <c r="A31" s="3787"/>
      <c r="B31" s="3784"/>
      <c r="C31" s="3107" t="s">
        <v>2463</v>
      </c>
      <c r="D31" s="3108"/>
      <c r="E31" s="3109">
        <v>0.8</v>
      </c>
      <c r="F31" s="3106" t="s">
        <v>2464</v>
      </c>
      <c r="G31" s="3106"/>
    </row>
    <row r="32" spans="1:13" ht="19.5" customHeight="1">
      <c r="A32" s="3787"/>
      <c r="B32" s="3784"/>
      <c r="C32" s="3107" t="s">
        <v>2465</v>
      </c>
      <c r="D32" s="3108"/>
      <c r="E32" s="3109">
        <v>0.7</v>
      </c>
      <c r="F32" s="3106" t="s">
        <v>2466</v>
      </c>
      <c r="G32" s="3106"/>
    </row>
    <row r="33" spans="1:7" ht="19.5" customHeight="1">
      <c r="A33" s="3787"/>
      <c r="B33" s="3784"/>
      <c r="C33" s="3107" t="s">
        <v>2467</v>
      </c>
      <c r="D33" s="3108"/>
      <c r="E33" s="3109">
        <v>0.8</v>
      </c>
      <c r="F33" s="3106" t="s">
        <v>2468</v>
      </c>
      <c r="G33" s="3106"/>
    </row>
    <row r="34" spans="1:7" ht="19.5" customHeight="1">
      <c r="A34" s="3787"/>
      <c r="B34" s="3784"/>
      <c r="C34" s="3107" t="s">
        <v>2469</v>
      </c>
      <c r="D34" s="3108"/>
      <c r="E34" s="3109">
        <v>0.6</v>
      </c>
      <c r="F34" s="3106" t="s">
        <v>2470</v>
      </c>
      <c r="G34" s="3106"/>
    </row>
    <row r="35" spans="1:7" ht="19.5" customHeight="1">
      <c r="A35" s="3787"/>
      <c r="B35" s="3784"/>
      <c r="C35" s="3107" t="s">
        <v>2471</v>
      </c>
      <c r="D35" s="3108"/>
      <c r="E35" s="3109">
        <v>0.2</v>
      </c>
      <c r="F35" s="3106" t="s">
        <v>2472</v>
      </c>
      <c r="G35" s="3106"/>
    </row>
    <row r="36" spans="1:7" ht="19.5" customHeight="1">
      <c r="A36" s="3787"/>
      <c r="B36" s="3784"/>
      <c r="C36" s="3107" t="s">
        <v>2473</v>
      </c>
      <c r="D36" s="3108"/>
      <c r="E36" s="3109">
        <v>0.2</v>
      </c>
      <c r="F36" s="3106" t="s">
        <v>2474</v>
      </c>
      <c r="G36" s="3106"/>
    </row>
    <row r="37" spans="1:7" ht="19.5" customHeight="1">
      <c r="A37" s="3787"/>
      <c r="B37" s="3789" t="s">
        <v>2635</v>
      </c>
      <c r="C37" s="3107" t="s">
        <v>2475</v>
      </c>
      <c r="D37" s="3108"/>
      <c r="E37" s="3109">
        <v>0.6</v>
      </c>
      <c r="F37" s="3106" t="s">
        <v>2476</v>
      </c>
      <c r="G37" s="3106"/>
    </row>
    <row r="38" spans="1:7" ht="19.5" customHeight="1">
      <c r="A38" s="3787"/>
      <c r="B38" s="3784"/>
      <c r="C38" s="3107" t="s">
        <v>2477</v>
      </c>
      <c r="D38" s="3108"/>
      <c r="E38" s="3109">
        <v>0.6</v>
      </c>
      <c r="F38" s="3106" t="s">
        <v>2478</v>
      </c>
      <c r="G38" s="3106"/>
    </row>
    <row r="39" spans="1:7" ht="19.5" customHeight="1" thickBot="1">
      <c r="A39" s="3788"/>
      <c r="B39" s="3785"/>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90" t="s">
        <v>2613</v>
      </c>
      <c r="B41" s="3783" t="s">
        <v>2637</v>
      </c>
      <c r="C41" s="3103" t="s">
        <v>2482</v>
      </c>
      <c r="D41" s="3104"/>
      <c r="E41" s="3105">
        <v>1</v>
      </c>
      <c r="F41" s="3106" t="s">
        <v>2483</v>
      </c>
      <c r="G41" s="3106"/>
    </row>
    <row r="42" spans="1:7" ht="19.5" customHeight="1">
      <c r="A42" s="3791"/>
      <c r="B42" s="3784"/>
      <c r="C42" s="3107" t="s">
        <v>2484</v>
      </c>
      <c r="D42" s="3108"/>
      <c r="E42" s="3109">
        <v>1</v>
      </c>
      <c r="F42" s="3106" t="s">
        <v>2485</v>
      </c>
      <c r="G42" s="3106"/>
    </row>
    <row r="43" spans="1:7" ht="19.5" customHeight="1">
      <c r="A43" s="3791"/>
      <c r="B43" s="3793"/>
      <c r="C43" s="3107" t="s">
        <v>2486</v>
      </c>
      <c r="D43" s="3108"/>
      <c r="E43" s="3109">
        <v>1.5</v>
      </c>
      <c r="F43" s="3106" t="s">
        <v>2487</v>
      </c>
      <c r="G43" s="3106"/>
    </row>
    <row r="44" spans="1:7" ht="19.5" customHeight="1">
      <c r="A44" s="3791"/>
      <c r="B44" s="3118" t="s">
        <v>2638</v>
      </c>
      <c r="C44" s="3107" t="s">
        <v>2639</v>
      </c>
      <c r="D44" s="3108"/>
      <c r="E44" s="3109">
        <v>2</v>
      </c>
      <c r="F44" s="3106" t="s">
        <v>2488</v>
      </c>
      <c r="G44" s="3106"/>
    </row>
    <row r="45" spans="1:7" ht="19.5" customHeight="1">
      <c r="A45" s="3791"/>
      <c r="B45" s="3789" t="s">
        <v>2640</v>
      </c>
      <c r="C45" s="3107" t="s">
        <v>2489</v>
      </c>
      <c r="D45" s="3108"/>
      <c r="E45" s="3109">
        <v>1</v>
      </c>
      <c r="F45" s="3106" t="s">
        <v>2490</v>
      </c>
      <c r="G45" s="3106"/>
    </row>
    <row r="46" spans="1:7" ht="19.5" customHeight="1">
      <c r="A46" s="3791"/>
      <c r="B46" s="3784"/>
      <c r="C46" s="3107" t="s">
        <v>2491</v>
      </c>
      <c r="D46" s="3108"/>
      <c r="E46" s="3109">
        <v>1</v>
      </c>
      <c r="F46" s="3106" t="s">
        <v>2492</v>
      </c>
      <c r="G46" s="3106"/>
    </row>
    <row r="47" spans="1:7" ht="19.5" customHeight="1">
      <c r="A47" s="3791"/>
      <c r="B47" s="3784"/>
      <c r="C47" s="3107" t="s">
        <v>2493</v>
      </c>
      <c r="D47" s="3108"/>
      <c r="E47" s="3109">
        <v>1</v>
      </c>
      <c r="F47" s="3106" t="s">
        <v>2494</v>
      </c>
      <c r="G47" s="3106"/>
    </row>
    <row r="48" spans="1:7" ht="19.5" customHeight="1">
      <c r="A48" s="3791"/>
      <c r="B48" s="3784"/>
      <c r="C48" s="3107" t="s">
        <v>2495</v>
      </c>
      <c r="D48" s="3108"/>
      <c r="E48" s="3109">
        <v>1</v>
      </c>
      <c r="F48" s="3106" t="s">
        <v>2496</v>
      </c>
      <c r="G48" s="3106"/>
    </row>
    <row r="49" spans="1:7" ht="19.5" customHeight="1">
      <c r="A49" s="3791"/>
      <c r="B49" s="3784"/>
      <c r="C49" s="3107" t="s">
        <v>2497</v>
      </c>
      <c r="D49" s="3108"/>
      <c r="E49" s="3109">
        <v>1</v>
      </c>
      <c r="F49" s="3106" t="s">
        <v>2498</v>
      </c>
      <c r="G49" s="3106"/>
    </row>
    <row r="50" spans="1:7" ht="19.5" customHeight="1">
      <c r="A50" s="3791"/>
      <c r="B50" s="3784"/>
      <c r="C50" s="3107" t="s">
        <v>2499</v>
      </c>
      <c r="D50" s="3108"/>
      <c r="E50" s="3109">
        <v>1</v>
      </c>
      <c r="F50" s="3106" t="s">
        <v>2500</v>
      </c>
      <c r="G50" s="3106"/>
    </row>
    <row r="51" spans="1:7" ht="19.5" customHeight="1" thickBot="1">
      <c r="A51" s="3792"/>
      <c r="B51" s="3785"/>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9" t="s">
        <v>2654</v>
      </c>
      <c r="C73" s="3092" t="s">
        <v>2655</v>
      </c>
      <c r="D73" s="3092" t="s">
        <v>2656</v>
      </c>
      <c r="E73" s="3118">
        <v>0.2</v>
      </c>
      <c r="F73" s="3118">
        <v>25</v>
      </c>
    </row>
    <row r="74" spans="1:7" ht="24">
      <c r="A74" s="3118">
        <v>2</v>
      </c>
      <c r="B74" s="3784"/>
      <c r="C74" s="3092" t="s">
        <v>2657</v>
      </c>
      <c r="D74" s="3092" t="s">
        <v>2658</v>
      </c>
      <c r="E74" s="3118">
        <v>0.2</v>
      </c>
      <c r="F74" s="3118">
        <v>25</v>
      </c>
    </row>
    <row r="75" spans="1:7" ht="24">
      <c r="A75" s="3118">
        <v>3</v>
      </c>
      <c r="B75" s="3784"/>
      <c r="C75" s="3092" t="s">
        <v>2659</v>
      </c>
      <c r="D75" s="3092" t="s">
        <v>2660</v>
      </c>
      <c r="E75" s="3118">
        <v>0.2</v>
      </c>
      <c r="F75" s="3118">
        <v>25</v>
      </c>
    </row>
    <row r="76" spans="1:7" ht="13.5">
      <c r="A76" s="3118">
        <v>4</v>
      </c>
      <c r="B76" s="3784"/>
      <c r="C76" s="3092" t="s">
        <v>2661</v>
      </c>
      <c r="D76" s="3092" t="s">
        <v>2662</v>
      </c>
      <c r="E76" s="3118">
        <v>0.15</v>
      </c>
      <c r="F76" s="3118">
        <v>20</v>
      </c>
    </row>
    <row r="77" spans="1:7" ht="24">
      <c r="A77" s="3118">
        <v>5</v>
      </c>
      <c r="B77" s="3784"/>
      <c r="C77" s="3092" t="s">
        <v>2663</v>
      </c>
      <c r="D77" s="3092" t="s">
        <v>2664</v>
      </c>
      <c r="E77" s="3118">
        <v>0.15</v>
      </c>
      <c r="F77" s="3118">
        <v>20</v>
      </c>
    </row>
    <row r="78" spans="1:7" ht="24">
      <c r="A78" s="3118">
        <v>6</v>
      </c>
      <c r="B78" s="3784"/>
      <c r="C78" s="3092" t="s">
        <v>2665</v>
      </c>
      <c r="D78" s="3092" t="s">
        <v>2666</v>
      </c>
      <c r="E78" s="3118">
        <v>0.15</v>
      </c>
      <c r="F78" s="3118">
        <v>20</v>
      </c>
    </row>
    <row r="79" spans="1:7" ht="24">
      <c r="A79" s="3118">
        <v>7</v>
      </c>
      <c r="B79" s="3784"/>
      <c r="C79" s="3092" t="s">
        <v>2667</v>
      </c>
      <c r="D79" s="3092" t="s">
        <v>2668</v>
      </c>
      <c r="E79" s="3118">
        <v>0.15</v>
      </c>
      <c r="F79" s="3118">
        <v>20</v>
      </c>
    </row>
    <row r="80" spans="1:7" ht="24">
      <c r="A80" s="3118">
        <v>8</v>
      </c>
      <c r="B80" s="3784"/>
      <c r="C80" s="3092" t="s">
        <v>2669</v>
      </c>
      <c r="D80" s="3092" t="s">
        <v>2670</v>
      </c>
      <c r="E80" s="3118">
        <v>0.1</v>
      </c>
      <c r="F80" s="3118">
        <v>15</v>
      </c>
    </row>
    <row r="81" spans="1:6" ht="24">
      <c r="A81" s="3118">
        <v>9</v>
      </c>
      <c r="B81" s="3784"/>
      <c r="C81" s="3092" t="s">
        <v>2671</v>
      </c>
      <c r="D81" s="3092" t="s">
        <v>2672</v>
      </c>
      <c r="E81" s="3118">
        <v>0.1</v>
      </c>
      <c r="F81" s="3118">
        <v>15</v>
      </c>
    </row>
    <row r="82" spans="1:6" ht="24">
      <c r="A82" s="3118">
        <v>10</v>
      </c>
      <c r="B82" s="3784"/>
      <c r="C82" s="3092" t="s">
        <v>2673</v>
      </c>
      <c r="D82" s="3092" t="s">
        <v>2674</v>
      </c>
      <c r="E82" s="3118">
        <v>0.1</v>
      </c>
      <c r="F82" s="3118">
        <v>15</v>
      </c>
    </row>
    <row r="83" spans="1:6" ht="24">
      <c r="A83" s="3118">
        <v>11</v>
      </c>
      <c r="B83" s="3784"/>
      <c r="C83" s="3092" t="s">
        <v>2675</v>
      </c>
      <c r="D83" s="3092" t="s">
        <v>2676</v>
      </c>
      <c r="E83" s="3118">
        <v>0.1</v>
      </c>
      <c r="F83" s="3118">
        <v>15</v>
      </c>
    </row>
    <row r="84" spans="1:6" ht="24">
      <c r="A84" s="3118">
        <v>12</v>
      </c>
      <c r="B84" s="3784"/>
      <c r="C84" s="3092" t="s">
        <v>2677</v>
      </c>
      <c r="D84" s="3092" t="s">
        <v>2678</v>
      </c>
      <c r="E84" s="3118">
        <v>0.1</v>
      </c>
      <c r="F84" s="3118">
        <v>15</v>
      </c>
    </row>
    <row r="85" spans="1:6" ht="13.5">
      <c r="A85" s="3118">
        <v>13</v>
      </c>
      <c r="B85" s="3784"/>
      <c r="C85" s="3092" t="s">
        <v>2679</v>
      </c>
      <c r="D85" s="3092" t="s">
        <v>2680</v>
      </c>
      <c r="E85" s="3118">
        <v>0.1</v>
      </c>
      <c r="F85" s="3118">
        <v>15</v>
      </c>
    </row>
    <row r="86" spans="1:6" ht="13.5">
      <c r="A86" s="3118">
        <v>14</v>
      </c>
      <c r="B86" s="3784"/>
      <c r="C86" s="3092" t="s">
        <v>2681</v>
      </c>
      <c r="D86" s="3092" t="s">
        <v>2682</v>
      </c>
      <c r="E86" s="3118">
        <v>0.1</v>
      </c>
      <c r="F86" s="3118">
        <v>15</v>
      </c>
    </row>
    <row r="87" spans="1:6" ht="13.5">
      <c r="A87" s="3118">
        <v>15</v>
      </c>
      <c r="B87" s="3784"/>
      <c r="C87" s="3092" t="s">
        <v>2683</v>
      </c>
      <c r="D87" s="3092" t="s">
        <v>2684</v>
      </c>
      <c r="E87" s="3118">
        <v>0.1</v>
      </c>
      <c r="F87" s="3118">
        <v>15</v>
      </c>
    </row>
    <row r="88" spans="1:6" ht="24">
      <c r="A88" s="3118">
        <v>16</v>
      </c>
      <c r="B88" s="3784"/>
      <c r="C88" s="3092" t="s">
        <v>2685</v>
      </c>
      <c r="D88" s="3092" t="s">
        <v>2686</v>
      </c>
      <c r="E88" s="3118">
        <v>0.1</v>
      </c>
      <c r="F88" s="3118">
        <v>15</v>
      </c>
    </row>
    <row r="89" spans="1:6" ht="24">
      <c r="A89" s="3118">
        <v>17</v>
      </c>
      <c r="B89" s="3793"/>
      <c r="C89" s="3092" t="s">
        <v>2687</v>
      </c>
      <c r="D89" s="3092" t="s">
        <v>2688</v>
      </c>
      <c r="E89" s="3118">
        <v>0.1</v>
      </c>
      <c r="F89" s="3118">
        <v>15</v>
      </c>
    </row>
    <row r="90" spans="1:6" ht="13.5">
      <c r="A90" s="3118">
        <v>18</v>
      </c>
      <c r="B90" s="3789" t="s">
        <v>2689</v>
      </c>
      <c r="C90" s="3092" t="s">
        <v>2690</v>
      </c>
      <c r="D90" s="3092" t="s">
        <v>2691</v>
      </c>
      <c r="E90" s="3118">
        <v>0.2</v>
      </c>
      <c r="F90" s="3118">
        <v>25</v>
      </c>
    </row>
    <row r="91" spans="1:6" ht="24">
      <c r="A91" s="3118">
        <v>19</v>
      </c>
      <c r="B91" s="3784"/>
      <c r="C91" s="3092" t="s">
        <v>2692</v>
      </c>
      <c r="D91" s="3092" t="s">
        <v>2693</v>
      </c>
      <c r="E91" s="3118">
        <v>0.2</v>
      </c>
      <c r="F91" s="3118">
        <v>25</v>
      </c>
    </row>
    <row r="92" spans="1:6" ht="13.5">
      <c r="A92" s="3118">
        <v>20</v>
      </c>
      <c r="B92" s="3784"/>
      <c r="C92" s="3092" t="s">
        <v>2694</v>
      </c>
      <c r="D92" s="3092" t="s">
        <v>2695</v>
      </c>
      <c r="E92" s="3118">
        <v>0.15</v>
      </c>
      <c r="F92" s="3118">
        <v>20</v>
      </c>
    </row>
    <row r="93" spans="1:6" ht="13.5">
      <c r="A93" s="3118">
        <v>21</v>
      </c>
      <c r="B93" s="3784"/>
      <c r="C93" s="3092" t="s">
        <v>2696</v>
      </c>
      <c r="D93" s="3092" t="s">
        <v>2697</v>
      </c>
      <c r="E93" s="3118">
        <v>0.15</v>
      </c>
      <c r="F93" s="3118">
        <v>20</v>
      </c>
    </row>
    <row r="94" spans="1:6" ht="13.5">
      <c r="A94" s="3118">
        <v>22</v>
      </c>
      <c r="B94" s="3784"/>
      <c r="C94" s="3092" t="s">
        <v>2698</v>
      </c>
      <c r="D94" s="3092" t="s">
        <v>2699</v>
      </c>
      <c r="E94" s="3118">
        <v>0.15</v>
      </c>
      <c r="F94" s="3118">
        <v>20</v>
      </c>
    </row>
    <row r="95" spans="1:6" ht="36">
      <c r="A95" s="3118">
        <v>23</v>
      </c>
      <c r="B95" s="3784"/>
      <c r="C95" s="3092" t="s">
        <v>2700</v>
      </c>
      <c r="D95" s="3092" t="s">
        <v>2701</v>
      </c>
      <c r="E95" s="3118">
        <v>0.15</v>
      </c>
      <c r="F95" s="3118">
        <v>20</v>
      </c>
    </row>
    <row r="96" spans="1:6" ht="13.5">
      <c r="A96" s="3118">
        <v>24</v>
      </c>
      <c r="B96" s="3784"/>
      <c r="C96" s="3092" t="s">
        <v>2702</v>
      </c>
      <c r="D96" s="3092" t="s">
        <v>2703</v>
      </c>
      <c r="E96" s="3118">
        <v>0.1</v>
      </c>
      <c r="F96" s="3118">
        <v>15</v>
      </c>
    </row>
    <row r="97" spans="1:6" ht="13.5">
      <c r="A97" s="3118">
        <v>25</v>
      </c>
      <c r="B97" s="3784"/>
      <c r="C97" s="3092" t="s">
        <v>2704</v>
      </c>
      <c r="D97" s="3092" t="s">
        <v>2705</v>
      </c>
      <c r="E97" s="3118">
        <v>0.1</v>
      </c>
      <c r="F97" s="3118">
        <v>15</v>
      </c>
    </row>
    <row r="98" spans="1:6" ht="24">
      <c r="A98" s="3118">
        <v>26</v>
      </c>
      <c r="B98" s="3784"/>
      <c r="C98" s="3092" t="s">
        <v>2706</v>
      </c>
      <c r="D98" s="3092" t="s">
        <v>2707</v>
      </c>
      <c r="E98" s="3118">
        <v>0.1</v>
      </c>
      <c r="F98" s="3118">
        <v>15</v>
      </c>
    </row>
    <row r="99" spans="1:6" ht="24">
      <c r="A99" s="3118">
        <v>27</v>
      </c>
      <c r="B99" s="3784"/>
      <c r="C99" s="3092" t="s">
        <v>2708</v>
      </c>
      <c r="D99" s="3092" t="s">
        <v>2709</v>
      </c>
      <c r="E99" s="3118">
        <v>0.1</v>
      </c>
      <c r="F99" s="3118">
        <v>15</v>
      </c>
    </row>
    <row r="100" spans="1:6" ht="13.5">
      <c r="A100" s="3118">
        <v>28</v>
      </c>
      <c r="B100" s="3784"/>
      <c r="C100" s="3092" t="s">
        <v>2710</v>
      </c>
      <c r="D100" s="3092" t="s">
        <v>2711</v>
      </c>
      <c r="E100" s="3118">
        <v>0.1</v>
      </c>
      <c r="F100" s="3118">
        <v>15</v>
      </c>
    </row>
    <row r="101" spans="1:6" ht="13.5">
      <c r="A101" s="3118">
        <v>29</v>
      </c>
      <c r="B101" s="3784"/>
      <c r="C101" s="3092" t="s">
        <v>2712</v>
      </c>
      <c r="D101" s="3092" t="s">
        <v>2713</v>
      </c>
      <c r="E101" s="3118">
        <v>0.1</v>
      </c>
      <c r="F101" s="3118">
        <v>15</v>
      </c>
    </row>
    <row r="102" spans="1:6" ht="13.5">
      <c r="A102" s="3118">
        <v>30</v>
      </c>
      <c r="B102" s="3784"/>
      <c r="C102" s="3092" t="s">
        <v>2714</v>
      </c>
      <c r="D102" s="3092" t="s">
        <v>2715</v>
      </c>
      <c r="E102" s="3118">
        <v>0.1</v>
      </c>
      <c r="F102" s="3118">
        <v>15</v>
      </c>
    </row>
    <row r="103" spans="1:6" ht="24">
      <c r="A103" s="3118">
        <v>31</v>
      </c>
      <c r="B103" s="3784"/>
      <c r="C103" s="3092" t="s">
        <v>2716</v>
      </c>
      <c r="D103" s="3092" t="s">
        <v>2717</v>
      </c>
      <c r="E103" s="3118">
        <v>0.1</v>
      </c>
      <c r="F103" s="3118">
        <v>15</v>
      </c>
    </row>
    <row r="104" spans="1:6" ht="24">
      <c r="A104" s="3118">
        <v>32</v>
      </c>
      <c r="B104" s="3784"/>
      <c r="C104" s="3092" t="s">
        <v>2718</v>
      </c>
      <c r="D104" s="3092" t="s">
        <v>2719</v>
      </c>
      <c r="E104" s="3118">
        <v>0.1</v>
      </c>
      <c r="F104" s="3118">
        <v>15</v>
      </c>
    </row>
    <row r="105" spans="1:6" ht="24">
      <c r="A105" s="3118">
        <v>33</v>
      </c>
      <c r="B105" s="3784"/>
      <c r="C105" s="3092" t="s">
        <v>2720</v>
      </c>
      <c r="D105" s="3092" t="s">
        <v>2721</v>
      </c>
      <c r="E105" s="3118">
        <v>0.1</v>
      </c>
      <c r="F105" s="3118">
        <v>15</v>
      </c>
    </row>
    <row r="106" spans="1:6" ht="24">
      <c r="A106" s="3118">
        <v>34</v>
      </c>
      <c r="B106" s="3793"/>
      <c r="C106" s="3092" t="s">
        <v>2722</v>
      </c>
      <c r="D106" s="3092" t="s">
        <v>2723</v>
      </c>
      <c r="E106" s="3118">
        <v>0.1</v>
      </c>
      <c r="F106" s="3118">
        <v>15</v>
      </c>
    </row>
    <row r="107" spans="1:6" ht="24">
      <c r="A107" s="3118">
        <v>35</v>
      </c>
      <c r="B107" s="3789" t="s">
        <v>2724</v>
      </c>
      <c r="C107" s="3118" t="s">
        <v>2725</v>
      </c>
      <c r="D107" s="3092" t="s">
        <v>2726</v>
      </c>
      <c r="E107" s="3118">
        <v>0.15</v>
      </c>
      <c r="F107" s="3118">
        <v>20</v>
      </c>
    </row>
    <row r="108" spans="1:6" ht="13.5">
      <c r="A108" s="3118">
        <v>36</v>
      </c>
      <c r="B108" s="3784"/>
      <c r="C108" s="3118" t="s">
        <v>2727</v>
      </c>
      <c r="D108" s="3092" t="s">
        <v>2728</v>
      </c>
      <c r="E108" s="3118">
        <v>0.15</v>
      </c>
      <c r="F108" s="3118">
        <v>20</v>
      </c>
    </row>
    <row r="109" spans="1:6" ht="13.5">
      <c r="A109" s="3118">
        <v>37</v>
      </c>
      <c r="B109" s="3784"/>
      <c r="C109" s="3118" t="s">
        <v>2729</v>
      </c>
      <c r="D109" s="3092" t="s">
        <v>2730</v>
      </c>
      <c r="E109" s="3118">
        <v>0.15</v>
      </c>
      <c r="F109" s="3118">
        <v>20</v>
      </c>
    </row>
    <row r="110" spans="1:6" ht="13.5">
      <c r="A110" s="3118">
        <v>38</v>
      </c>
      <c r="B110" s="3784"/>
      <c r="C110" s="3118" t="s">
        <v>2731</v>
      </c>
      <c r="D110" s="3092" t="s">
        <v>2732</v>
      </c>
      <c r="E110" s="3118">
        <v>0.1</v>
      </c>
      <c r="F110" s="3118">
        <v>15</v>
      </c>
    </row>
    <row r="111" spans="1:6" ht="24">
      <c r="A111" s="3118">
        <v>39</v>
      </c>
      <c r="B111" s="3784"/>
      <c r="C111" s="3118" t="s">
        <v>2733</v>
      </c>
      <c r="D111" s="3092" t="s">
        <v>2734</v>
      </c>
      <c r="E111" s="3118">
        <v>0.1</v>
      </c>
      <c r="F111" s="3118">
        <v>15</v>
      </c>
    </row>
    <row r="112" spans="1:6" ht="24">
      <c r="A112" s="3118">
        <v>40</v>
      </c>
      <c r="B112" s="3793"/>
      <c r="C112" s="3118" t="s">
        <v>2735</v>
      </c>
      <c r="D112" s="3092" t="s">
        <v>2736</v>
      </c>
      <c r="E112" s="3118">
        <v>0.1</v>
      </c>
      <c r="F112" s="3118">
        <v>15</v>
      </c>
    </row>
    <row r="113" spans="1:6" ht="13.5">
      <c r="A113" s="3118">
        <v>41</v>
      </c>
      <c r="B113" s="3794" t="s">
        <v>2737</v>
      </c>
      <c r="C113" s="3118" t="s">
        <v>2738</v>
      </c>
      <c r="D113" s="3092" t="s">
        <v>2739</v>
      </c>
      <c r="E113" s="3118">
        <v>0.1</v>
      </c>
      <c r="F113" s="3118">
        <v>15</v>
      </c>
    </row>
    <row r="114" spans="1:6" ht="13.5">
      <c r="A114" s="3118">
        <v>42</v>
      </c>
      <c r="B114" s="3794"/>
      <c r="C114" s="3118" t="s">
        <v>2740</v>
      </c>
      <c r="D114" s="3092" t="s">
        <v>2741</v>
      </c>
      <c r="E114" s="3118">
        <v>0.1</v>
      </c>
      <c r="F114" s="3118">
        <v>15</v>
      </c>
    </row>
    <row r="115" spans="1:6" ht="24">
      <c r="A115" s="3118">
        <v>43</v>
      </c>
      <c r="B115" s="3794"/>
      <c r="C115" s="3118" t="s">
        <v>2742</v>
      </c>
      <c r="D115" s="3092" t="s">
        <v>2743</v>
      </c>
      <c r="E115" s="3118">
        <v>0.1</v>
      </c>
      <c r="F115" s="3118">
        <v>15</v>
      </c>
    </row>
    <row r="116" spans="1:6" ht="13.5">
      <c r="A116" s="3118">
        <v>44</v>
      </c>
      <c r="B116" s="3789" t="s">
        <v>2744</v>
      </c>
      <c r="C116" s="3118" t="s">
        <v>2745</v>
      </c>
      <c r="D116" s="3092" t="s">
        <v>2746</v>
      </c>
      <c r="E116" s="3118">
        <v>0.1</v>
      </c>
      <c r="F116" s="3118">
        <v>15</v>
      </c>
    </row>
    <row r="117" spans="1:6" ht="24">
      <c r="A117" s="3118">
        <v>45</v>
      </c>
      <c r="B117" s="3793"/>
      <c r="C117" s="3092" t="s">
        <v>2747</v>
      </c>
      <c r="D117" s="3092" t="s">
        <v>2748</v>
      </c>
      <c r="E117" s="3118">
        <v>0.1</v>
      </c>
      <c r="F117" s="3118">
        <v>15</v>
      </c>
    </row>
    <row r="118" spans="1:6" ht="24">
      <c r="A118" s="3118">
        <v>46</v>
      </c>
      <c r="B118" s="3789" t="s">
        <v>2749</v>
      </c>
      <c r="C118" s="3118" t="s">
        <v>2750</v>
      </c>
      <c r="D118" s="3092" t="s">
        <v>2751</v>
      </c>
      <c r="E118" s="3118">
        <v>0.1</v>
      </c>
      <c r="F118" s="3118">
        <v>15</v>
      </c>
    </row>
    <row r="119" spans="1:6" ht="24">
      <c r="A119" s="3118">
        <v>47</v>
      </c>
      <c r="B119" s="3793"/>
      <c r="C119" s="3118" t="s">
        <v>2752</v>
      </c>
      <c r="D119" s="3092" t="s">
        <v>2753</v>
      </c>
      <c r="E119" s="3118">
        <v>0.1</v>
      </c>
      <c r="F119" s="3118">
        <v>15</v>
      </c>
    </row>
    <row r="120" spans="1:6" ht="13.5">
      <c r="A120" s="3118">
        <v>48</v>
      </c>
      <c r="B120" s="3789" t="s">
        <v>2754</v>
      </c>
      <c r="C120" s="3118" t="s">
        <v>2755</v>
      </c>
      <c r="D120" s="3092" t="s">
        <v>2756</v>
      </c>
      <c r="E120" s="3118">
        <v>0.1</v>
      </c>
      <c r="F120" s="3118">
        <v>15</v>
      </c>
    </row>
    <row r="121" spans="1:6" ht="13.5">
      <c r="A121" s="3118">
        <v>49</v>
      </c>
      <c r="B121" s="3793"/>
      <c r="C121" s="3118" t="s">
        <v>2757</v>
      </c>
      <c r="D121" s="3092" t="s">
        <v>2758</v>
      </c>
      <c r="E121" s="3118">
        <v>0.1</v>
      </c>
      <c r="F121" s="3118">
        <v>15</v>
      </c>
    </row>
    <row r="122" spans="1:6" ht="24">
      <c r="A122" s="3118">
        <v>50</v>
      </c>
      <c r="B122" s="3794" t="s">
        <v>2759</v>
      </c>
      <c r="C122" s="3118" t="s">
        <v>2760</v>
      </c>
      <c r="D122" s="3092" t="s">
        <v>2761</v>
      </c>
      <c r="E122" s="3118">
        <v>0.1</v>
      </c>
      <c r="F122" s="3118">
        <v>15</v>
      </c>
    </row>
    <row r="123" spans="1:6" ht="24">
      <c r="A123" s="3118">
        <v>51</v>
      </c>
      <c r="B123" s="3794"/>
      <c r="C123" s="3118" t="s">
        <v>2762</v>
      </c>
      <c r="D123" s="3092" t="s">
        <v>2763</v>
      </c>
      <c r="E123" s="3118">
        <v>0.1</v>
      </c>
      <c r="F123" s="3118">
        <v>15</v>
      </c>
    </row>
    <row r="124" spans="1:6" ht="24">
      <c r="A124" s="3118">
        <v>52</v>
      </c>
      <c r="B124" s="3794" t="s">
        <v>2764</v>
      </c>
      <c r="C124" s="3118" t="s">
        <v>2765</v>
      </c>
      <c r="D124" s="3092" t="s">
        <v>2766</v>
      </c>
      <c r="E124" s="3118">
        <v>0.1</v>
      </c>
      <c r="F124" s="3118">
        <v>15</v>
      </c>
    </row>
    <row r="125" spans="1:6" ht="24">
      <c r="A125" s="3118">
        <v>53</v>
      </c>
      <c r="B125" s="3794"/>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94" t="s">
        <v>2772</v>
      </c>
      <c r="C127" s="3118" t="s">
        <v>2773</v>
      </c>
      <c r="D127" s="3092" t="s">
        <v>2774</v>
      </c>
      <c r="E127" s="3118">
        <v>0.1</v>
      </c>
      <c r="F127" s="3118">
        <v>15</v>
      </c>
    </row>
    <row r="128" spans="1:6" ht="13.5">
      <c r="A128" s="3118">
        <v>56</v>
      </c>
      <c r="B128" s="3794"/>
      <c r="C128" s="3118" t="s">
        <v>2775</v>
      </c>
      <c r="D128" s="3092" t="s">
        <v>2776</v>
      </c>
      <c r="E128" s="3118">
        <v>0.1</v>
      </c>
      <c r="F128" s="3118">
        <v>15</v>
      </c>
    </row>
    <row r="129" spans="1:6" ht="24">
      <c r="A129" s="3118">
        <v>57</v>
      </c>
      <c r="B129" s="3794"/>
      <c r="C129" s="3118" t="s">
        <v>2777</v>
      </c>
      <c r="D129" s="3092" t="s">
        <v>2778</v>
      </c>
      <c r="E129" s="3118">
        <v>0.1</v>
      </c>
      <c r="F129" s="3118">
        <v>15</v>
      </c>
    </row>
    <row r="130" spans="1:6" ht="24">
      <c r="A130" s="3118">
        <v>58</v>
      </c>
      <c r="B130" s="3794" t="s">
        <v>2779</v>
      </c>
      <c r="C130" s="3118" t="s">
        <v>2780</v>
      </c>
      <c r="D130" s="3092" t="s">
        <v>2781</v>
      </c>
      <c r="E130" s="3118">
        <v>0.1</v>
      </c>
      <c r="F130" s="3118">
        <v>15</v>
      </c>
    </row>
    <row r="131" spans="1:6" ht="13.5">
      <c r="A131" s="3118">
        <v>59</v>
      </c>
      <c r="B131" s="3794"/>
      <c r="C131" s="3118" t="s">
        <v>2782</v>
      </c>
      <c r="D131" s="3092" t="s">
        <v>2783</v>
      </c>
      <c r="E131" s="3118">
        <v>0.1</v>
      </c>
      <c r="F131" s="3118">
        <v>15</v>
      </c>
    </row>
    <row r="132" spans="1:6" ht="13.5">
      <c r="A132" s="3118">
        <v>60</v>
      </c>
      <c r="B132" s="3789" t="s">
        <v>2784</v>
      </c>
      <c r="C132" s="3118" t="s">
        <v>2785</v>
      </c>
      <c r="D132" s="3092" t="s">
        <v>2786</v>
      </c>
      <c r="E132" s="3118">
        <v>0.1</v>
      </c>
      <c r="F132" s="3118">
        <v>15</v>
      </c>
    </row>
    <row r="133" spans="1:6" ht="13.5">
      <c r="A133" s="3118">
        <v>61</v>
      </c>
      <c r="B133" s="3793"/>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94" t="s">
        <v>2792</v>
      </c>
      <c r="C135" s="3118" t="s">
        <v>2793</v>
      </c>
      <c r="D135" s="3092" t="s">
        <v>2794</v>
      </c>
      <c r="E135" s="3118">
        <v>0.1</v>
      </c>
      <c r="F135" s="3118">
        <v>15</v>
      </c>
    </row>
    <row r="136" spans="1:6" ht="13.5">
      <c r="A136" s="3118">
        <v>64</v>
      </c>
      <c r="B136" s="3794"/>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3"/>
      <c r="B4" s="3474" t="s">
        <v>917</v>
      </c>
      <c r="C4" s="3474"/>
      <c r="D4" s="3474"/>
      <c r="E4" s="1493"/>
    </row>
    <row r="5" spans="1:5" ht="16.5" thickTop="1">
      <c r="A5" s="1491"/>
      <c r="B5" s="3472" t="s">
        <v>909</v>
      </c>
      <c r="C5" s="1494" t="s">
        <v>910</v>
      </c>
      <c r="D5" s="850">
        <f ca="1">结果表!H101</f>
        <v>3447</v>
      </c>
      <c r="E5" s="1491"/>
    </row>
    <row r="6" spans="1:5" ht="15.75">
      <c r="A6" s="1491"/>
      <c r="B6" s="3472"/>
      <c r="C6" s="1494" t="s">
        <v>911</v>
      </c>
      <c r="D6" s="850" t="str">
        <f ca="1">NUMBERSTRING(INT(D5*10000),2)&amp;"元整"</f>
        <v>叁仟肆佰肆拾柒万元整</v>
      </c>
      <c r="E6" s="1491"/>
    </row>
    <row r="7" spans="1:5" ht="15.75">
      <c r="A7" s="1491"/>
      <c r="B7" s="3477"/>
      <c r="C7" s="1495" t="s">
        <v>912</v>
      </c>
      <c r="D7" s="851">
        <f ca="1">结果表!H102</f>
        <v>34113</v>
      </c>
      <c r="E7" s="1491"/>
    </row>
    <row r="8" spans="1:5" ht="15.75">
      <c r="A8" s="1491"/>
      <c r="B8" s="3478" t="str">
        <f>结果表!E103</f>
        <v>2.估价师知悉的法定优先受偿款</v>
      </c>
      <c r="C8" s="1496" t="s">
        <v>913</v>
      </c>
      <c r="D8" s="851">
        <f>结果表!H103</f>
        <v>0</v>
      </c>
      <c r="E8" s="1491"/>
    </row>
    <row r="9" spans="1:5" ht="15.75">
      <c r="A9" s="1491"/>
      <c r="B9" s="348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1" t="str">
        <f>结果表!E107</f>
        <v>3.房地产抵押价值</v>
      </c>
      <c r="C13" s="1499" t="s">
        <v>910</v>
      </c>
      <c r="D13" s="853">
        <f ca="1">结果表!H107</f>
        <v>3447</v>
      </c>
      <c r="E13" s="1491"/>
    </row>
    <row r="14" spans="1:5" ht="15.75">
      <c r="A14" s="1491"/>
      <c r="B14" s="3472"/>
      <c r="C14" s="1494" t="s">
        <v>911</v>
      </c>
      <c r="D14" s="850" t="str">
        <f ca="1">NUMBERSTRING(INT(D13*10000),2)&amp;"元整"</f>
        <v>叁仟肆佰肆拾柒万元整</v>
      </c>
      <c r="E14" s="1491"/>
    </row>
    <row r="15" spans="1:5" ht="15">
      <c r="A15" s="1491"/>
      <c r="B15" s="3477"/>
      <c r="C15" s="1495" t="s">
        <v>921</v>
      </c>
      <c r="D15" s="859">
        <f ca="1">结果表!H108</f>
        <v>34113</v>
      </c>
      <c r="E15" s="1491"/>
    </row>
    <row r="16" spans="1:5" ht="15">
      <c r="A16" s="1491"/>
      <c r="B16" s="3478" t="str">
        <f>结果表!E109</f>
        <v>——</v>
      </c>
      <c r="C16" s="1499" t="s">
        <v>922</v>
      </c>
      <c r="D16" s="1500" t="str">
        <f>结果表!H109</f>
        <v>——</v>
      </c>
      <c r="E16" s="1491"/>
    </row>
    <row r="17" spans="1:5" ht="15.75">
      <c r="A17" s="1491"/>
      <c r="B17" s="3479"/>
      <c r="C17" s="1494" t="s">
        <v>923</v>
      </c>
      <c r="D17" s="850" t="e">
        <f>NUMBERSTRING(INT(D16*10000),2)&amp;"元整"</f>
        <v>#VALUE!</v>
      </c>
      <c r="E17" s="1491"/>
    </row>
    <row r="18" spans="1:5" ht="15">
      <c r="A18" s="1491"/>
      <c r="B18" s="3480"/>
      <c r="C18" s="1495" t="s">
        <v>912</v>
      </c>
      <c r="D18" s="859" t="str">
        <f>结果表!H110</f>
        <v>——</v>
      </c>
      <c r="E18" s="1491"/>
    </row>
    <row r="19" spans="1:5" ht="15.75">
      <c r="A19" s="1491"/>
      <c r="B19" s="3471" t="str">
        <f>结果表!E111</f>
        <v>——</v>
      </c>
      <c r="C19" s="1499" t="s">
        <v>910</v>
      </c>
      <c r="D19" s="851" t="str">
        <f>结果表!H111</f>
        <v>——</v>
      </c>
      <c r="E19" s="1491"/>
    </row>
    <row r="20" spans="1:5" ht="15.75">
      <c r="A20" s="1491"/>
      <c r="B20" s="3472"/>
      <c r="C20" s="1494" t="s">
        <v>923</v>
      </c>
      <c r="D20" s="850" t="e">
        <f>NUMBERSTRING(INT(D19*10000),2)&amp;"元整"</f>
        <v>#VALUE!</v>
      </c>
      <c r="E20" s="1491"/>
    </row>
    <row r="21" spans="1:5" ht="15.75" thickBot="1">
      <c r="A21" s="1491"/>
      <c r="B21" s="347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30298</v>
      </c>
      <c r="C2" s="2" t="s">
        <v>106</v>
      </c>
      <c r="D2" s="199"/>
      <c r="E2" s="199"/>
      <c r="F2" s="199"/>
      <c r="G2" s="199"/>
    </row>
    <row r="3" spans="1:7" s="200" customFormat="1" ht="18" customHeight="1" thickBot="1">
      <c r="A3" s="203" t="s">
        <v>58</v>
      </c>
      <c r="B3" s="204">
        <f ca="1">ROUND(B2*10000/'数据-汇总表'!E3,0)</f>
        <v>299820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20</v>
      </c>
      <c r="D10" s="845">
        <f>'数据-汇总表'!E6</f>
        <v>1010.54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v>
      </c>
      <c r="D19" s="849">
        <f>'数据-汇总表'!E3</f>
        <v>1010.54</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1774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4250</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4250</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505</v>
      </c>
      <c r="D34" s="217"/>
      <c r="E34" s="220"/>
      <c r="F34" s="257">
        <f>IF('数据-取费表'!B24=0,1,'数据-取费表'!N16)</f>
        <v>1</v>
      </c>
      <c r="G34" s="219" t="s">
        <v>89</v>
      </c>
    </row>
    <row r="35" spans="1:7" ht="13.5" customHeight="1">
      <c r="A35" s="780" t="s">
        <v>351</v>
      </c>
      <c r="B35" s="215" t="s">
        <v>33</v>
      </c>
      <c r="C35" s="220">
        <f>ROUND(C34*F35,0)</f>
        <v>25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v>
      </c>
      <c r="D37" s="217">
        <f>'数据-汇总表'!E3</f>
        <v>1010.54</v>
      </c>
      <c r="E37" s="249">
        <f>'数据-取费表'!B35</f>
        <v>200</v>
      </c>
      <c r="F37" s="259"/>
      <c r="G37" s="261" t="s">
        <v>92</v>
      </c>
    </row>
    <row r="38" spans="1:7" ht="13.5" customHeight="1">
      <c r="A38" s="780" t="s">
        <v>354</v>
      </c>
      <c r="B38" s="215" t="s">
        <v>36</v>
      </c>
      <c r="C38" s="220">
        <f>ROUND(C34*F38,0)</f>
        <v>8</v>
      </c>
      <c r="D38" s="220"/>
      <c r="E38" s="220"/>
      <c r="F38" s="259">
        <f>'数据-取费表'!B36</f>
        <v>1.4999999999999999E-2</v>
      </c>
      <c r="G38" s="219" t="s">
        <v>90</v>
      </c>
    </row>
    <row r="39" spans="1:7" s="214" customFormat="1" ht="13.5" customHeight="1">
      <c r="A39" s="777" t="s">
        <v>338</v>
      </c>
      <c r="B39" s="210" t="s">
        <v>77</v>
      </c>
      <c r="C39" s="232">
        <f>ROUND(C33*F20,0)</f>
        <v>17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24</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23</v>
      </c>
      <c r="D42" s="238"/>
      <c r="E42" s="238"/>
      <c r="F42" s="239"/>
      <c r="G42" s="3657" t="s">
        <v>94</v>
      </c>
    </row>
    <row r="43" spans="1:7" ht="13.5" customHeight="1">
      <c r="A43" s="780" t="s">
        <v>347</v>
      </c>
      <c r="B43" s="215" t="s">
        <v>426</v>
      </c>
      <c r="C43" s="238">
        <f ca="1">ROUND(IF('数据-取费表'!B22&lt;=1,C39*F22*'数据-取费表'!B21/2,C39*(POWER((1+F22),'数据-取费表'!B21/2)-1)),0)</f>
        <v>1</v>
      </c>
      <c r="D43" s="238"/>
      <c r="E43" s="238"/>
      <c r="F43" s="239"/>
      <c r="G43" s="3658"/>
    </row>
    <row r="44" spans="1:7" ht="13.5" customHeight="1">
      <c r="A44" s="780" t="s">
        <v>348</v>
      </c>
      <c r="B44" s="215" t="s">
        <v>428</v>
      </c>
      <c r="C44" s="238">
        <f ca="1">ROUND(IF('数据-取费表'!B22&lt;=1,C40*F22*'数据-取费表'!B21/2,C40*(POWER((1+F22),'数据-取费表'!B21/2)-1)),4)</f>
        <v>8.0000000000000004E-4</v>
      </c>
      <c r="D44" s="238"/>
      <c r="E44" s="238"/>
      <c r="F44" s="239"/>
      <c r="G44" s="3659"/>
    </row>
    <row r="45" spans="1:7" s="214" customFormat="1" ht="13.5" customHeight="1">
      <c r="A45" s="777" t="s">
        <v>341</v>
      </c>
      <c r="B45" s="244" t="s">
        <v>85</v>
      </c>
      <c r="C45" s="245">
        <f>C46</f>
        <v>115</v>
      </c>
      <c r="D45" s="235">
        <f>C47</f>
        <v>4.0000000000000001E-3</v>
      </c>
      <c r="E45" s="236" t="s">
        <v>102</v>
      </c>
      <c r="F45" s="246"/>
      <c r="G45" s="247" t="s">
        <v>434</v>
      </c>
    </row>
    <row r="46" spans="1:7" s="214" customFormat="1" ht="13.5" customHeight="1">
      <c r="A46" s="780" t="s">
        <v>349</v>
      </c>
      <c r="B46" s="248" t="s">
        <v>427</v>
      </c>
      <c r="C46" s="249">
        <f>ROUND((C33+C39)*F27,0)</f>
        <v>115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775</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713</v>
      </c>
      <c r="D51" s="232"/>
      <c r="E51" s="232"/>
      <c r="F51" s="264"/>
      <c r="G51" s="234" t="s">
        <v>37</v>
      </c>
    </row>
    <row r="52" spans="1:7" s="208" customFormat="1" ht="16.5" thickBot="1">
      <c r="A52" s="265" t="s">
        <v>38</v>
      </c>
      <c r="B52" s="266"/>
      <c r="C52" s="267">
        <f ca="1">C31+C51</f>
        <v>30298</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7" t="s">
        <v>2846</v>
      </c>
      <c r="B1" s="3797"/>
      <c r="C1" s="3797"/>
      <c r="D1" s="3797"/>
      <c r="E1" s="3797"/>
      <c r="F1" s="3797"/>
      <c r="G1" s="3798"/>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95"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96"/>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9" t="s">
        <v>3188</v>
      </c>
      <c r="B1" s="3799"/>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800" t="s">
        <v>3239</v>
      </c>
      <c r="B1" s="3800"/>
      <c r="C1" s="3800"/>
      <c r="D1" s="3800"/>
      <c r="E1" s="3800"/>
      <c r="F1" s="3801"/>
    </row>
    <row r="2" spans="1:6" ht="15">
      <c r="A2" s="3291" t="s">
        <v>3240</v>
      </c>
      <c r="B2" s="3292"/>
      <c r="C2" s="3292"/>
      <c r="D2" s="3292"/>
      <c r="E2" s="3292"/>
      <c r="F2" s="3292"/>
    </row>
    <row r="3" spans="1:6" ht="15">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45000</v>
      </c>
      <c r="B1" s="3210" t="s">
        <v>2845</v>
      </c>
      <c r="C1" s="3211"/>
      <c r="D1" s="3211"/>
      <c r="E1" s="3211"/>
      <c r="F1" s="3211"/>
      <c r="G1" s="3211"/>
      <c r="H1" s="3211"/>
      <c r="I1" s="3211"/>
      <c r="J1" s="3165"/>
      <c r="K1" s="3211" t="s">
        <v>454</v>
      </c>
      <c r="L1" s="3211"/>
      <c r="M1" s="3211"/>
      <c r="N1" s="3211"/>
      <c r="O1" s="3211"/>
      <c r="P1" s="3211"/>
      <c r="Q1" s="3165"/>
      <c r="R1" s="3802" t="s">
        <v>456</v>
      </c>
      <c r="S1" s="3803"/>
      <c r="T1" s="3803"/>
      <c r="U1" s="3803"/>
      <c r="V1" s="3803"/>
      <c r="W1" s="3803"/>
      <c r="X1" s="3165"/>
      <c r="Y1" s="3802" t="s">
        <v>457</v>
      </c>
      <c r="Z1" s="3803"/>
      <c r="AA1" s="3803"/>
      <c r="AB1" s="3803"/>
      <c r="AC1" s="3803"/>
      <c r="AD1" s="3803"/>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802" t="s">
        <v>2833</v>
      </c>
      <c r="S21" s="3803"/>
      <c r="T21" s="3803"/>
      <c r="U21" s="3803"/>
      <c r="V21" s="3803"/>
      <c r="W21" s="3803"/>
      <c r="X21" s="3165"/>
      <c r="Y21" s="3802" t="s">
        <v>2834</v>
      </c>
      <c r="Z21" s="3803"/>
      <c r="AA21" s="3803"/>
      <c r="AB21" s="3803"/>
      <c r="AC21" s="3803"/>
      <c r="AD21" s="3803"/>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9" t="s">
        <v>452</v>
      </c>
      <c r="C1" s="3809"/>
      <c r="D1" s="3809"/>
      <c r="E1" s="3809"/>
      <c r="F1" s="3809"/>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45000</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7"/>
  <sheetViews>
    <sheetView zoomScale="120" zoomScaleNormal="120" workbookViewId="0">
      <selection activeCell="J31" sqref="J31"/>
    </sheetView>
  </sheetViews>
  <sheetFormatPr defaultRowHeight="14.25"/>
  <cols>
    <col min="1" max="1" width="9" style="3464"/>
    <col min="2" max="2" width="9.5" style="3464" bestFit="1" customWidth="1"/>
    <col min="3" max="3" width="11.625" style="3464" bestFit="1" customWidth="1"/>
    <col min="4" max="6" width="9" style="3464"/>
    <col min="7" max="7" width="11" style="3464" customWidth="1"/>
    <col min="8" max="8" width="12" style="3464" customWidth="1"/>
    <col min="9" max="9" width="9" style="3464"/>
    <col min="10" max="10" width="11.375" style="3464" customWidth="1"/>
    <col min="11" max="16384" width="9" style="3464"/>
  </cols>
  <sheetData>
    <row r="3" spans="2:11">
      <c r="B3" s="3464" t="s">
        <v>3456</v>
      </c>
      <c r="C3" s="3464" t="s">
        <v>3457</v>
      </c>
      <c r="D3" s="3464" t="s">
        <v>3458</v>
      </c>
      <c r="E3" s="3464" t="s">
        <v>3460</v>
      </c>
      <c r="F3" s="3464" t="s">
        <v>3461</v>
      </c>
      <c r="I3" s="3464" t="s">
        <v>3462</v>
      </c>
      <c r="J3" s="3464" t="s">
        <v>3459</v>
      </c>
    </row>
    <row r="4" spans="2:11">
      <c r="B4" s="3465">
        <v>44197</v>
      </c>
      <c r="C4" s="3465">
        <v>45291</v>
      </c>
      <c r="D4" s="3464">
        <v>3</v>
      </c>
      <c r="E4" s="3464">
        <v>4</v>
      </c>
      <c r="F4" s="3464">
        <f>'数据-基础表'!I13</f>
        <v>1010.54</v>
      </c>
      <c r="G4" s="3464">
        <f>E4*F4*365</f>
        <v>1475388.4</v>
      </c>
      <c r="H4" s="3464">
        <f>G4*D4</f>
        <v>4426165.1999999993</v>
      </c>
      <c r="I4" s="3464">
        <v>0.8</v>
      </c>
      <c r="J4" s="3464">
        <f>H4/3*I4</f>
        <v>1180310.7199999997</v>
      </c>
    </row>
    <row r="5" spans="2:11">
      <c r="B5" s="3465">
        <v>45292</v>
      </c>
      <c r="C5" s="3465">
        <v>46387</v>
      </c>
      <c r="D5" s="3464">
        <v>3</v>
      </c>
      <c r="E5" s="3464">
        <v>4.2</v>
      </c>
      <c r="G5" s="3464">
        <f>E5*F4*365</f>
        <v>1549157.82</v>
      </c>
      <c r="H5" s="3464">
        <f>D5*G5</f>
        <v>4647473.46</v>
      </c>
      <c r="I5" s="3464">
        <v>3</v>
      </c>
      <c r="J5" s="3464">
        <f>H5</f>
        <v>4647473.46</v>
      </c>
    </row>
    <row r="6" spans="2:11">
      <c r="B6" s="3465">
        <v>46388</v>
      </c>
      <c r="C6" s="3465">
        <v>47483</v>
      </c>
      <c r="D6" s="3464">
        <v>3</v>
      </c>
      <c r="E6" s="3464">
        <v>4.41</v>
      </c>
      <c r="G6" s="3464">
        <f>E6*F4*365</f>
        <v>1626615.7109999999</v>
      </c>
      <c r="H6" s="3464">
        <f>G6*D6</f>
        <v>4879847.1329999994</v>
      </c>
      <c r="I6" s="3464">
        <v>3</v>
      </c>
      <c r="J6" s="3464">
        <f>H6</f>
        <v>4879847.1329999994</v>
      </c>
    </row>
    <row r="7" spans="2:11">
      <c r="H7" s="3464">
        <f>SUM(H4:H6)</f>
        <v>13953485.793</v>
      </c>
      <c r="I7" s="3464">
        <f>SUM(I4:I6)</f>
        <v>6.8</v>
      </c>
      <c r="J7" s="3464">
        <f>SUM(J4:J6)</f>
        <v>10707631.312999999</v>
      </c>
      <c r="K7" s="3464">
        <f>ROUND(J7/F4/I7/365,2)</f>
        <v>4.2699999999999996</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83"/>
      <c r="B3" s="3483"/>
      <c r="C3" s="3483"/>
      <c r="D3" s="854" t="s">
        <v>925</v>
      </c>
      <c r="E3" s="854" t="s">
        <v>931</v>
      </c>
      <c r="F3" s="854" t="s">
        <v>925</v>
      </c>
      <c r="G3" s="854" t="s">
        <v>926</v>
      </c>
      <c r="H3" s="854" t="s">
        <v>925</v>
      </c>
      <c r="I3" s="854" t="s">
        <v>926</v>
      </c>
    </row>
    <row r="4" spans="1:9" ht="15">
      <c r="A4" s="1505" t="str">
        <f>项目基本情况!S2</f>
        <v>北京市房地产</v>
      </c>
      <c r="B4" s="854">
        <f>项目基本情况!C17</f>
        <v>1010.54</v>
      </c>
      <c r="C4" s="854">
        <f>项目基本情况!C18</f>
        <v>0</v>
      </c>
      <c r="D4" s="854">
        <f ca="1">结果表!D118</f>
        <v>2358</v>
      </c>
      <c r="E4" s="854">
        <f ca="1">结果表!E118</f>
        <v>23333</v>
      </c>
      <c r="F4" s="854">
        <f ca="1">结果表!F118</f>
        <v>1089</v>
      </c>
      <c r="G4" s="854">
        <f ca="1">结果表!G118</f>
        <v>10780</v>
      </c>
      <c r="H4" s="854">
        <f ca="1">结果表!H118</f>
        <v>3447</v>
      </c>
      <c r="I4" s="854">
        <f ca="1">结果表!I118</f>
        <v>34113</v>
      </c>
    </row>
    <row r="5" spans="1:9" ht="30" customHeight="1">
      <c r="A5" s="3483" t="s">
        <v>927</v>
      </c>
      <c r="B5" s="3483"/>
      <c r="C5" s="3483"/>
      <c r="D5" s="3483" t="str">
        <f ca="1">结果表!D119</f>
        <v>贰仟叁佰伍拾捌万元整</v>
      </c>
      <c r="E5" s="3483"/>
      <c r="F5" s="3483" t="str">
        <f ca="1">结果表!F119</f>
        <v>壹仟零捌拾玖万元整</v>
      </c>
      <c r="G5" s="3483"/>
      <c r="H5" s="3483" t="str">
        <f ca="1">结果表!H119</f>
        <v>叁仟肆佰肆拾柒万元整</v>
      </c>
      <c r="I5" s="3483"/>
    </row>
    <row r="6" spans="1:9" ht="15.75">
      <c r="A6" s="3484" t="str">
        <f>结果表!A120</f>
        <v>估价师知悉的法定优先受偿款</v>
      </c>
      <c r="B6" s="3484"/>
      <c r="C6" s="3484"/>
      <c r="D6" s="3484">
        <f>结果表!D120</f>
        <v>0</v>
      </c>
      <c r="E6" s="3484"/>
      <c r="F6" s="3484"/>
      <c r="G6" s="3484"/>
      <c r="H6" s="3484"/>
      <c r="I6" s="3484"/>
    </row>
    <row r="7" spans="1:9" ht="15">
      <c r="A7" s="3483" t="s">
        <v>927</v>
      </c>
      <c r="B7" s="3483"/>
      <c r="C7" s="3483"/>
      <c r="D7" s="3485" t="str">
        <f>结果表!D121</f>
        <v>零元整</v>
      </c>
      <c r="E7" s="3486"/>
      <c r="F7" s="3486"/>
      <c r="G7" s="3486"/>
      <c r="H7" s="3486"/>
      <c r="I7" s="3487"/>
    </row>
    <row r="8" spans="1:9" ht="15.75">
      <c r="A8" s="3484" t="str">
        <f>结果表!A122</f>
        <v>房地产抵押价值</v>
      </c>
      <c r="B8" s="3484"/>
      <c r="C8" s="3484"/>
      <c r="D8" s="3484">
        <f ca="1">结果表!D122</f>
        <v>3447</v>
      </c>
      <c r="E8" s="3484"/>
      <c r="F8" s="3484"/>
      <c r="G8" s="3484"/>
      <c r="H8" s="3484"/>
      <c r="I8" s="3484"/>
    </row>
    <row r="9" spans="1:9" ht="15">
      <c r="A9" s="3483" t="s">
        <v>927</v>
      </c>
      <c r="B9" s="3483"/>
      <c r="C9" s="3483"/>
      <c r="D9" s="3483" t="str">
        <f ca="1">结果表!D123</f>
        <v>叁仟肆佰肆拾柒万元整</v>
      </c>
      <c r="E9" s="3483"/>
      <c r="F9" s="3483"/>
      <c r="G9" s="3483"/>
      <c r="H9" s="3483"/>
      <c r="I9" s="3483"/>
    </row>
    <row r="10" spans="1:9" ht="15.75">
      <c r="A10" s="3484" t="str">
        <f>结果表!A124</f>
        <v/>
      </c>
      <c r="B10" s="3484"/>
      <c r="C10" s="3484"/>
      <c r="D10" s="3484" t="str">
        <f>结果表!D124</f>
        <v>——</v>
      </c>
      <c r="E10" s="3484"/>
      <c r="F10" s="3484"/>
      <c r="G10" s="3484"/>
      <c r="H10" s="3484"/>
      <c r="I10" s="3484"/>
    </row>
    <row r="11" spans="1:9" ht="15">
      <c r="A11" s="3483" t="s">
        <v>927</v>
      </c>
      <c r="B11" s="3483"/>
      <c r="C11" s="3483"/>
      <c r="D11" s="3483" t="e">
        <f>结果表!D125</f>
        <v>#VALUE!</v>
      </c>
      <c r="E11" s="3483"/>
      <c r="F11" s="3483"/>
      <c r="G11" s="3483"/>
      <c r="H11" s="3483"/>
      <c r="I11" s="3483"/>
    </row>
    <row r="12" spans="1:9" ht="15.75">
      <c r="A12" s="3484" t="str">
        <f>结果表!A126</f>
        <v/>
      </c>
      <c r="B12" s="3484"/>
      <c r="C12" s="3484"/>
      <c r="D12" s="3484" t="str">
        <f>结果表!D126</f>
        <v>——</v>
      </c>
      <c r="E12" s="3484"/>
      <c r="F12" s="3484"/>
      <c r="G12" s="3484"/>
      <c r="H12" s="3484"/>
      <c r="I12" s="3484"/>
    </row>
    <row r="13" spans="1:9" ht="15.75" thickBot="1">
      <c r="A13" s="3488" t="s">
        <v>927</v>
      </c>
      <c r="B13" s="3488"/>
      <c r="C13" s="3488"/>
      <c r="D13" s="3488" t="e">
        <f>结果表!D127</f>
        <v>#VALUE!</v>
      </c>
      <c r="E13" s="3488"/>
      <c r="F13" s="3488"/>
      <c r="G13" s="3488"/>
      <c r="H13" s="3488"/>
      <c r="I13" s="3488"/>
    </row>
    <row r="14" spans="1:9" ht="15" thickTop="1">
      <c r="A14" s="3489" t="s">
        <v>932</v>
      </c>
      <c r="B14" s="3489"/>
      <c r="C14" s="3489"/>
      <c r="D14" s="3489"/>
      <c r="E14" s="3489"/>
      <c r="F14" s="3489"/>
      <c r="G14" s="3489"/>
      <c r="H14" s="3489"/>
      <c r="I14" s="348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0" t="s">
        <v>949</v>
      </c>
      <c r="B1" s="3490"/>
      <c r="C1" s="3490"/>
      <c r="D1" s="3490"/>
    </row>
    <row r="2" spans="1:4" ht="18">
      <c r="A2" s="3491" t="s">
        <v>933</v>
      </c>
      <c r="B2" s="3491"/>
      <c r="C2" s="3491"/>
      <c r="D2" s="3491"/>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491" t="s">
        <v>939</v>
      </c>
      <c r="B6" s="3491"/>
      <c r="C6" s="3491"/>
      <c r="D6" s="349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2"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6" t="s">
        <v>943</v>
      </c>
      <c r="B16" s="3496"/>
      <c r="C16" s="3496"/>
      <c r="D16" s="3496"/>
    </row>
    <row r="17" spans="1:4" ht="144" customHeight="1">
      <c r="A17" s="3496" t="s">
        <v>944</v>
      </c>
      <c r="B17" s="3496"/>
      <c r="C17" s="3496"/>
      <c r="D17" s="3496"/>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945</v>
      </c>
      <c r="B22" s="3498"/>
      <c r="C22" s="3498"/>
      <c r="D22" s="349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5">
        <v>42551</v>
      </c>
      <c r="D31" s="3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4" t="s">
        <v>956</v>
      </c>
      <c r="B15" s="3499" t="s">
        <v>109</v>
      </c>
      <c r="C15" s="3500"/>
    </row>
    <row r="16" spans="1:7" ht="13.5">
      <c r="A16" s="3505"/>
      <c r="B16" s="3499" t="s">
        <v>42</v>
      </c>
      <c r="C16" s="3500"/>
    </row>
    <row r="17" spans="1:3" ht="13.5">
      <c r="A17" s="3505"/>
      <c r="B17" s="3502" t="s">
        <v>957</v>
      </c>
      <c r="C17" s="1532" t="s">
        <v>956</v>
      </c>
    </row>
    <row r="18" spans="1:3" ht="13.5">
      <c r="A18" s="3505"/>
      <c r="B18" s="3502"/>
      <c r="C18" s="1532" t="s">
        <v>958</v>
      </c>
    </row>
    <row r="19" spans="1:3" ht="13.5">
      <c r="A19" s="3505"/>
      <c r="B19" s="3502"/>
      <c r="C19" s="1532" t="s">
        <v>959</v>
      </c>
    </row>
    <row r="20" spans="1:3" ht="13.5">
      <c r="A20" s="3506"/>
      <c r="B20" s="3501" t="s">
        <v>960</v>
      </c>
      <c r="C20" s="3500"/>
    </row>
    <row r="21" spans="1:3" ht="13.5">
      <c r="A21" s="1533" t="s">
        <v>961</v>
      </c>
      <c r="B21" s="1534"/>
      <c r="C21" s="1535"/>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2" t="s">
        <v>967</v>
      </c>
    </row>
    <row r="26" spans="1:3" ht="13.5">
      <c r="A26" s="3503"/>
      <c r="B26" s="3502"/>
      <c r="C26" s="1532" t="s">
        <v>968</v>
      </c>
    </row>
    <row r="27" spans="1:3" ht="13.5">
      <c r="A27" s="3503"/>
      <c r="B27" s="3502"/>
      <c r="C27" s="1532" t="s">
        <v>969</v>
      </c>
    </row>
    <row r="28" spans="1:3" ht="13.5">
      <c r="A28" s="3503"/>
      <c r="B28" s="3502"/>
      <c r="C28" s="1532" t="s">
        <v>970</v>
      </c>
    </row>
    <row r="29" spans="1:3" ht="13.5">
      <c r="A29" s="3503"/>
      <c r="B29" s="3502"/>
      <c r="C29" s="1532" t="s">
        <v>971</v>
      </c>
    </row>
    <row r="30" spans="1:3" ht="13.5">
      <c r="A30" s="3503"/>
      <c r="B30" s="3502"/>
      <c r="C30" s="1532" t="s">
        <v>972</v>
      </c>
    </row>
    <row r="31" spans="1:3" ht="13.5">
      <c r="A31" s="3503"/>
      <c r="B31" s="3502"/>
      <c r="C31" s="1532" t="s">
        <v>973</v>
      </c>
    </row>
    <row r="32" spans="1:3" ht="13.5">
      <c r="A32" s="3503"/>
      <c r="B32" s="3502"/>
      <c r="C32" s="1532" t="s">
        <v>974</v>
      </c>
    </row>
    <row r="33" spans="1:3" ht="13.5">
      <c r="A33" s="3503"/>
      <c r="B33" s="35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45001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7" t="s">
        <v>2160</v>
      </c>
      <c r="B17" s="3507"/>
      <c r="C17" s="3507"/>
      <c r="D17" s="3507"/>
      <c r="E17" s="3507"/>
      <c r="F17" s="3507"/>
      <c r="G17" s="3507"/>
      <c r="H17" s="3507"/>
    </row>
    <row r="18" spans="1:8" ht="24" customHeight="1">
      <c r="A18" s="3508" t="s">
        <v>2161</v>
      </c>
      <c r="B18" s="3508"/>
      <c r="C18" s="3508"/>
      <c r="D18" s="2343"/>
      <c r="E18" s="3509" t="s">
        <v>2162</v>
      </c>
      <c r="F18" s="3508"/>
      <c r="G18" s="350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比较案例</vt:lpstr>
      <vt:lpstr>收益法 (元)</vt:lpstr>
      <vt:lpstr>比较法-办公 (2)</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租赁合同</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2023-03-16T05:47:41Z</dcterms:modified>
</cp:coreProperties>
</file>