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77" l="1"/>
  <c r="H7" i="77"/>
  <c r="I7" i="77"/>
  <c r="H2" i="77" l="1"/>
  <c r="K7" i="77" l="1"/>
  <c r="L6" i="1"/>
  <c r="H3" i="77"/>
  <c r="H4" i="77"/>
  <c r="H5" i="77"/>
  <c r="K4" i="77" l="1"/>
  <c r="K3" i="77"/>
  <c r="K6" i="77" s="1"/>
  <c r="I8" i="20" l="1"/>
  <c r="G6" i="77" l="1"/>
  <c r="G5" i="77"/>
  <c r="G4" i="77"/>
  <c r="G3" i="77"/>
  <c r="G2" i="77"/>
  <c r="N6" i="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Y6" i="1"/>
  <c r="F19" i="6"/>
  <c r="F6" i="77"/>
  <c r="D24" i="78" l="1"/>
  <c r="P61" i="78"/>
  <c r="D22" i="78"/>
  <c r="AD6" i="7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4" i="52"/>
  <c r="B41" i="72" s="1"/>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M6" i="78"/>
  <c r="B10" i="76"/>
  <c r="B8" i="76"/>
  <c r="F40" i="78"/>
  <c r="F3" i="73"/>
  <c r="J15" i="78"/>
  <c r="F6" i="67"/>
  <c r="AO11" i="1"/>
  <c r="D2" i="21"/>
  <c r="D6" i="73"/>
  <c r="C76" i="15"/>
  <c r="M22" i="15"/>
  <c r="D7" i="73"/>
  <c r="M24" i="78"/>
  <c r="E12" i="76"/>
  <c r="F9" i="67"/>
  <c r="D2" i="34"/>
  <c r="B9" i="76"/>
  <c r="F8" i="67"/>
  <c r="F6" i="15"/>
  <c r="L47" i="15"/>
  <c r="F26" i="78"/>
  <c r="F13" i="78"/>
  <c r="L48" i="67"/>
  <c r="D5" i="73"/>
  <c r="M23" i="15"/>
  <c r="M29" i="15"/>
  <c r="E13" i="76"/>
  <c r="AO10" i="1"/>
  <c r="M29" i="67"/>
  <c r="M22" i="67"/>
  <c r="F43" i="15"/>
  <c r="F36" i="67"/>
  <c r="D2" i="36"/>
  <c r="M27" i="15"/>
  <c r="AO9" i="1"/>
  <c r="M8" i="78"/>
  <c r="M23" i="67"/>
  <c r="F26" i="15"/>
  <c r="L47" i="78"/>
  <c r="M9" i="78"/>
  <c r="E9" i="76"/>
  <c r="M26" i="15"/>
  <c r="F7" i="67"/>
  <c r="L48" i="78"/>
  <c r="F40" i="15"/>
  <c r="F38" i="78"/>
  <c r="D4" i="73"/>
  <c r="F26" i="67"/>
  <c r="F5" i="73"/>
  <c r="F38" i="67"/>
  <c r="F16" i="67"/>
  <c r="F8" i="78"/>
  <c r="M22" i="78"/>
  <c r="M28" i="15"/>
  <c r="M8" i="15"/>
  <c r="F16" i="78"/>
  <c r="F36" i="15"/>
  <c r="L48" i="15"/>
  <c r="D3" i="73"/>
  <c r="M26" i="67"/>
  <c r="F9" i="15"/>
  <c r="F37" i="78"/>
  <c r="F7" i="15"/>
  <c r="F20" i="31"/>
  <c r="M6" i="67"/>
  <c r="M28" i="78"/>
  <c r="F37" i="15"/>
  <c r="J15" i="67"/>
  <c r="M6" i="15"/>
  <c r="F4" i="73"/>
  <c r="B13" i="76"/>
  <c r="F7" i="73"/>
  <c r="D2" i="35"/>
  <c r="F16" i="15"/>
  <c r="F43" i="67"/>
  <c r="C76" i="78"/>
  <c r="E8" i="76"/>
  <c r="M27" i="67"/>
  <c r="M28" i="67"/>
  <c r="E10" i="76"/>
  <c r="B12" i="76"/>
  <c r="M24" i="15"/>
  <c r="F36" i="78"/>
  <c r="F42" i="67"/>
  <c r="F43" i="78"/>
  <c r="L47" i="67"/>
  <c r="M8" i="67"/>
  <c r="E11" i="76"/>
  <c r="M9" i="67"/>
  <c r="B7" i="76"/>
  <c r="F42" i="15"/>
  <c r="J15" i="15"/>
  <c r="E2" i="69"/>
  <c r="C76" i="67"/>
  <c r="M23" i="78"/>
  <c r="M26" i="78"/>
  <c r="F13" i="67"/>
  <c r="F6" i="73"/>
  <c r="F42" i="78"/>
  <c r="F8" i="15"/>
  <c r="M24" i="67"/>
  <c r="D2" i="33"/>
  <c r="D2" i="37"/>
  <c r="M27" i="78"/>
  <c r="AO8" i="1"/>
  <c r="F13" i="15"/>
  <c r="E2" i="68"/>
  <c r="M9" i="15"/>
  <c r="F6" i="78"/>
  <c r="AO12" i="1"/>
  <c r="E7" i="76"/>
  <c r="F38" i="15"/>
  <c r="F37" i="67"/>
  <c r="AO13" i="1"/>
  <c r="M29" i="78"/>
  <c r="F40" i="67"/>
  <c r="F9" i="78"/>
  <c r="F7" i="78"/>
  <c r="B11" i="76"/>
  <c r="F31" i="78" l="1"/>
  <c r="D12" i="52"/>
  <c r="D127" i="9"/>
  <c r="D13" i="52" s="1"/>
  <c r="A118" i="9"/>
  <c r="Q71" i="78"/>
  <c r="F65" i="78"/>
  <c r="F64" i="78"/>
  <c r="F51" i="78"/>
  <c r="F66" i="78"/>
  <c r="C27" i="78"/>
  <c r="F68" i="78"/>
  <c r="AQ8" i="1"/>
  <c r="L27" i="6"/>
  <c r="F3" i="35"/>
  <c r="F50" i="78"/>
  <c r="C6" i="78"/>
  <c r="M7" i="78"/>
  <c r="F71" i="78"/>
  <c r="M7" i="1"/>
  <c r="E81" i="43"/>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366" i="3"/>
  <c r="AY549" i="3"/>
  <c r="AY198" i="3"/>
  <c r="AY255"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B29" i="1" s="1"/>
  <c r="C8" i="68"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22" i="43"/>
  <c r="M101" i="43"/>
  <c r="AH11" i="43"/>
  <c r="AH13" i="43" s="1"/>
  <c r="Z11" i="43"/>
  <c r="Z13" i="43" s="1"/>
  <c r="AE11" i="43"/>
  <c r="AE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78"/>
  <c r="M17" i="67"/>
  <c r="F31" i="67"/>
  <c r="F59" i="67"/>
  <c r="F31" i="15"/>
  <c r="F59" i="15"/>
  <c r="F59" i="78"/>
  <c r="M17" i="15"/>
  <c r="C16" i="67"/>
  <c r="C16" i="78"/>
  <c r="C16" i="15"/>
  <c r="G1" i="73"/>
  <c r="C49" i="78" l="1"/>
  <c r="AY384" i="3"/>
  <c r="AY141" i="3"/>
  <c r="AY69" i="3"/>
  <c r="AY260" i="3"/>
  <c r="AY42" i="3"/>
  <c r="AY238" i="3"/>
  <c r="AY291" i="3"/>
  <c r="AY162" i="3"/>
  <c r="AY52" i="3"/>
  <c r="AY105" i="3"/>
  <c r="AY310" i="3"/>
  <c r="AY441" i="3"/>
  <c r="AY168" i="3"/>
  <c r="AY207" i="3"/>
  <c r="AA11" i="43"/>
  <c r="AA13" i="43" s="1"/>
  <c r="AI11" i="43"/>
  <c r="AI13" i="43" s="1"/>
  <c r="AD11" i="43"/>
  <c r="AD13" i="43" s="1"/>
  <c r="E101" i="43"/>
  <c r="N101" i="43"/>
  <c r="J101" i="43"/>
  <c r="H22" i="43"/>
  <c r="K101" i="43"/>
  <c r="L101" i="43"/>
  <c r="G101" i="43"/>
  <c r="AY227" i="3"/>
  <c r="AY270" i="3"/>
  <c r="AY286" i="3"/>
  <c r="AY134" i="3"/>
  <c r="AY173" i="3"/>
  <c r="AY193" i="3"/>
  <c r="AY20" i="3"/>
  <c r="AY84" i="3"/>
  <c r="AY100" i="3"/>
  <c r="AY533" i="3"/>
  <c r="AY420" i="3"/>
  <c r="AY372" i="3"/>
  <c r="AY26" i="3"/>
  <c r="AY473" i="3"/>
  <c r="AY236" i="3"/>
  <c r="AY281" i="3"/>
  <c r="AY124" i="3"/>
  <c r="AY51" i="3"/>
  <c r="J6" i="78"/>
  <c r="Q61" i="78"/>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D29" i="43" s="1"/>
  <c r="D1" i="43" s="1"/>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E31" i="6"/>
  <c r="E57" i="40"/>
  <c r="E62" i="39"/>
  <c r="E66" i="39" s="1"/>
  <c r="D3" i="34"/>
  <c r="D3" i="33"/>
  <c r="D19" i="11"/>
  <c r="C19" i="11" s="1"/>
  <c r="C20" i="11" s="1"/>
  <c r="D37" i="11"/>
  <c r="C37" i="11" s="1"/>
  <c r="D14" i="12"/>
  <c r="M18" i="9"/>
  <c r="B118" i="9" s="1"/>
  <c r="B14" i="74" s="1"/>
  <c r="B1" i="74" s="1"/>
  <c r="E6" i="6"/>
  <c r="C17" i="4"/>
  <c r="L18" i="9"/>
  <c r="D3" i="21"/>
  <c r="D3" i="37"/>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M11" i="15"/>
  <c r="J10" i="15" s="1"/>
  <c r="J5" i="15" s="1"/>
  <c r="F11" i="67"/>
  <c r="F11" i="15"/>
  <c r="C10" i="15" s="1"/>
  <c r="M11" i="67"/>
  <c r="J10" i="67" s="1"/>
  <c r="J5" i="67" s="1"/>
  <c r="Q73" i="67"/>
  <c r="Q60" i="67"/>
  <c r="P17" i="43"/>
  <c r="M17" i="43"/>
  <c r="N17" i="43"/>
  <c r="O17" i="43"/>
  <c r="Q60" i="15"/>
  <c r="Q73" i="15"/>
  <c r="Q74" i="15"/>
  <c r="Q61" i="15"/>
  <c r="Q61" i="67"/>
  <c r="Q74" i="67"/>
  <c r="AE7" i="1"/>
  <c r="C17" i="15"/>
  <c r="F41" i="67"/>
  <c r="AE6" i="1"/>
  <c r="F69" i="67" l="1"/>
  <c r="D13" i="6"/>
  <c r="D10" i="6"/>
  <c r="D15" i="6"/>
  <c r="D22" i="43"/>
  <c r="E6" i="70"/>
  <c r="B2" i="33"/>
  <c r="B3" i="33" s="1"/>
  <c r="D8" i="6"/>
  <c r="D20" i="6"/>
  <c r="G65" i="40"/>
  <c r="H63" i="40"/>
  <c r="C53" i="78"/>
  <c r="C48" i="78" s="1"/>
  <c r="C10" i="78"/>
  <c r="C5" i="78" s="1"/>
  <c r="J26" i="78"/>
  <c r="J24" i="78"/>
  <c r="J18" i="78"/>
  <c r="G20" i="43"/>
  <c r="C20" i="43" s="1"/>
  <c r="G7" i="1"/>
  <c r="C38" i="69"/>
  <c r="C35" i="69"/>
  <c r="D14" i="6"/>
  <c r="D19" i="6"/>
  <c r="D12" i="6"/>
  <c r="D21" i="6"/>
  <c r="O14" i="1"/>
  <c r="M16" i="1"/>
  <c r="D29" i="6"/>
  <c r="D9" i="6"/>
  <c r="D23" i="6"/>
  <c r="D26" i="6"/>
  <c r="D28" i="6"/>
  <c r="D11" i="6"/>
  <c r="D5" i="6"/>
  <c r="D24" i="6"/>
  <c r="D22" i="6"/>
  <c r="M20" i="6"/>
  <c r="I20" i="6" s="1"/>
  <c r="S20" i="6" s="1"/>
  <c r="S7" i="1"/>
  <c r="AQ6" i="1"/>
  <c r="AR6" i="1"/>
  <c r="T6" i="1"/>
  <c r="C18" i="4"/>
  <c r="C4" i="52" s="1"/>
  <c r="B45" i="72" s="1"/>
  <c r="M19" i="9"/>
  <c r="C118" i="9" s="1"/>
  <c r="C14" i="74" s="1"/>
  <c r="B2" i="74" s="1"/>
  <c r="E61" i="40"/>
  <c r="L19" i="9"/>
  <c r="H23" i="6"/>
  <c r="S23" i="6"/>
  <c r="S21" i="6"/>
  <c r="H21" i="6"/>
  <c r="R21" i="6" s="1"/>
  <c r="M19" i="6"/>
  <c r="K27" i="6"/>
  <c r="H24" i="6"/>
  <c r="R24" i="6" s="1"/>
  <c r="S24" i="6"/>
  <c r="D30" i="6"/>
  <c r="H22" i="6"/>
  <c r="S22" i="6"/>
  <c r="S25" i="6"/>
  <c r="H25" i="6"/>
  <c r="R25" i="6" s="1"/>
  <c r="H26" i="6"/>
  <c r="R26" i="6" s="1"/>
  <c r="S26" i="6"/>
  <c r="H20" i="6"/>
  <c r="D10" i="68"/>
  <c r="D10" i="69"/>
  <c r="D10" i="11"/>
  <c r="C10" i="11" s="1"/>
  <c r="D20" i="12"/>
  <c r="C20" i="12" s="1"/>
  <c r="C18" i="12" s="1"/>
  <c r="D6" i="6"/>
  <c r="D17" i="12"/>
  <c r="C17" i="12" s="1"/>
  <c r="C14" i="12"/>
  <c r="B4" i="52"/>
  <c r="B43" i="72" s="1"/>
  <c r="A7" i="51"/>
  <c r="B7"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J24" i="67"/>
  <c r="J26" i="67"/>
  <c r="J29" i="67" s="1"/>
  <c r="J18" i="67"/>
  <c r="C53" i="67"/>
  <c r="C48" i="67" s="1"/>
  <c r="C10" i="67"/>
  <c r="C5" i="67" s="1"/>
  <c r="J24" i="15"/>
  <c r="J18" i="15"/>
  <c r="J26" i="15"/>
  <c r="C53" i="15"/>
  <c r="C48" i="15" s="1"/>
  <c r="C5" i="15"/>
  <c r="F24" i="67"/>
  <c r="C24" i="67" s="1"/>
  <c r="F22" i="68"/>
  <c r="F22" i="11"/>
  <c r="F22" i="69"/>
  <c r="F25" i="12"/>
  <c r="F24" i="15"/>
  <c r="C24" i="15" s="1"/>
  <c r="C17" i="78"/>
  <c r="C17" i="67"/>
  <c r="C14" i="15"/>
  <c r="C14" i="67"/>
  <c r="F41" i="15"/>
  <c r="F41" i="78"/>
  <c r="C15" i="67" l="1"/>
  <c r="C18" i="67"/>
  <c r="S16" i="1"/>
  <c r="D27" i="6"/>
  <c r="A10" i="51"/>
  <c r="B9" i="72" s="1"/>
  <c r="R20" i="6"/>
  <c r="R7" i="1" s="1"/>
  <c r="R23" i="6"/>
  <c r="D16" i="6"/>
  <c r="E7" i="70"/>
  <c r="R22" i="6"/>
  <c r="E2" i="70"/>
  <c r="F69" i="78"/>
  <c r="J29" i="78"/>
  <c r="H65" i="40"/>
  <c r="I63" i="40"/>
  <c r="C18" i="15"/>
  <c r="C15" i="15"/>
  <c r="F69" i="15"/>
  <c r="J29" i="15"/>
  <c r="C66" i="78"/>
  <c r="C60" i="78"/>
  <c r="C38" i="78"/>
  <c r="C32" i="78"/>
  <c r="C33" i="78"/>
  <c r="E41" i="43"/>
  <c r="C41" i="43" s="1"/>
  <c r="C38" i="43" s="1"/>
  <c r="G6" i="1"/>
  <c r="G16" i="1" s="1"/>
  <c r="H16" i="1"/>
  <c r="P14" i="1"/>
  <c r="P16" i="1" s="1"/>
  <c r="C11" i="12" s="1"/>
  <c r="O16" i="1"/>
  <c r="C34" i="68"/>
  <c r="N16" i="1"/>
  <c r="C34" i="11"/>
  <c r="L16" i="1"/>
  <c r="T7" i="1"/>
  <c r="T16" i="1" s="1"/>
  <c r="AR7" i="1"/>
  <c r="AQ7" i="1"/>
  <c r="D7" i="74"/>
  <c r="D8" i="74"/>
  <c r="D31" i="6"/>
  <c r="I19" i="6"/>
  <c r="M27" i="6"/>
  <c r="C10" i="68"/>
  <c r="D19" i="68"/>
  <c r="C10" i="69"/>
  <c r="C8" i="69" s="1"/>
  <c r="C5" i="69" s="1"/>
  <c r="C23"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F35" i="78"/>
  <c r="M21" i="78"/>
  <c r="F35" i="67"/>
  <c r="M21" i="67"/>
  <c r="C14" i="78"/>
  <c r="C19" i="67" l="1"/>
  <c r="C20" i="67" s="1"/>
  <c r="C26" i="67" s="1"/>
  <c r="C34" i="67"/>
  <c r="F63" i="67"/>
  <c r="C62" i="67" s="1"/>
  <c r="J20" i="67"/>
  <c r="J20" i="78"/>
  <c r="C34" i="78"/>
  <c r="F63" i="78"/>
  <c r="C62" i="78" s="1"/>
  <c r="I65" i="40"/>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23" i="67" l="1"/>
  <c r="C29" i="67" s="1"/>
  <c r="J65" i="40"/>
  <c r="K63" i="40"/>
  <c r="E39" i="43"/>
  <c r="C26" i="43" s="1"/>
  <c r="B2" i="43" s="1"/>
  <c r="C20" i="69"/>
  <c r="C25" i="69" s="1"/>
  <c r="C22" i="69" s="1"/>
  <c r="C19" i="78"/>
  <c r="C20" i="78" s="1"/>
  <c r="C26" i="78" s="1"/>
  <c r="C23" i="15"/>
  <c r="C29" i="15" s="1"/>
  <c r="U10" i="39"/>
  <c r="AB10" i="39"/>
  <c r="S10" i="39"/>
  <c r="AA10" i="39"/>
  <c r="AA10" i="40"/>
  <c r="S10" i="40"/>
  <c r="AC10" i="40"/>
  <c r="W10" i="40"/>
  <c r="U10" i="40"/>
  <c r="AB10" i="40"/>
  <c r="AC10" i="39"/>
  <c r="W10" i="39"/>
  <c r="C33" i="68"/>
  <c r="C39" i="68" s="1"/>
  <c r="C43" i="68" s="1"/>
  <c r="C16" i="12"/>
  <c r="C21" i="12" s="1"/>
  <c r="C33" i="11"/>
  <c r="C39" i="11" s="1"/>
  <c r="R19" i="6"/>
  <c r="H27" i="6"/>
  <c r="C39" i="69"/>
  <c r="C42" i="69"/>
  <c r="C20" i="68"/>
  <c r="C25" i="68" s="1"/>
  <c r="C24" i="68"/>
  <c r="I68" i="39"/>
  <c r="H70" i="39"/>
  <c r="C27" i="43"/>
  <c r="B6" i="76"/>
  <c r="E6" i="76"/>
  <c r="C33" i="67" l="1"/>
  <c r="C31" i="67" s="1"/>
  <c r="J14" i="67"/>
  <c r="C13" i="67"/>
  <c r="Q49" i="67"/>
  <c r="J59" i="67"/>
  <c r="J60" i="67" s="1"/>
  <c r="C57" i="67"/>
  <c r="J19" i="67"/>
  <c r="J17" i="67" s="1"/>
  <c r="C36" i="67"/>
  <c r="C28" i="69"/>
  <c r="C27" i="69" s="1"/>
  <c r="C31" i="69" s="1"/>
  <c r="L63" i="40"/>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F35" i="15"/>
  <c r="M21" i="15"/>
  <c r="C61" i="67" l="1"/>
  <c r="C59" i="67" s="1"/>
  <c r="C64" i="67"/>
  <c r="J13" i="67"/>
  <c r="J23" i="67" s="1"/>
  <c r="J22" i="67"/>
  <c r="L46" i="67"/>
  <c r="Q48" i="67"/>
  <c r="C56" i="67"/>
  <c r="C65" i="67" s="1"/>
  <c r="C75" i="67"/>
  <c r="Q70" i="67"/>
  <c r="C37" i="67"/>
  <c r="C30" i="67" s="1"/>
  <c r="C39" i="67" s="1"/>
  <c r="M63" i="40"/>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L51" i="67"/>
  <c r="J16" i="67" l="1"/>
  <c r="J25" i="67" s="1"/>
  <c r="L57" i="67"/>
  <c r="L60" i="67" s="1"/>
  <c r="Q57" i="67" s="1"/>
  <c r="Q67" i="67"/>
  <c r="C40" i="67"/>
  <c r="Q69" i="67"/>
  <c r="Q68" i="67" s="1"/>
  <c r="C80" i="67"/>
  <c r="C79" i="67" s="1"/>
  <c r="C58" i="67"/>
  <c r="C67" i="67" s="1"/>
  <c r="C68" i="67" s="1"/>
  <c r="M65" i="40"/>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D19" i="9"/>
  <c r="L51" i="78"/>
  <c r="C45" i="67" l="1"/>
  <c r="C46" i="67" s="1"/>
  <c r="C71" i="67"/>
  <c r="Q47" i="67"/>
  <c r="Q53" i="67" s="1"/>
  <c r="C43" i="67"/>
  <c r="C83" i="67"/>
  <c r="C82" i="67" s="1"/>
  <c r="Q56" i="67"/>
  <c r="Q62" i="67" s="1"/>
  <c r="Q65" i="67"/>
  <c r="Q75" i="67" s="1"/>
  <c r="D2" i="67"/>
  <c r="C40" i="15"/>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D20" i="9"/>
  <c r="D34" i="9"/>
  <c r="L51" i="15"/>
  <c r="D35" i="9"/>
  <c r="B2" i="67" l="1"/>
  <c r="B3" i="67"/>
  <c r="Q56" i="15"/>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7" i="1"/>
  <c r="AO6"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F4" i="52"/>
  <c r="B51" i="72" s="1"/>
  <c r="G118" i="9"/>
  <c r="G4" i="52" s="1"/>
  <c r="B52" i="72" s="1"/>
  <c r="F119" i="9"/>
  <c r="F5" i="52" s="1"/>
  <c r="B53" i="72" s="1"/>
  <c r="E47" i="39"/>
  <c r="I52" i="39" s="1"/>
  <c r="J52" i="39" s="1"/>
  <c r="R48" i="39"/>
  <c r="G52" i="39"/>
  <c r="H52" i="39" s="1"/>
  <c r="G51" i="39"/>
  <c r="H51" i="39" s="1"/>
  <c r="I51" i="39"/>
  <c r="J51" i="39" s="1"/>
  <c r="D14" i="74" l="1"/>
  <c r="E14" i="74" s="1"/>
  <c r="H4" i="52"/>
  <c r="I118" i="9"/>
  <c r="C105" i="9" s="1"/>
  <c r="H119" i="9"/>
  <c r="H5" i="52" s="1"/>
  <c r="H101" i="9"/>
  <c r="D5" i="53" s="1"/>
  <c r="D119" i="9"/>
  <c r="D5" i="52" s="1"/>
  <c r="B49" i="72" s="1"/>
  <c r="D4" i="52"/>
  <c r="B47" i="72" s="1"/>
  <c r="C48" i="39"/>
  <c r="C47" i="39"/>
  <c r="E51" i="39"/>
  <c r="F51" i="39" s="1"/>
  <c r="E52" i="39"/>
  <c r="F52" i="39" s="1"/>
  <c r="F14" i="74" l="1"/>
  <c r="B5" i="74"/>
  <c r="D5" i="74" s="1"/>
  <c r="H107" i="9"/>
  <c r="E118" i="9"/>
  <c r="E4" i="52" s="1"/>
  <c r="B48" i="72" s="1"/>
  <c r="D45" i="9"/>
  <c r="C64" i="9" s="1"/>
  <c r="C63" i="9" s="1"/>
  <c r="C67" i="9" s="1"/>
  <c r="C68" i="9" s="1"/>
  <c r="D54" i="9" s="1"/>
  <c r="H102" i="9"/>
  <c r="D7" i="53" s="1"/>
  <c r="B21" i="72" s="1"/>
  <c r="M48" i="9"/>
  <c r="I4" i="52"/>
  <c r="B20" i="72"/>
  <c r="D6" i="53"/>
  <c r="B22"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5" i="74" l="1"/>
  <c r="D55" i="9"/>
  <c r="M53" i="9" s="1"/>
  <c r="H108" i="9"/>
  <c r="D15" i="53" s="1"/>
  <c r="B31" i="72" s="1"/>
  <c r="M49" i="9"/>
  <c r="D122" i="9"/>
  <c r="G14" i="74" s="1"/>
  <c r="B6" i="74" s="1"/>
  <c r="D13" i="53"/>
  <c r="B30" i="72" s="1"/>
  <c r="C78" i="9"/>
  <c r="C73" i="9" s="1"/>
  <c r="C72" i="9"/>
  <c r="D53" i="9"/>
  <c r="C93" i="9"/>
  <c r="C86" i="9" s="1"/>
  <c r="D52" i="9"/>
  <c r="C85" i="9"/>
  <c r="L68" i="9" l="1"/>
  <c r="M68" i="9" s="1"/>
  <c r="L65" i="9"/>
  <c r="M65" i="9" s="1"/>
  <c r="L66" i="9"/>
  <c r="M66" i="9" s="1"/>
  <c r="L64" i="9"/>
  <c r="M64" i="9" s="1"/>
  <c r="L63" i="9"/>
  <c r="M63" i="9" s="1"/>
  <c r="L67" i="9"/>
  <c r="M67" i="9" s="1"/>
  <c r="D14" i="53"/>
  <c r="B32" i="72" s="1"/>
  <c r="D8" i="52"/>
  <c r="C95" i="9"/>
  <c r="C96" i="9" s="1"/>
  <c r="E96" i="9" s="1"/>
  <c r="E97" i="9" s="1"/>
  <c r="D123" i="9"/>
  <c r="D9" i="52" s="1"/>
  <c r="C79" i="9"/>
  <c r="C80" i="9" s="1"/>
  <c r="E80" i="9" s="1"/>
  <c r="E81" i="9" s="1"/>
  <c r="D6" i="74"/>
  <c r="C6" i="74"/>
  <c r="M69" i="9" l="1"/>
  <c r="N69" i="9" s="1"/>
  <c r="C97" i="9"/>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<sst xmlns="http://schemas.openxmlformats.org/spreadsheetml/2006/main" count="7732" uniqueCount="3113">
  <si>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</si>
  <si>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</si>
  <si>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</si>
  <si>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</si>
  <si>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</si>
  <si>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</si>
  <si>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</si>
  <si>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</si>
  <si>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</si>
  <si>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</si>
  <si>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</si>
  <si>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</si>
  <si>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</si>
  <si>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</si>
  <si>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</si>
  <si>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</si>
  <si>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</si>
  <si>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</si>
  <si>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</si>
  <si>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</si>
  <si>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</si>
  <si>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</si>
  <si>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</si>
  <si>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</si>
  <si>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</si>
  <si>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</si>
  <si>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</si>
  <si>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</si>
  <si>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</si>
  <si>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</si>
  <si>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</si>
  <si>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</si>
  <si>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</si>
  <si>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</si>
  <si>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</si>
  <si>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</si>
  <si>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</si>
  <si>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</si>
  <si>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</si>
  <si>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</si>
  <si>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</si>
  <si>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</si>
  <si>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</si>
  <si>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</si>
  <si>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</si>
  <si>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</si>
  <si>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</si>
  <si>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</si>
  <si>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</si>
  <si>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</si>
  <si>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</si>
  <si>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</si>
  <si>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</si>
  <si>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</si>
  <si>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</si>
  <si>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</si>
  <si>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</si>
  <si>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</si>
  <si>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</si>
  <si>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</si>
  <si>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</si>
  <si>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</si>
  <si>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</si>
  <si>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</si>
  <si>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</si>
  <si>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</si>
  <si>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</si>
  <si>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</si>
  <si>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</si>
  <si>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</si>
  <si>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</si>
  <si>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</si>
  <si>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</si>
  <si>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</si>
  <si>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</si>
  <si>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</si>
  <si>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</si>
  <si>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</si>
  <si>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</si>
  <si>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</si>
  <si>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</si>
  <si>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</si>
  <si>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</si>
  <si>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</si>
  <si>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</si>
  <si>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</si>
  <si>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</si>
  <si>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</si>
  <si>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</si>
  <si>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</si>
  <si>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</si>
  <si>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</si>
  <si>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</si>
  <si>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</si>
  <si>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</si>
  <si>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</si>
  <si>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</si>
  <si>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</si>
  <si>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</si>
  <si>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</si>
  <si>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</si>
  <si>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</si>
  <si>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</si>
  <si>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</si>
  <si>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</si>
  <si>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</si>
  <si>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</si>
  <si>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</si>
  <si>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</si>
  <si>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</si>
  <si>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</si>
  <si>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</si>
  <si>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</si>
  <si>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</si>
  <si>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</si>
  <si>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</si>
  <si>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</si>
  <si>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</si>
  <si>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</si>
  <si>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</si>
  <si>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</si>
  <si>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</si>
  <si>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</si>
  <si>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</si>
  <si>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</si>
  <si>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</si>
  <si>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</si>
  <si>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</si>
  <si>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</si>
  <si>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</si>
  <si>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</si>
  <si>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</si>
  <si>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</si>
  <si>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</si>
  <si>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</si>
  <si>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</si>
  <si>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</si>
  <si>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</si>
  <si>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</si>
  <si>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</si>
  <si>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</si>
  <si>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</si>
  <si>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</si>
  <si>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</si>
  <si>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</si>
  <si>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</si>
  <si>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</si>
  <si>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</si>
  <si>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</si>
  <si>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</si>
  <si>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</si>
  <si>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</si>
  <si>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</si>
  <si>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</si>
  <si>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</si>
  <si>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</si>
  <si>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</si>
  <si>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</si>
  <si>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</si>
  <si>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</si>
  <si>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</si>
  <si>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</si>
  <si>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</si>
  <si>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</si>
  <si>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</si>
  <si>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</si>
  <si>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</si>
  <si>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</si>
  <si>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</si>
  <si>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</si>
  <si>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</si>
  <si>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</si>
  <si>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</si>
  <si>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</si>
  <si>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</si>
  <si>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</si>
  <si>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</si>
  <si>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</si>
  <si>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</si>
  <si>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</si>
  <si>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</si>
  <si>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</si>
  <si>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</si>
  <si>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</si>
  <si>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</si>
  <si>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</si>
  <si>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</si>
  <si>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</si>
  <si>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</si>
  <si>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</si>
  <si>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</si>
  <si>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</si>
  <si>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</si>
  <si>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</si>
  <si>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</si>
  <si>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</si>
  <si>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</si>
  <si>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</si>
  <si>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</si>
  <si>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</si>
  <si>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</si>
  <si>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</si>
  <si>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</si>
  <si>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</si>
  <si>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</si>
  <si>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</si>
  <si>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</si>
  <si>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</si>
  <si>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</si>
  <si>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</si>
  <si>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</si>
  <si>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</si>
  <si>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</si>
  <si>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</si>
  <si>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</si>
  <si>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</si>
  <si>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</si>
  <si>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</si>
  <si>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</si>
  <si>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</si>
  <si>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</si>
  <si>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</si>
  <si>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</si>
  <si>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</si>
  <si>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</si>
  <si>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</si>
  <si>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</si>
  <si>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</si>
  <si>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</si>
  <si>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</si>
  <si>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</si>
  <si>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</si>
  <si>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</si>
  <si>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</si>
  <si>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</si>
  <si>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</si>
  <si>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</si>
  <si>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</si>
  <si>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</si>
  <si>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</si>
  <si>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</si>
  <si>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</si>
  <si>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</si>
  <si>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</si>
  <si>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</si>
  <si>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</si>
  <si>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</si>
  <si>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</si>
  <si>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</si>
  <si>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</si>
  <si>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</si>
  <si>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</si>
  <si>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</si>
  <si>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</si>
  <si>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</si>
  <si>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</si>
  <si>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</si>
  <si>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</si>
  <si>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</si>
  <si>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</si>
  <si>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</si>
  <si>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</si>
  <si>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</si>
  <si>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</si>
  <si>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</si>
  <si>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</si>
  <si>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</si>
  <si>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</si>
  <si>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</si>
  <si>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</si>
  <si>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</si>
  <si>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</si>
  <si>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</si>
  <si>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</si>
  <si>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</si>
  <si>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</si>
  <si>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</si>
  <si>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</si>
  <si>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</si>
  <si>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</si>
  <si>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</si>
  <si>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</si>
  <si>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</si>
  <si>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</si>
  <si>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</si>
  <si>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</si>
  <si>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</si>
  <si>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</si>
  <si>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</si>
  <si>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</si>
  <si>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</si>
  <si>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</si>
  <si>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</si>
  <si>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</si>
  <si>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</si>
  <si>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</si>
  <si>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</si>
  <si>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</si>
  <si>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</si>
  <si>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</si>
  <si>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</si>
  <si>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</si>
  <si>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</si>
  <si>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</si>
  <si>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</si>
  <si>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</si>
  <si>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</si>
  <si>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</si>
  <si>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</si>
  <si>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</si>
  <si>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</si>
  <si>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</si>
  <si>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</si>
  <si>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</si>
  <si>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</si>
  <si>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</si>
  <si>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</si>
  <si>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</si>
  <si>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</si>
  <si>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</si>
  <si>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</si>
  <si>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</si>
  <si>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</si>
  <si>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</si>
  <si>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</si>
  <si>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</si>
  <si>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</si>
  <si>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</si>
  <si>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</si>
  <si>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</si>
  <si>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</si>
  <si>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</si>
  <si>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</si>
  <si>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</si>
  <si>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</si>
  <si>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</si>
  <si>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</si>
  <si>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</si>
  <si>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</si>
  <si>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</si>
  <si>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</si>
  <si>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</si>
  <si>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</si>
  <si>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</si>
  <si>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</si>
  <si>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</si>
  <si>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</si>
  <si>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</si>
  <si>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</si>
  <si>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</si>
  <si>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</si>
  <si>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</si>
  <si>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</si>
  <si>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</si>
  <si>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</si>
  <si>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</si>
  <si>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</si>
  <si>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</si>
  <si>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</si>
  <si>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</si>
  <si>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</si>
  <si>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</si>
  <si>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</si>
  <si>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</si>
  <si>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</si>
  <si>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</si>
  <si>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</si>
  <si>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</si>
  <si>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</si>
  <si>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</si>
  <si>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</si>
  <si>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</si>
  <si>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</si>
  <si>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</si>
  <si>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</si>
  <si>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</si>
  <si>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</si>
  <si>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</si>
  <si>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</si>
  <si>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</si>
  <si>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</si>
  <si>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</si>
  <si>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</si>
  <si>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</si>
  <si>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</si>
  <si>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</si>
  <si>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</si>
  <si>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</si>
  <si>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</si>
  <si>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</si>
  <si>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</si>
  <si>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</si>
  <si>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</si>
  <si>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</si>
  <si>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</si>
  <si>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</si>
  <si>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</si>
  <si>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</si>
  <si>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</si>
  <si>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</si>
  <si>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</si>
  <si>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</si>
  <si>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</si>
  <si>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</si>
  <si>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</si>
  <si>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</si>
  <si>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</si>
  <si>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</si>
  <si>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</si>
  <si>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</si>
  <si>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</si>
  <si>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</si>
  <si>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</si>
  <si>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</si>
  <si>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</si>
  <si>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</si>
  <si>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</si>
  <si>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</si>
  <si>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</si>
  <si>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</si>
  <si>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</si>
  <si>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</si>
  <si>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</si>
  <si>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</si>
  <si>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</si>
  <si>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</si>
  <si>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</si>
  <si>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</si>
  <si>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</si>
  <si>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</si>
  <si>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</si>
  <si>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</si>
  <si>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</si>
  <si>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</si>
  <si>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</si>
  <si>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</si>
  <si>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</si>
  <si>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</si>
  <si>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</si>
  <si>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</si>
  <si>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</si>
  <si>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</si>
  <si>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</si>
  <si>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</si>
  <si>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</si>
  <si>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</si>
  <si>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</si>
  <si>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</si>
  <si>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</si>
  <si>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</si>
  <si>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</si>
  <si>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</si>
  <si>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</si>
  <si>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</si>
  <si>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</si>
  <si>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</si>
  <si>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</si>
  <si>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</si>
  <si>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</si>
  <si>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</si>
  <si>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</si>
  <si>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</si>
  <si>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</si>
  <si>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</si>
  <si>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</si>
  <si>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</si>
  <si>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</si>
  <si>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</si>
  <si>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</si>
  <si>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</si>
  <si>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</si>
  <si>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</si>
  <si>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</si>
  <si>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</si>
  <si>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</si>
  <si>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</si>
  <si>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</si>
  <si>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</si>
  <si>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</si>
  <si>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</si>
  <si>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</si>
  <si>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</si>
  <si>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</si>
  <si>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</si>
  <si>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</si>
  <si>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</si>
  <si>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</si>
  <si>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</si>
  <si>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</si>
  <si>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</si>
  <si>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</si>
  <si>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</si>
  <si>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</si>
  <si>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</si>
  <si>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</si>
  <si>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</si>
  <si>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</si>
  <si>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</si>
  <si>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</si>
  <si>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</si>
  <si>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</si>
  <si>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</si>
  <si>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</si>
  <si>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</si>
  <si>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</si>
  <si>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</si>
  <si>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</si>
  <si>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</si>
  <si>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</si>
  <si>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</si>
  <si>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</si>
  <si>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</si>
  <si>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</si>
  <si>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</si>
  <si>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</si>
  <si>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</si>
  <si>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</si>
  <si>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</si>
  <si>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</si>
  <si>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</si>
  <si>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</si>
  <si>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</si>
  <si>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</si>
  <si>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</si>
  <si>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</si>
  <si>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</si>
  <si>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</si>
  <si>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</si>
  <si>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</si>
  <si>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</si>
  <si>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</si>
  <si>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</si>
  <si>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</si>
  <si>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</si>
  <si>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</si>
  <si>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</si>
  <si>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</si>
  <si>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</si>
  <si>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</si>
  <si>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</si>
  <si>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</si>
  <si>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</si>
  <si>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</si>
  <si>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</si>
  <si>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</si>
  <si>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</si>
  <si>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</si>
  <si>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</si>
  <si>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</si>
  <si>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</si>
  <si>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</si>
  <si>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</si>
  <si>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</si>
  <si>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</si>
  <si>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</si>
  <si>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</si>
  <si>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</si>
  <si>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</si>
  <si>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</si>
  <si>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</si>
  <si>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</si>
  <si>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</si>
  <si>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</si>
  <si>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</si>
  <si>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</si>
  <si>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</si>
  <si>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</si>
  <si>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</si>
  <si>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</si>
  <si>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</si>
  <si>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</si>
  <si>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</si>
  <si>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</si>
  <si>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</si>
  <si>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</si>
  <si>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</si>
  <si>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</si>
  <si>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</si>
  <si>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</si>
  <si>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</si>
  <si>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</si>
  <si>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</si>
  <si>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</si>
  <si>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</si>
  <si>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</si>
  <si>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</si>
  <si>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</si>
  <si>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</si>
  <si>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</si>
  <si>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</si>
  <si>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</si>
  <si>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</si>
  <si>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</si>
  <si>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</si>
  <si>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</si>
  <si>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</si>
  <si>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</si>
  <si>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</si>
  <si>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</si>
  <si>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</si>
  <si>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</si>
  <si>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</si>
  <si>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</si>
  <si>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</si>
  <si>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</si>
  <si>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</si>
  <si>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</si>
  <si>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</si>
  <si>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</si>
  <si>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</si>
  <si>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</si>
  <si>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</si>
  <si>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</si>
  <si>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</si>
  <si>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</si>
  <si>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</si>
  <si>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</si>
  <si>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</si>
  <si>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</si>
  <si>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</si>
  <si>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</si>
  <si>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</si>
  <si>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</si>
  <si>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</si>
  <si>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</si>
  <si>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</si>
  <si>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</si>
  <si>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</si>
  <si>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</si>
  <si>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</si>
  <si>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</si>
  <si>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</si>
  <si>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</si>
  <si>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</si>
  <si>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</si>
  <si>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</si>
  <si>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</si>
  <si>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</si>
  <si>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</si>
  <si>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</si>
  <si>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</si>
  <si>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</si>
  <si>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</si>
  <si>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</si>
  <si>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</si>
  <si>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</si>
  <si>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</si>
  <si>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</si>
  <si>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</si>
  <si>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</si>
  <si>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</si>
  <si>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</si>
  <si>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</si>
  <si>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</si>
  <si>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</si>
  <si>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</si>
  <si>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</si>
  <si>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</si>
  <si>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</si>
  <si>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</si>
  <si>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</si>
  <si>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</si>
  <si>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</si>
  <si>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</si>
  <si>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</si>
  <si>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</si>
  <si>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</si>
  <si>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</si>
  <si>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</si>
  <si>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</si>
  <si>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</si>
  <si>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</si>
  <si>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</si>
  <si>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</si>
  <si>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</si>
  <si>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</si>
  <si>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</si>
  <si>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</si>
  <si>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</si>
  <si>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</si>
  <si>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</si>
  <si>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</si>
  <si>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</si>
  <si>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</si>
  <si>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</si>
  <si>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</si>
  <si>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</si>
  <si>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</si>
  <si>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</si>
  <si>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</si>
  <si>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</si>
  <si>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</si>
  <si>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</si>
  <si>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</si>
  <si>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</si>
  <si>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</si>
  <si>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</si>
  <si>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</si>
  <si>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</si>
  <si>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</si>
  <si>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</si>
  <si>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</si>
  <si>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</si>
  <si>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</si>
  <si>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</si>
  <si>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</si>
  <si>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</si>
  <si>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</si>
  <si>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</si>
  <si>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</si>
  <si>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</si>
  <si>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</si>
  <si>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</si>
  <si>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</si>
  <si>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</si>
  <si>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</si>
  <si>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</si>
  <si>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</si>
  <si>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</si>
  <si>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</si>
  <si>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</si>
  <si>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</si>
  <si>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</si>
  <si>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</si>
  <si>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</si>
  <si>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</si>
  <si>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</si>
  <si>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</si>
  <si>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</si>
  <si>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</si>
  <si>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</si>
  <si>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</si>
  <si>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</si>
  <si>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</si>
  <si>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</si>
  <si>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</si>
  <si>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</si>
  <si>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</si>
  <si>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</si>
  <si>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</si>
  <si>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</si>
  <si>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</si>
  <si>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</si>
  <si>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</si>
  <si>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</si>
  <si>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</si>
  <si>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</si>
  <si>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</si>
  <si>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</si>
  <si>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</si>
  <si>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</si>
  <si>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</si>
  <si>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</si>
  <si>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</si>
  <si>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</si>
  <si>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</si>
  <si>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</si>
  <si>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</si>
  <si>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</si>
  <si>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</si>
  <si>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</si>
  <si>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</si>
  <si>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</si>
  <si>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</si>
  <si>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</si>
  <si>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</si>
  <si>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</si>
  <si>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</si>
  <si>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</si>
  <si>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</si>
  <si>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</si>
  <si>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</si>
  <si>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</si>
  <si>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</si>
  <si>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</si>
  <si>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</si>
  <si>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</si>
  <si>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</si>
  <si>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</si>
  <si>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</si>
  <si>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</si>
  <si>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</si>
  <si>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</si>
  <si>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</si>
  <si>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</si>
  <si>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</si>
  <si>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</si>
  <si>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</si>
  <si>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</si>
  <si>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</si>
  <si>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</si>
  <si>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</si>
  <si>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</si>
  <si>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</si>
  <si>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</si>
  <si>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</si>
  <si>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</si>
  <si>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</si>
  <si>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</si>
  <si>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</si>
  <si>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</si>
  <si>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</si>
  <si>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</si>
  <si>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</si>
  <si>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</si>
  <si>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</si>
  <si>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</si>
  <si>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</si>
  <si>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</si>
  <si>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</si>
  <si>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</si>
  <si>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</si>
  <si>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</si>
  <si>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</si>
  <si>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</si>
  <si>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</si>
  <si>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</si>
  <si>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</si>
  <si>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</si>
  <si>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</si>
  <si>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</si>
  <si>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</si>
  <si>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</si>
  <si>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</si>
  <si>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</si>
  <si>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</si>
  <si>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</si>
  <si>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</si>
  <si>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</si>
  <si>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</si>
  <si>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</si>
  <si>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</si>
  <si>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</si>
  <si>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</si>
  <si>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</si>
  <si>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</si>
  <si>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</si>
  <si>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</si>
  <si>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</si>
  <si>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</si>
  <si>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</si>
  <si>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</si>
  <si>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</si>
  <si>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</si>
  <si>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</si>
  <si>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</si>
  <si>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</si>
  <si>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</si>
  <si>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</si>
  <si>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</si>
  <si>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</si>
  <si>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</si>
  <si>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</si>
  <si>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</si>
  <si>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</si>
  <si>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</si>
  <si>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</si>
  <si>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</si>
  <si>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</si>
  <si>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</si>
  <si>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</si>
  <si>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</si>
  <si>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</si>
  <si>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</si>
  <si>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</si>
  <si>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</si>
  <si>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</si>
  <si>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</si>
  <si>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</si>
  <si>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</si>
  <si>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</si>
  <si>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</si>
  <si>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</si>
  <si>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</si>
  <si>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</si>
  <si>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</si>
  <si>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</si>
  <si>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</si>
  <si>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</si>
  <si>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</si>
  <si>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</si>
  <si>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</si>
  <si>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</si>
  <si>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</si>
  <si>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</si>
  <si>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</si>
  <si>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</si>
  <si>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</si>
  <si>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</si>
  <si>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</si>
  <si>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</si>
  <si>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</si>
  <si>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</si>
  <si>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</si>
  <si>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</si>
  <si>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</si>
  <si>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</si>
  <si>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</si>
  <si>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</si>
  <si>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</si>
  <si>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</si>
  <si>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</si>
  <si>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</si>
  <si>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</si>
  <si>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</si>
  <si>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</si>
  <si>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</si>
  <si>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</si>
  <si>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</si>
  <si>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</si>
  <si>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</si>
  <si>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</si>
  <si>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</si>
  <si>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</si>
  <si>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</si>
  <si>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</si>
  <si>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</si>
  <si>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</si>
  <si>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</si>
  <si>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</si>
  <si>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</si>
  <si>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</si>
  <si>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</si>
  <si>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</si>
  <si>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</si>
  <si>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</si>
  <si>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</si>
  <si>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</si>
  <si>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</si>
  <si>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</si>
  <si>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</si>
  <si>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</si>
  <si>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</si>
  <si>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</si>
  <si>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</si>
  <si>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</si>
  <si>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</si>
  <si>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</si>
  <si>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</si>
  <si>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</si>
  <si>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</si>
  <si>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</si>
  <si>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</si>
  <si>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</si>
  <si>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</si>
  <si>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</si>
  <si>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</si>
  <si>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</si>
  <si>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</si>
  <si>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</si>
  <si>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</si>
  <si>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</si>
  <si>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</si>
  <si>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</si>
  <si>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</si>
  <si>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</si>
  <si>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</si>
  <si>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</si>
  <si>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</si>
  <si>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</si>
  <si>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</si>
  <si>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</si>
  <si>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</si>
  <si>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</si>
  <si>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</si>
  <si>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</si>
  <si>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</si>
  <si>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</si>
  <si>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</si>
  <si>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</si>
  <si>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</si>
  <si>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</si>
  <si>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</si>
  <si>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</si>
  <si>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</si>
  <si>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</si>
  <si>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</si>
  <si>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</si>
  <si>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</si>
  <si>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</si>
  <si>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</si>
  <si>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</si>
  <si>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</si>
  <si>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</si>
  <si>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</si>
  <si>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</si>
  <si>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</si>
  <si>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</si>
  <si>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</si>
  <si>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</si>
  <si>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</si>
  <si>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</si>
  <si>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</si>
  <si>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</si>
  <si>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</si>
  <si>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</si>
  <si>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</si>
  <si>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</si>
  <si>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</si>
  <si>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</si>
  <si>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</si>
  <si>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</si>
  <si>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</si>
  <si>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</si>
  <si>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</si>
  <si>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</si>
  <si>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</si>
  <si>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</si>
  <si>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</si>
  <si>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</si>
  <si>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</si>
  <si>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</si>
  <si>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</si>
  <si>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</si>
  <si>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</si>
  <si>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</si>
  <si>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</si>
  <si>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</si>
  <si>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</si>
  <si>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</si>
  <si>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</si>
  <si>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</si>
  <si>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</si>
  <si>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</si>
  <si>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</si>
  <si>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</si>
  <si>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</si>
  <si>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</si>
  <si>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</si>
  <si>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</si>
  <si>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</si>
  <si>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</si>
  <si>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</si>
  <si>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</si>
  <si>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</si>
  <si>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</si>
  <si>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</si>
  <si>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</si>
  <si>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</si>
  <si>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</si>
  <si>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</si>
  <si>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</si>
  <si>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</si>
  <si>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</si>
  <si>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</si>
  <si>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</si>
  <si>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</si>
  <si>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</si>
  <si>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</si>
  <si>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</si>
  <si>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</si>
  <si>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</si>
  <si>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</si>
  <si>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</si>
  <si>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</si>
  <si>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</si>
  <si>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</si>
  <si>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</si>
  <si>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</si>
  <si>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</si>
  <si>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</si>
  <si>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</si>
  <si>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</si>
  <si>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</si>
  <si>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</si>
  <si>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</si>
  <si>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</si>
  <si>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</si>
  <si>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</si>
  <si>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</si>
  <si>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</si>
  <si>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</si>
  <si>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</si>
  <si>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</si>
  <si>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</si>
  <si>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</si>
  <si>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</si>
  <si>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</si>
  <si>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</si>
  <si>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</si>
  <si>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</si>
  <si>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</si>
  <si>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</si>
  <si>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</si>
  <si>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</si>
  <si>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</si>
  <si>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</si>
  <si>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</si>
  <si>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</si>
  <si>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</si>
  <si>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</si>
  <si>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</si>
  <si>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</si>
  <si>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</si>
  <si>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</si>
  <si>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</si>
  <si>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</si>
  <si>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</si>
  <si>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</si>
  <si>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</si>
  <si>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</si>
  <si>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</si>
  <si>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</si>
  <si>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</si>
  <si>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</si>
  <si>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</si>
  <si>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</si>
  <si>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</si>
  <si>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</si>
  <si>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</si>
  <si>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</si>
  <si>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</si>
  <si>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</si>
  <si>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</si>
  <si>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</si>
  <si>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</si>
  <si>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</si>
  <si>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</si>
  <si>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</si>
  <si>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</si>
  <si>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</si>
  <si>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</si>
  <si>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</si>
  <si>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</si>
  <si>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</si>
  <si>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</si>
  <si>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</si>
  <si>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</si>
  <si>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</si>
  <si>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</si>
  <si>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</si>
  <si>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</si>
  <si>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</si>
  <si>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</si>
  <si>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</si>
  <si>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</si>
  <si>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</si>
  <si>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</si>
  <si>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</si>
  <si>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</si>
  <si>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</si>
  <si>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</si>
  <si>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</si>
  <si>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</si>
  <si>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</si>
  <si>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</si>
  <si>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</si>
  <si>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</si>
  <si>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</si>
  <si>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</si>
  <si>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</si>
  <si>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</si>
  <si>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</si>
  <si>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</si>
  <si>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</si>
  <si>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</si>
  <si>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</si>
  <si>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</si>
  <si>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</si>
  <si>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</si>
  <si>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</si>
  <si>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</si>
  <si>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</si>
  <si>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</si>
  <si>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</si>
  <si>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</si>
  <si>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</si>
  <si>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</si>
  <si>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</si>
  <si>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</si>
  <si>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</si>
  <si>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</si>
  <si>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</si>
  <si>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</si>
  <si>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</si>
  <si>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</si>
  <si>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</si>
  <si>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</si>
  <si>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</si>
  <si>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</si>
  <si>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</si>
  <si>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</si>
  <si>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</si>
  <si>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</si>
  <si>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</si>
  <si>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</si>
  <si>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</si>
  <si>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</si>
  <si>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</si>
  <si>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</si>
  <si>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</si>
  <si>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</si>
  <si>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</si>
  <si>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</si>
  <si>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</si>
  <si>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</si>
  <si>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</si>
  <si>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</si>
  <si>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</si>
  <si>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</si>
  <si>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</si>
  <si>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</si>
  <si>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</si>
  <si>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</si>
  <si>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</si>
  <si>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</si>
  <si>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</si>
  <si>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</si>
  <si>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</si>
  <si>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</si>
  <si>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</si>
  <si>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</si>
  <si>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</si>
  <si>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</si>
  <si>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</si>
  <si>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</si>
  <si>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</si>
  <si>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</si>
  <si>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</si>
  <si>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</si>
  <si>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</si>
  <si>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</si>
  <si>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</si>
  <si>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</si>
  <si>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</si>
  <si>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</si>
  <si>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</si>
  <si>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</si>
  <si>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</si>
  <si>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</si>
  <si>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</si>
  <si>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</si>
  <si>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</si>
  <si>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</si>
  <si>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</si>
  <si>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</si>
  <si>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</si>
  <si>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</si>
  <si>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</si>
  <si>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</si>
  <si>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</si>
  <si>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</si>
  <si>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</si>
  <si>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</si>
  <si>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</si>
  <si>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</si>
  <si>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</si>
  <si>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</si>
  <si>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</si>
  <si>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</si>
  <si>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</si>
  <si>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</si>
  <si>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</si>
  <si>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</si>
  <si>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</si>
  <si>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</si>
  <si>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</si>
  <si>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</si>
  <si>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</si>
  <si>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</si>
  <si>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</si>
  <si>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</si>
  <si>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</si>
  <si>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</si>
  <si>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</si>
  <si>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</si>
  <si>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</si>
  <si>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</si>
  <si>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</si>
  <si>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</si>
  <si>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</si>
  <si>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</si>
  <si>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</si>
  <si>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</si>
  <si>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</si>
  <si>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</si>
  <si>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</si>
  <si>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</si>
  <si>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</si>
  <si>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</si>
  <si>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</si>
  <si>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</si>
  <si>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</si>
  <si>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</si>
  <si>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</si>
  <si>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</si>
  <si>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</si>
  <si>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</si>
  <si>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</si>
  <si>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</si>
  <si>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</si>
  <si>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</si>
  <si>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</si>
  <si>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</si>
  <si>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</si>
  <si>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</si>
  <si>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</si>
  <si>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</si>
  <si>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</si>
  <si>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</si>
  <si>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</si>
  <si>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</si>
  <si>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</si>
  <si>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</si>
  <si>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</si>
  <si>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</si>
  <si>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</si>
  <si>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</si>
  <si>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</si>
  <si>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</si>
  <si>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</si>
  <si>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</si>
  <si>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</si>
  <si>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</si>
  <si>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</si>
  <si>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</si>
  <si>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</si>
  <si>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</si>
  <si>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</si>
  <si>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</si>
  <si>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</si>
  <si>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</si>
  <si>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</si>
  <si>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</si>
  <si>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</si>
  <si>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</si>
  <si>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</si>
  <si>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</si>
  <si>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</si>
  <si>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</si>
  <si>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</si>
  <si>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</si>
  <si>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</si>
  <si>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</si>
  <si>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</si>
  <si>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</si>
  <si>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</si>
  <si>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</si>
  <si>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</si>
  <si>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</si>
  <si>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</si>
  <si>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</si>
  <si>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</si>
  <si>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</si>
  <si>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</si>
  <si>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</si>
  <si>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</si>
  <si>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</si>
  <si>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</si>
  <si>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</si>
  <si>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</si>
  <si>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</si>
  <si>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</si>
  <si>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</si>
  <si>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</si>
  <si>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</si>
  <si>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</si>
  <si>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</si>
  <si>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</si>
  <si>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</si>
  <si>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</si>
  <si>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</si>
  <si>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</si>
  <si>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</si>
  <si>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</si>
  <si>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</si>
  <si>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</si>
  <si>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</si>
  <si>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</si>
  <si>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</si>
  <si>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</si>
  <si>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</si>
  <si>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</si>
  <si>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</si>
  <si>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</si>
  <si>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</si>
  <si>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</si>
  <si>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</si>
  <si>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</si>
  <si>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</si>
  <si>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</si>
  <si>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</si>
  <si>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</si>
  <si>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</si>
  <si>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</si>
  <si>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</si>
  <si>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</si>
  <si>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</si>
  <si>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</si>
  <si>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</si>
  <si>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</si>
  <si>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</si>
  <si>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</si>
  <si>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</si>
  <si>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</si>
  <si>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</si>
  <si>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</si>
  <si>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</si>
  <si>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</si>
  <si>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</si>
  <si>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</si>
  <si>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</si>
  <si>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</si>
  <si>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</si>
  <si>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</si>
  <si>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</si>
  <si>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</si>
  <si>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</si>
  <si>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</si>
  <si>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</si>
  <si>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</si>
  <si>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</si>
  <si>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</si>
  <si>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</si>
  <si>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</si>
  <si>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</si>
  <si>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</si>
  <si>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</si>
  <si>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</si>
  <si>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</si>
  <si>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</si>
  <si>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</si>
  <si>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</si>
  <si>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</si>
  <si>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</si>
  <si>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</si>
  <si>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</si>
  <si>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</si>
  <si>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</si>
  <si>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</si>
  <si>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</si>
  <si>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</si>
  <si>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</si>
  <si>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</si>
  <si>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</si>
  <si>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</si>
  <si>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</si>
  <si>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</si>
  <si>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</si>
  <si>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</si>
  <si>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</si>
  <si>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</si>
  <si>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</si>
  <si>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</si>
  <si>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</si>
  <si>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</si>
  <si>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</si>
  <si>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</si>
  <si>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</si>
  <si>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</si>
  <si>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</si>
  <si>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</si>
  <si>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</si>
  <si>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</si>
  <si>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</si>
  <si>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</si>
  <si>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</si>
  <si>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</si>
  <si>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</si>
  <si>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</si>
  <si>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</si>
  <si>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</si>
  <si>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</si>
  <si>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</si>
  <si>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</si>
  <si>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</si>
  <si>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</si>
  <si>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</si>
  <si>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</si>
  <si>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</si>
  <si>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</si>
  <si>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</si>
  <si>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</si>
  <si>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</si>
  <si>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</si>
  <si>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</si>
  <si>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</si>
  <si>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</si>
  <si>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</si>
  <si>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</si>
  <si>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</si>
  <si>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</si>
  <si>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</si>
  <si>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</si>
  <si>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</si>
  <si>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</si>
  <si>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</si>
  <si>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</si>
  <si>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</si>
  <si>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</si>
  <si>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</si>
  <si>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</si>
  <si>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</si>
  <si>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</si>
  <si>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</si>
  <si>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</si>
  <si>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</si>
  <si>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</si>
  <si>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</si>
  <si>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</si>
  <si>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</si>
  <si>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</si>
  <si>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</si>
  <si>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</si>
  <si>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</si>
  <si>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</si>
  <si>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</si>
  <si>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</si>
  <si>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</si>
  <si>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</si>
  <si>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</si>
  <si>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</si>
  <si>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</si>
  <si>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</si>
  <si>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</si>
  <si>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</si>
  <si>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</si>
  <si>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</si>
  <si>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</si>
  <si>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</si>
  <si>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</si>
  <si>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</si>
  <si>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</si>
  <si>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</si>
  <si>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</si>
  <si>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</si>
  <si>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</si>
  <si>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</si>
  <si>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</si>
  <si>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</si>
  <si>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</si>
  <si>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</si>
  <si>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</si>
  <si>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</si>
  <si>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</si>
  <si>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</si>
  <si>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</si>
  <si>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</si>
  <si>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</si>
  <si>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</si>
  <si>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</si>
  <si>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</si>
  <si>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</si>
  <si>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</si>
  <si>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</si>
  <si>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</si>
  <si>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</si>
  <si>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</si>
  <si>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</si>
  <si>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</si>
  <si>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</si>
  <si>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</si>
  <si>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</si>
  <si>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</si>
  <si>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</si>
  <si>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</si>
  <si>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</si>
  <si>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</si>
  <si>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</si>
  <si>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</si>
  <si>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</si>
  <si>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</si>
  <si>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</si>
  <si>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</si>
  <si>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</si>
  <si>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</si>
  <si>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</si>
  <si>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</si>
  <si>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</si>
  <si>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</si>
  <si>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</si>
  <si>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</si>
  <si>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</si>
  <si>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</si>
  <si>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</si>
  <si>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</si>
  <si>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</si>
  <si>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</si>
  <si>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</si>
  <si>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</si>
  <si>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</si>
  <si>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</si>
  <si>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</si>
  <si>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</si>
  <si>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</si>
  <si>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</si>
  <si>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</si>
  <si>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</si>
  <si>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</si>
  <si>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</si>
  <si>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</si>
  <si>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</si>
  <si>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</si>
  <si>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</si>
  <si>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</si>
  <si>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</si>
  <si>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</si>
  <si>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</si>
  <si>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</si>
  <si>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</si>
  <si>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</si>
  <si>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</si>
  <si>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</si>
  <si>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</si>
  <si>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</si>
  <si>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</si>
  <si>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</si>
  <si>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</si>
  <si>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</si>
  <si>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</si>
  <si>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</si>
  <si>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</si>
  <si>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</si>
  <si>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</si>
  <si>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</si>
  <si>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</si>
  <si>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</si>
  <si>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</si>
  <si>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</si>
  <si>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</si>
  <si>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</si>
  <si>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</si>
  <si>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</si>
  <si>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</si>
  <si>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</si>
  <si>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</si>
  <si>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</si>
  <si>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</si>
  <si>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</si>
  <si>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</si>
  <si>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</si>
  <si>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</si>
  <si>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</si>
  <si>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</si>
  <si>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</si>
  <si>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</si>
  <si>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</si>
  <si>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</si>
  <si>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</si>
  <si>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</si>
  <si>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</si>
  <si>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</si>
  <si>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</si>
  <si>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</si>
  <si>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</si>
  <si>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</si>
  <si>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</si>
  <si>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</si>
  <si>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</si>
  <si>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</si>
  <si>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</si>
  <si>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</si>
  <si>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</si>
  <si>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</si>
  <si>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</si>
  <si>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</si>
  <si>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</si>
  <si>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</si>
  <si>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</si>
  <si>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</si>
  <si>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</si>
  <si>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</si>
  <si>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</si>
  <si>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</si>
  <si>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</si>
  <si>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</si>
  <si>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</si>
  <si>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</si>
  <si>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</si>
  <si>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</si>
  <si>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</si>
  <si>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</si>
  <si>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</si>
  <si>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</si>
  <si>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</si>
  <si>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</si>
  <si>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</si>
  <si>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</si>
  <si>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</si>
  <si>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</si>
  <si>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</si>
  <si>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</si>
  <si>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</si>
  <si>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</si>
  <si>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</si>
  <si>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</si>
  <si>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</si>
  <si>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</si>
  <si>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</si>
  <si>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</si>
  <si>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</si>
  <si>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</si>
  <si>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</si>
  <si>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</si>
  <si>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</si>
  <si>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</si>
  <si>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</si>
  <si>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</si>
  <si>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</si>
  <si>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</si>
  <si>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</si>
  <si>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</si>
  <si>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</si>
  <si>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</si>
  <si>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</si>
  <si>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</si>
  <si>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</si>
  <si>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</si>
  <si>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</si>
  <si>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</si>
  <si>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</si>
  <si>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</si>
  <si>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</si>
  <si>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</si>
  <si>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</si>
  <si>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</si>
  <si>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</si>
  <si>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</si>
  <si>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</si>
  <si>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</si>
  <si>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</si>
  <si>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</si>
  <si>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</si>
  <si>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</si>
  <si>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</si>
  <si>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</si>
  <si>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</si>
  <si>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</si>
  <si>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</si>
  <si>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</si>
  <si>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</si>
  <si>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</si>
  <si>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</si>
  <si>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</si>
  <si>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</si>
  <si>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</si>
  <si>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</si>
  <si>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</si>
  <si>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</si>
  <si>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</si>
  <si>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</si>
  <si>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</si>
  <si>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</si>
  <si>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</si>
  <si>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</si>
  <si>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</si>
  <si>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</si>
  <si>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</si>
  <si>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</si>
  <si>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</si>
  <si>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</si>
  <si>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</si>
  <si>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</si>
  <si>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</si>
  <si>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</si>
  <si>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</si>
  <si>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</si>
  <si>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</si>
  <si>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</si>
  <si>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</si>
  <si>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</si>
  <si>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</si>
  <si>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</si>
  <si>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</si>
  <si>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</si>
  <si>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</si>
  <si>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</si>
  <si>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</si>
  <si>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</si>
  <si>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</si>
  <si>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</si>
  <si>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</si>
  <si>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</si>
  <si>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</si>
  <si>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</si>
  <si>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</si>
  <si>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</si>
  <si>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</si>
  <si>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</si>
  <si>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</si>
  <si>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</si>
  <si>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</si>
  <si>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</si>
  <si>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</si>
  <si>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</si>
  <si>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</si>
  <si>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</si>
  <si>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</si>
  <si>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</si>
  <si>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</si>
  <si>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</si>
  <si>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</si>
  <si>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</si>
  <si>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</si>
  <si>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</si>
  <si>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</si>
  <si>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</si>
  <si>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</si>
  <si>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</si>
  <si>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</si>
  <si>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</si>
  <si>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</si>
  <si>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</si>
  <si>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</si>
  <si>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</si>
  <si>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</si>
  <si>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</si>
  <si>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</si>
  <si>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</si>
  <si>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</si>
  <si>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</si>
  <si>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</si>
  <si>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</si>
  <si>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</si>
  <si>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</si>
  <si>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</si>
  <si>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</si>
  <si>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</si>
  <si>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</si>
  <si>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</si>
  <si>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</si>
  <si>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</si>
  <si>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</si>
  <si>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</si>
  <si>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</si>
  <si>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</si>
  <si>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</si>
  <si>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</si>
  <si>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</si>
  <si>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</si>
  <si>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</si>
  <si>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</si>
  <si>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</si>
  <si>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</si>
  <si>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</si>
  <si>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</si>
  <si>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</si>
  <si>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</si>
  <si>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</si>
  <si>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</si>
  <si>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</si>
  <si>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</si>
  <si>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</si>
  <si>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</si>
  <si>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</si>
  <si>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</si>
  <si>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</si>
  <si>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</si>
  <si>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</si>
  <si>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</si>
  <si>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</si>
  <si>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</si>
  <si>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</si>
  <si>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</si>
  <si>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</si>
  <si>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</si>
  <si>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</si>
  <si>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</si>
  <si>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</si>
  <si>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</si>
  <si>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</si>
  <si>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</si>
  <si>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</si>
  <si>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</si>
  <si>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</si>
  <si>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</si>
  <si>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</si>
  <si>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</si>
  <si>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</si>
  <si>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</si>
  <si>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</si>
  <si>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</si>
  <si>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</si>
  <si>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</si>
  <si>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</si>
  <si>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</si>
  <si>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</si>
  <si>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</si>
  <si>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</si>
  <si>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</si>
  <si>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</si>
  <si>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</si>
  <si>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</si>
  <si>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</si>
  <si>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</si>
  <si>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</si>
  <si>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</si>
  <si>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</si>
  <si>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</si>
  <si>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</si>
  <si>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</si>
  <si>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</si>
  <si>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</si>
  <si>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</si>
  <si>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</si>
  <si>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</si>
  <si>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</si>
  <si>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</si>
  <si>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</si>
  <si>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</si>
  <si>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</si>
  <si>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</si>
  <si>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</si>
  <si>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</si>
  <si>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</si>
  <si>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</si>
  <si>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</si>
  <si>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</si>
  <si>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</si>
  <si>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</si>
  <si>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</si>
  <si>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</si>
  <si>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</si>
  <si>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</si>
  <si>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</si>
  <si>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</si>
  <si>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</si>
  <si>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</si>
  <si>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</si>
  <si>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</si>
  <si>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</si>
  <si>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</si>
  <si>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</si>
  <si>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</si>
  <si>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</si>
  <si>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</si>
  <si>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</si>
  <si>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</si>
  <si>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</si>
  <si>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</si>
  <si>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</si>
  <si>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</si>
  <si>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</si>
  <si>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</si>
  <si>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</si>
  <si>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</si>
  <si>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</si>
  <si>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</si>
  <si>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</si>
  <si>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</si>
  <si>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</si>
  <si>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</si>
  <si>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</si>
  <si>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</si>
  <si>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</si>
  <si>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</si>
  <si>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</si>
  <si>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</si>
  <si>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</si>
  <si>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</si>
  <si>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</si>
  <si>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</si>
  <si>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</si>
  <si>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</si>
  <si>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</si>
  <si>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</si>
  <si>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</si>
  <si>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</si>
  <si>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</si>
  <si>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</si>
  <si>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</si>
  <si>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</si>
  <si>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</si>
  <si>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</si>
  <si>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</si>
  <si>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</si>
  <si>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</si>
  <si>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</si>
  <si>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</si>
  <si>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</si>
  <si>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</si>
  <si>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</si>
  <si>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</si>
  <si>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</si>
  <si>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</si>
  <si>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</si>
  <si>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</si>
  <si>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</si>
  <si>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</si>
  <si>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</si>
  <si>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</si>
  <si>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</si>
  <si>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</si>
  <si>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</si>
  <si>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</si>
  <si>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</si>
  <si>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</si>
  <si>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</si>
  <si>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</si>
  <si>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</si>
  <si>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</si>
  <si>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</si>
  <si>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</si>
  <si>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</si>
  <si>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</si>
  <si>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</si>
  <si>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</si>
  <si>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</si>
  <si>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</si>
  <si>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</si>
  <si>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</si>
  <si>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</si>
  <si>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</si>
  <si>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</si>
  <si>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</si>
  <si>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</si>
  <si>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</si>
  <si>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</si>
  <si>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</si>
  <si>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</si>
  <si>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</si>
  <si>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</si>
  <si>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</si>
  <si>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</si>
  <si>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</si>
  <si>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</si>
  <si>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</si>
  <si>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</si>
  <si>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</si>
  <si>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</si>
  <si>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</si>
  <si>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</si>
  <si>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</si>
  <si>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</si>
  <si>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</si>
  <si>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</si>
  <si>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</si>
  <si>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</si>
  <si>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</si>
  <si>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</si>
  <si>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</si>
  <si>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</si>
  <si>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</si>
  <si>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</si>
  <si>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</si>
  <si>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</si>
  <si>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</si>
  <si>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</si>
  <si>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</si>
  <si>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</si>
  <si>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</si>
  <si>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</si>
  <si>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</si>
  <si>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</si>
  <si>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</si>
  <si>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</si>
  <si>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</si>
  <si>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</si>
  <si>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</si>
  <si>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</si>
  <si>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</si>
  <si>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</si>
  <si>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</si>
  <si>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</si>
  <si>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</si>
  <si>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</si>
  <si>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</si>
  <si>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</si>
  <si>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</si>
  <si>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</si>
  <si>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</si>
  <si>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</si>
  <si>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</si>
  <si>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</si>
  <si>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</si>
  <si>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</si>
  <si>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</si>
  <si>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</si>
  <si>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</si>
  <si>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</si>
  <si>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</si>
  <si>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</si>
  <si>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</si>
  <si>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</si>
  <si>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</si>
  <si>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</si>
  <si>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</si>
  <si>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</si>
  <si>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</si>
  <si>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</si>
  <si>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</si>
  <si>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</si>
  <si>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</si>
  <si>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</si>
  <si>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</si>
  <si>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</si>
  <si>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</si>
  <si>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</si>
  <si>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</si>
  <si>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</si>
  <si>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</si>
  <si>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</si>
  <si>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</si>
  <si>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</si>
  <si>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</si>
  <si>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</si>
  <si>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</si>
  <si>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</si>
  <si>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</si>
  <si>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</si>
  <si>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</si>
  <si>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</si>
  <si>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</si>
  <si>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</si>
  <si>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</si>
  <si>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</si>
  <si>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</si>
  <si>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</si>
  <si>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</si>
  <si>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</si>
  <si>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</si>
  <si>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</si>
  <si>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</si>
  <si>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</si>
  <si>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</si>
  <si>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</si>
  <si>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</si>
  <si>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</si>
  <si>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</si>
  <si>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</si>
  <si>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</si>
  <si>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</si>
  <si>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</si>
  <si>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</si>
  <si>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</si>
  <si>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</si>
  <si>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</si>
  <si>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</si>
  <si>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</si>
  <si>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</si>
  <si>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</si>
  <si>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</si>
  <si>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</si>
  <si>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</si>
  <si>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</si>
  <si>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</si>
  <si>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</si>
  <si>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</si>
  <si>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</si>
  <si>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</si>
  <si>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</si>
  <si>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</si>
  <si>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</si>
  <si>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</si>
  <si>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</si>
  <si>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</si>
  <si>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</si>
  <si>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</si>
  <si>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</si>
  <si>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</si>
  <si>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</si>
  <si>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</si>
  <si>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</si>
  <si>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</si>
  <si>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</si>
  <si>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</si>
  <si>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</si>
  <si>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</si>
  <si>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</si>
  <si>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</si>
  <si>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</si>
  <si>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</si>
  <si>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</si>
  <si>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</si>
  <si>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</si>
  <si>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</si>
  <si>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</si>
  <si>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</si>
  <si>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</si>
  <si>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</si>
  <si>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</si>
  <si>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</si>
  <si>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</si>
  <si>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</si>
  <si>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</si>
  <si>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</si>
  <si>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</si>
  <si>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</si>
  <si>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</si>
  <si>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</si>
  <si>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</si>
  <si>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</si>
  <si>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</si>
  <si>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</si>
  <si>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</si>
  <si>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</si>
  <si>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</si>
  <si>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</si>
  <si>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</si>
  <si>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</si>
  <si>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</si>
  <si>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</si>
  <si>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</si>
  <si>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</si>
  <si>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</si>
  <si>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</si>
  <si>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</si>
  <si>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</si>
  <si>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</si>
  <si>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</si>
  <si>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</si>
  <si>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</si>
  <si>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</si>
  <si>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</si>
  <si>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</si>
  <si>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</si>
  <si>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</si>
  <si>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</si>
  <si>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</si>
  <si>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</si>
  <si>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</si>
  <si>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</si>
  <si>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</si>
  <si>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</si>
  <si>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</si>
  <si>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</si>
  <si>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</si>
  <si>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</si>
  <si>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</si>
  <si>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</si>
  <si>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</si>
  <si>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</si>
  <si>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</si>
  <si>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</si>
  <si>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</si>
  <si>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</si>
  <si>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</si>
  <si>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</si>
  <si>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</si>
  <si>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</si>
  <si>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</si>
  <si>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</si>
  <si>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</si>
  <si>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</si>
  <si>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</si>
  <si>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</si>
  <si>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</si>
  <si>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</si>
  <si>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</si>
  <si>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</si>
  <si>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</si>
  <si>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</si>
  <si>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</si>
  <si>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</si>
  <si>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</si>
  <si>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</si>
  <si>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</si>
  <si>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</si>
  <si>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</si>
  <si>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</si>
  <si>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</si>
  <si>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</si>
  <si>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</si>
  <si>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</si>
  <si>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</si>
  <si>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</si>
  <si>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</si>
  <si>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</si>
  <si>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</si>
  <si>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</si>
  <si>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</si>
  <si>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</si>
  <si>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</si>
  <si>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</si>
  <si>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</si>
  <si>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</si>
  <si>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</si>
  <si>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</si>
  <si>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</si>
  <si>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</si>
  <si>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</si>
  <si>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</si>
  <si>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</si>
  <si>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</si>
  <si>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</si>
  <si>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</si>
  <si>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</si>
  <si>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</si>
  <si>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</si>
  <si>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</si>
  <si>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</si>
  <si>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</si>
  <si>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</si>
  <si>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</si>
  <si>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</si>
  <si>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</si>
  <si>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</si>
  <si>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</si>
  <si>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</si>
  <si>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</si>
  <si>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</si>
  <si>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</si>
  <si>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</si>
  <si>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</si>
  <si>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</si>
  <si>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</si>
  <si>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</si>
  <si>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</si>
  <si>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</si>
  <si>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</si>
  <si>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</si>
  <si>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</si>
  <si>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</si>
  <si>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</si>
  <si>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</si>
  <si>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</si>
  <si>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</si>
  <si>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</si>
  <si>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</si>
  <si>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</si>
  <si>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</si>
  <si>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</si>
  <si>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</si>
  <si>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</si>
  <si>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</si>
  <si>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</si>
  <si>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</si>
  <si>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</si>
  <si>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</si>
  <si>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</si>
  <si>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</si>
  <si>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</si>
  <si>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</si>
  <si>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</si>
  <si>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</si>
  <si>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</si>
  <si>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</si>
  <si>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</si>
  <si>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</si>
  <si>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</si>
  <si>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</si>
  <si>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</si>
  <si>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</si>
  <si>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</si>
  <si>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</si>
  <si>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</si>
  <si>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</si>
  <si>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</si>
  <si>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</si>
  <si>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</si>
  <si>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</si>
  <si>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</si>
  <si>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</si>
  <si>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</si>
  <si>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</si>
  <si>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</si>
  <si>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</si>
  <si>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</si>
  <si>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</si>
  <si>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</si>
  <si>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</si>
  <si>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</si>
  <si>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</si>
  <si>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</si>
  <si>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</si>
  <si>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</si>
  <si>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</si>
  <si>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</si>
  <si>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</si>
  <si>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</si>
  <si>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</si>
  <si>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</si>
  <si>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</si>
  <si>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</si>
  <si>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</si>
  <si>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</si>
  <si>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</si>
  <si>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</si>
  <si>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</si>
  <si>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</si>
  <si>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</si>
  <si>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</si>
  <si>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</si>
  <si>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</si>
  <si>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</si>
  <si>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</si>
  <si>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</si>
  <si>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</si>
  <si>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</si>
  <si>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</si>
  <si>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</si>
  <si>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</si>
  <si>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</si>
  <si>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</si>
  <si>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</si>
  <si>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</si>
  <si>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</si>
  <si>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</si>
  <si>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</si>
  <si>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</si>
  <si>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</si>
  <si>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</si>
  <si>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</si>
  <si>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</si>
  <si>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</si>
  <si>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</si>
  <si>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</si>
  <si>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</si>
  <si>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</si>
  <si>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</si>
  <si>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</si>
  <si>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</si>
  <si>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</si>
  <si>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</si>
  <si>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</si>
  <si>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</si>
  <si>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</si>
  <si>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</si>
  <si>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</si>
  <si>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</si>
  <si>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</si>
  <si>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</si>
  <si>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</si>
  <si>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</si>
  <si>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</si>
  <si>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</si>
  <si>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</si>
  <si>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</si>
  <si>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</si>
  <si>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</si>
  <si>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</si>
  <si>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</si>
  <si>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</si>
  <si>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</si>
  <si>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</si>
  <si>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</si>
  <si>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</si>
  <si>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</si>
  <si>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</si>
  <si>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</si>
  <si>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</si>
  <si>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</si>
  <si>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</si>
  <si>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</si>
  <si>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</si>
  <si>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</si>
  <si>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</si>
  <si>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</si>
  <si>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</si>
  <si>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</si>
  <si>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</si>
  <si>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</si>
  <si>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</si>
  <si>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</si>
  <si>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</si>
  <si>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</si>
  <si>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</si>
  <si>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</si>
  <si>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</si>
  <si>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</si>
  <si>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</si>
  <si>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</si>
  <si>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</si>
  <si>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</si>
  <si>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</si>
  <si>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</si>
  <si>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</si>
  <si>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</si>
  <si>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</si>
  <si>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</si>
  <si>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</si>
  <si>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</si>
  <si>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</si>
  <si>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</si>
  <si>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</si>
  <si>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</si>
  <si>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</si>
  <si>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</si>
  <si>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</si>
  <si>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</si>
  <si>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</si>
  <si>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</si>
  <si>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</si>
  <si>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</si>
  <si>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</si>
  <si>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</si>
  <si>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</si>
  <si>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</si>
  <si>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</si>
  <si>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</si>
  <si>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</si>
  <si>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</si>
  <si>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</si>
  <si>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</si>
  <si>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</si>
  <si>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</si>
  <si>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</si>
  <si>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</si>
  <si>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</si>
  <si>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</si>
  <si>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</si>
  <si>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</si>
  <si>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</si>
  <si>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</si>
  <si>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</si>
  <si>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</si>
  <si>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</si>
  <si>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</si>
  <si>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</si>
  <si>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</si>
  <si>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</si>
  <si>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</si>
  <si>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</si>
  <si>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</si>
  <si>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</si>
  <si>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</si>
  <si>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</si>
  <si>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</si>
  <si>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</si>
  <si>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</si>
  <si>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</si>
  <si>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</si>
  <si>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</si>
  <si>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</si>
  <si>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</si>
  <si>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</si>
  <si>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</si>
  <si>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</si>
  <si>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</si>
  <si>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</si>
  <si>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</si>
  <si>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</si>
  <si>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</si>
  <si>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</si>
  <si>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</si>
  <si>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</si>
  <si>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</si>
  <si>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</si>
  <si>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</si>
  <si>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</si>
  <si>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</si>
  <si>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</si>
  <si>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</si>
  <si>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</si>
  <si>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</si>
  <si>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</si>
  <si>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</si>
  <si>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</si>
  <si>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</si>
  <si>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</si>
  <si>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</si>
  <si>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</si>
  <si>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</si>
  <si>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</si>
  <si>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</si>
  <si>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</si>
  <si>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</si>
  <si>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</si>
  <si>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</si>
  <si>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</si>
  <si>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</si>
  <si>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</si>
  <si>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</si>
  <si>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</si>
  <si>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</si>
  <si>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</si>
  <si>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</si>
  <si>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</si>
  <si>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</si>
  <si>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</si>
  <si>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</si>
  <si>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</si>
  <si>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</si>
  <si>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</si>
  <si>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</si>
  <si>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</si>
  <si>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</si>
  <si>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</si>
  <si>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</si>
  <si>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</si>
  <si>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</si>
  <si>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</si>
  <si>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</si>
  <si>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</si>
  <si>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</si>
  <si>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</si>
  <si>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</si>
  <si>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</si>
  <si>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</si>
  <si>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</si>
  <si>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</si>
  <si>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</si>
  <si>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</si>
  <si>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</si>
  <si>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</si>
  <si>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</si>
  <si>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</si>
  <si>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</si>
  <si>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</si>
  <si>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</si>
  <si>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</si>
  <si>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</si>
  <si>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</si>
  <si>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</si>
  <si>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</si>
  <si>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</si>
  <si>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</si>
  <si>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</si>
  <si>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</si>
  <si>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</si>
  <si>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</si>
  <si>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</si>
  <si>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</si>
  <si>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</si>
  <si>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</si>
  <si>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</si>
  <si>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</si>
  <si>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</si>
  <si>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</si>
  <si>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</si>
  <si>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</si>
  <si>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</si>
  <si>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</si>
  <si>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</si>
  <si>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</si>
  <si>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</si>
  <si>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</si>
  <si>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</si>
  <si>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</si>
  <si>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</si>
  <si>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</si>
  <si>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</si>
  <si>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</si>
  <si>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</si>
  <si>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</si>
  <si>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</si>
  <si>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</si>
  <si>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</si>
  <si>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</si>
  <si>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</si>
  <si>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</si>
  <si>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</si>
  <si>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</si>
  <si>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</si>
  <si>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</si>
  <si>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</si>
  <si>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</si>
  <si>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</si>
  <si>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</si>
  <si>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</si>
  <si>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</si>
  <si>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</si>
  <si>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</si>
  <si>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</si>
  <si>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</si>
  <si>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</si>
  <si>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</si>
  <si>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</si>
  <si>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</si>
  <si>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</si>
  <si>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</si>
  <si>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</si>
  <si>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</si>
  <si>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</si>
  <si>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</si>
  <si>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</si>
  <si>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</si>
  <si>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</si>
  <si>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</si>
  <si>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</si>
  <si>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</si>
  <si>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</si>
  <si>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</si>
  <si>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</si>
  <si>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</si>
  <si>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</si>
  <si>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</si>
  <si>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</si>
  <si>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</si>
  <si>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</si>
  <si>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</si>
  <si>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</si>
  <si>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</si>
  <si>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</si>
  <si>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</si>
  <si>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</si>
  <si>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</si>
  <si>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</si>
  <si>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</si>
  <si>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</si>
  <si>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</si>
  <si>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</si>
  <si>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</si>
  <si>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</si>
  <si>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</si>
  <si>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</si>
  <si>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</si>
  <si>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</si>
  <si>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</si>
  <si>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</si>
  <si>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</si>
  <si>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</si>
  <si>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</si>
  <si>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</si>
  <si>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</si>
  <si>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</si>
  <si>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</si>
  <si>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</si>
  <si>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</si>
  <si>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</si>
  <si>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</si>
  <si>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</si>
  <si>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</si>
  <si>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</si>
  <si>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</si>
  <si>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</si>
  <si>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</si>
  <si>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</si>
  <si>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</si>
  <si>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</si>
  <si>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</si>
  <si>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</si>
  <si>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</si>
  <si>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</si>
  <si>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</si>
  <si>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</si>
  <si>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</si>
  <si>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</si>
  <si>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</si>
  <si>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</si>
  <si>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</si>
  <si>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</si>
  <si>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</si>
  <si>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</si>
  <si>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</si>
  <si>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</si>
  <si>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</si>
  <si>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</si>
  <si>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</si>
  <si>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</si>
  <si>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</si>
  <si>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</si>
  <si>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</si>
  <si>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</si>
  <si>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</si>
  <si>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</si>
  <si>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</si>
  <si>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</si>
  <si>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</si>
  <si>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</si>
  <si>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</si>
  <si>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</si>
  <si>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</si>
  <si>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</si>
  <si>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</si>
  <si>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</si>
  <si>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</si>
  <si>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</si>
  <si>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</si>
  <si>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</si>
  <si>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</si>
  <si>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</si>
  <si>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</si>
  <si>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</si>
  <si>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</si>
  <si>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</si>
  <si>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</si>
  <si>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</si>
  <si>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</si>
  <si>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</si>
  <si>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</si>
  <si>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</si>
  <si>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</si>
  <si>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</si>
  <si>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</si>
  <si>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</si>
  <si>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</si>
  <si>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</si>
  <si>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</si>
  <si>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</si>
  <si>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</si>
  <si>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</si>
  <si>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</si>
  <si>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</si>
  <si>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</si>
  <si>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</si>
  <si>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</si>
  <si>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</si>
  <si>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</si>
  <si>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</si>
  <si>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</si>
  <si>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</si>
  <si>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</si>
  <si>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</si>
  <si>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</si>
  <si>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</si>
  <si>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</si>
  <si>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</si>
  <si>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</si>
  <si>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</si>
  <si>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</si>
  <si>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</si>
  <si>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</si>
  <si>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</si>
  <si>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</si>
  <si>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</si>
  <si>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</si>
  <si>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</si>
  <si>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</si>
  <si>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</si>
  <si>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</si>
  <si>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</si>
  <si>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</si>
  <si>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</si>
  <si>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</si>
  <si>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</si>
  <si>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</si>
  <si>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</si>
  <si>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</si>
  <si>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</si>
  <si>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</si>
  <si>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</si>
  <si>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</si>
  <si>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</si>
  <si>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</si>
  <si>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</si>
  <si>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</si>
  <si>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</si>
  <si>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</si>
  <si>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</si>
  <si>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</si>
  <si>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</si>
  <si>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</si>
  <si>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</si>
  <si>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</si>
  <si>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</si>
  <si>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</si>
  <si>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</si>
  <si>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</si>
  <si>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</si>
  <si>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</si>
  <si>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</si>
  <si>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</si>
  <si>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</si>
  <si>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</si>
  <si>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</si>
  <si>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</si>
  <si>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</si>
  <si>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</si>
  <si>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</si>
  <si>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</si>
  <si>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</si>
  <si>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</si>
  <si>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</si>
  <si>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</si>
  <si>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</si>
  <si>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</si>
  <si>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</si>
  <si>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</si>
  <si>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</si>
  <si>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</si>
  <si>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</si>
  <si>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</si>
  <si>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</si>
  <si>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</si>
  <si>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</si>
  <si>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</si>
  <si>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</si>
  <si>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</si>
  <si>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</si>
  <si>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</si>
  <si>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</si>
  <si>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</si>
  <si>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</si>
  <si>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</si>
  <si>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</si>
  <si>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</si>
  <si>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</si>
  <si>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</si>
  <si>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</si>
  <si>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</si>
  <si>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</si>
  <si>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</si>
  <si>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</si>
  <si>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</si>
  <si>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</si>
  <si>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</si>
  <si>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</si>
  <si>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</si>
  <si>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</si>
  <si>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</si>
  <si>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</si>
  <si>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</si>
  <si>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</si>
  <si>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</si>
  <si>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</si>
  <si>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</si>
  <si>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</si>
  <si>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</si>
  <si>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</si>
  <si>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</si>
  <si>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</si>
  <si>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</si>
  <si>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</si>
  <si>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</si>
  <si>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</si>
  <si>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</si>
  <si>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</si>
  <si>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</si>
  <si>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</si>
  <si>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</si>
  <si>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</si>
  <si>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</si>
  <si>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</si>
  <si>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</si>
  <si>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</si>
  <si>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</si>
  <si>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</si>
  <si>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</si>
  <si>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</si>
  <si>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</si>
  <si>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</si>
  <si>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</si>
  <si>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</si>
  <si>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</si>
  <si>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</si>
  <si>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</si>
  <si>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</si>
  <si>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</si>
  <si>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</si>
  <si>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</si>
  <si>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</si>
  <si>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</si>
  <si>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</si>
  <si>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</si>
  <si>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</si>
  <si>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</si>
  <si>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</si>
  <si>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</si>
  <si>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</si>
  <si>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</si>
  <si>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</si>
  <si>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</si>
  <si>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</si>
  <si>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</si>
  <si>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</si>
  <si>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</si>
  <si>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</si>
  <si>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</si>
  <si>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</si>
  <si>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</si>
  <si>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</si>
  <si>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</si>
  <si>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</si>
  <si>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</si>
  <si>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</si>
  <si>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</si>
  <si>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</si>
  <si>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</si>
  <si>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</si>
  <si>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</si>
  <si>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</si>
  <si>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</si>
  <si>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</si>
  <si>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</si>
  <si>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</si>
  <si>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</si>
  <si>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</si>
  <si>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</si>
  <si>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</si>
  <si>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</si>
  <si>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</si>
  <si>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</si>
  <si>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</si>
  <si>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</si>
  <si>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</si>
  <si>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</si>
  <si>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</si>
  <si>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</si>
  <si>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</si>
  <si>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</si>
  <si>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</si>
  <si>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</si>
  <si>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</si>
  <si>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</si>
  <si>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</si>
  <si>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</si>
  <si>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</si>
  <si>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</si>
  <si>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</si>
  <si>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</si>
  <si>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</si>
  <si>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</si>
  <si>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</si>
  <si>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</si>
  <si>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</si>
  <si>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</si>
  <si>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</si>
  <si>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</si>
  <si>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</si>
  <si>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</si>
  <si>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</si>
  <si>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</si>
  <si>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</si>
  <si>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</si>
  <si>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</si>
  <si>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</si>
  <si>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</si>
  <si>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</si>
  <si>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</si>
  <si>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</si>
  <si>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</si>
  <si>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</si>
  <si>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</si>
  <si>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</si>
  <si>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</si>
  <si>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</si>
  <si>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</si>
  <si>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</si>
  <si>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</si>
  <si>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</si>
  <si>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</si>
  <si>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</si>
  <si>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</si>
  <si>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</si>
  <si>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</si>
  <si>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</si>
  <si>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</si>
  <si>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</si>
  <si>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</si>
  <si>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</si>
  <si>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</si>
  <si>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</si>
  <si>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</si>
  <si>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</si>
  <si>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</si>
  <si>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</si>
  <si>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</si>
  <si>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</si>
  <si>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</si>
  <si>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</si>
  <si>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</si>
  <si>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</si>
  <si>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</si>
  <si>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</si>
  <si>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</si>
  <si>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</si>
  <si>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</si>
  <si>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</si>
  <si>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</si>
  <si>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</si>
  <si>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</si>
  <si>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</si>
  <si>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</si>
  <si>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</si>
  <si>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</si>
  <si>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</si>
  <si>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</si>
  <si>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</si>
  <si>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</si>
  <si>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</si>
  <si>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</si>
  <si>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</si>
  <si>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</si>
  <si>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</si>
  <si>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</si>
  <si>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</si>
  <si>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</si>
  <si>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</si>
  <si>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</si>
  <si>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</si>
  <si>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</si>
  <si>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</si>
  <si>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</si>
  <si>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</si>
  <si>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</si>
  <si>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</si>
  <si>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</si>
  <si>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</si>
  <si>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</si>
  <si>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门卫</t>
    <phoneticPr fontId="16" type="noConversion"/>
  </si>
  <si>
    <t>工业用地</t>
  </si>
  <si>
    <t>容积率修正</t>
  </si>
  <si>
    <t>成新度</t>
  </si>
  <si>
    <t>地价指数</t>
  </si>
  <si>
    <t>收益法</t>
  </si>
  <si>
    <t>收益法 (2)</t>
    <phoneticPr fontId="16" type="noConversion"/>
  </si>
  <si>
    <t>押一</t>
  </si>
  <si>
    <t>按租金收入计税</t>
  </si>
  <si>
    <t>非生产用房</t>
  </si>
  <si>
    <t>生产用房</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</si>
  <si>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</si>
  <si>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</si>
  <si>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</si>
  <si>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</si>
  <si>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</si>
  <si>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</si>
  <si>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</si>
  <si>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</si>
  <si>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</si>
  <si>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</si>
  <si>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</si>
  <si>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</si>
  <si>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</si>
  <si>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</si>
  <si>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</si>
  <si>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</si>
  <si>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</si>
  <si>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</si>
  <si>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</si>
  <si>
    <t>工业</t>
    <phoneticPr fontId="16" type="noConversion"/>
  </si>
  <si>
    <t>工业</t>
    <phoneticPr fontId="7" type="noConversion"/>
  </si>
  <si>
    <t>否</t>
  </si>
  <si>
    <t>现房</t>
  </si>
  <si>
    <t>抵押</t>
  </si>
  <si>
    <t>房地产抵押价值</t>
  </si>
  <si>
    <t>企业</t>
  </si>
  <si>
    <t>北京市</t>
  </si>
  <si>
    <t>估价对象位密云科技开发区，园区建设成熟度较高，产业集聚程度较好</t>
    <phoneticPr fontId="41" type="noConversion"/>
  </si>
  <si>
    <t>估价对象周边道路状况较好、公共交通通达情况一般、停车便捷程度一般，综合评价交通便捷度一般</t>
    <phoneticPr fontId="41" type="noConversion"/>
  </si>
  <si>
    <t>估价对象所在区域公共配套设施齐备情况一般</t>
    <phoneticPr fontId="41" type="noConversion"/>
  </si>
  <si>
    <t>该园区内没有污染型企业，绿化情况较好，卫生条件较好，整体环境状况较好</t>
    <phoneticPr fontId="41" type="noConversion"/>
  </si>
  <si>
    <t>估价对象所在区域基础设施水平-六通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</si>
</sst>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 ca="1">'预评函-封皮'!B46</f>
        <v>郑燚（注册号：1120070131)、崔锴（注册号：0)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1691</v>
      </c>
    </row>
    <row r="21" spans="1:2" s="1591" customFormat="1">
      <c r="A21" s="1589" t="s">
        <v>1231</v>
      </c>
      <c r="B21" s="1590">
        <f ca="1">'预评函-2'!D7</f>
        <v>4128</v>
      </c>
    </row>
    <row r="22" spans="1:2" s="1591" customFormat="1">
      <c r="A22" s="1589" t="s">
        <v>1232</v>
      </c>
      <c r="B22" s="1590" t="str">
        <f ca="1">'预评函-2'!D6</f>
        <v>壹仟陆佰玖拾壹万元整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1691</v>
      </c>
    </row>
    <row r="31" spans="1:2" s="1591" customFormat="1">
      <c r="A31" s="1589" t="s">
        <v>1270</v>
      </c>
      <c r="B31" s="1590">
        <f ca="1">'预评函-2'!D15</f>
        <v>4128</v>
      </c>
    </row>
    <row r="32" spans="1:2" s="1591" customFormat="1">
      <c r="A32" s="1589" t="s">
        <v>1237</v>
      </c>
      <c r="B32" s="1590" t="str">
        <f ca="1">'预评函-2'!D14</f>
        <v>壹仟陆佰玖拾壹万元整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570</v>
      </c>
    </row>
    <row r="48" spans="1:2" s="1591" customFormat="1">
      <c r="A48" s="1589" t="s">
        <v>1243</v>
      </c>
      <c r="B48" s="1590">
        <f ca="1">'预评函-3'!E4</f>
        <v>1392</v>
      </c>
    </row>
    <row r="49" spans="1:2" s="1591" customFormat="1">
      <c r="A49" s="1589" t="s">
        <v>1244</v>
      </c>
      <c r="B49" s="1590" t="str">
        <f ca="1">'预评函-3'!D5</f>
        <v>伍佰柒拾万元整</v>
      </c>
    </row>
    <row r="50" spans="1:2" s="1591" customFormat="1">
      <c r="A50" s="1589" t="s">
        <v>1268</v>
      </c>
      <c r="B50" s="1590" t="str">
        <f>'预评函-3'!F2</f>
        <v>在建建筑物价值</v>
      </c>
    </row>
    <row r="51" spans="1:2" s="1591" customFormat="1">
      <c r="A51" s="1589" t="s">
        <v>1245</v>
      </c>
      <c r="B51" s="1590">
        <f ca="1">'预评函-3'!F4</f>
        <v>1121</v>
      </c>
    </row>
    <row r="52" spans="1:2" s="1591" customFormat="1">
      <c r="A52" s="1589" t="s">
        <v>1246</v>
      </c>
      <c r="B52" s="1590">
        <f ca="1">'预评函-3'!G4</f>
        <v>2736</v>
      </c>
    </row>
    <row r="53" spans="1:2" s="1591" customFormat="1">
      <c r="A53" s="1589" t="s">
        <v>1274</v>
      </c>
      <c r="B53" s="1590" t="str">
        <f ca="1">'预评函-3'!F5</f>
        <v>壹仟壹佰贰拾壹万元整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3076</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3070</v>
      </c>
      <c r="B27" s="2012" t="s">
        <v>757</v>
      </c>
      <c r="C27" s="2013"/>
    </row>
    <row r="28" spans="1:3">
      <c r="A28" s="2012" t="s">
        <v>3100</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0" t="s">
        <v>861</v>
      </c>
      <c r="C54" s="2017" t="s">
        <v>1277</v>
      </c>
    </row>
    <row r="55" spans="1:4">
      <c r="A55" s="3015"/>
      <c r="B55" s="2020" t="s">
        <v>862</v>
      </c>
      <c r="C55" s="2017" t="s">
        <v>1278</v>
      </c>
    </row>
    <row r="56" spans="1:4">
      <c r="A56" s="3015"/>
      <c r="B56" s="2020" t="s">
        <v>863</v>
      </c>
      <c r="C56" s="2017" t="s">
        <v>1282</v>
      </c>
    </row>
    <row r="57" spans="1:4">
      <c r="A57" s="301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70" zoomScaleNormal="100" zoomScaleSheetLayoutView="70" workbookViewId="0">
      <selection activeCell="C34" sqref="C34"/>
    </sheetView>
  </sheetViews>
  <sheetFormatPr defaultColWidth="10" defaultRowHeight="18" customHeight="1"/>
  <cols>
    <col min="1" max="1" width="14.875" style="2030" customWidth="1"/>
    <col min="2" max="2" width="10" style="2030" customWidth="1"/>
    <col min="3" max="3" width="11.5" style="2030" customWidth="1"/>
    <col min="4" max="4" width="10" style="2030" customWidth="1"/>
    <col min="5" max="5" width="18.375" style="2030" bestFit="1" customWidth="1"/>
    <col min="6"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24" t="str">
        <f>IF(B10="北京市","北京市",C10)&amp;F10&amp;IF(结果表!G1="在建","出让国有建设用地使用权及在建建筑物",IF(结果表!G1="土地","出让国有建设用地使用权",))&amp;B9&amp;"预评估"</f>
        <v>北京市房地产抵押价值预评估</v>
      </c>
      <c r="C1" s="3025"/>
      <c r="D1" s="3025"/>
      <c r="E1" s="3025"/>
      <c r="F1" s="3025"/>
      <c r="G1" s="3025"/>
      <c r="H1" s="3025"/>
      <c r="I1" s="30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3098</v>
      </c>
      <c r="C4" s="1040">
        <f ca="1">SUMIF(注册房地产估价师,B4,估价师及机构信息!B3:B24)</f>
        <v>1120070131</v>
      </c>
      <c r="D4" s="2037" t="s">
        <v>3099</v>
      </c>
      <c r="E4" s="1041">
        <f ca="1">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郑燚（注册号：1120070131)、崔锴（注册号：0)</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3104</v>
      </c>
      <c r="C8" s="2054"/>
      <c r="D8" s="3027" t="s">
        <v>1781</v>
      </c>
      <c r="E8" s="2055" t="s">
        <v>3105</v>
      </c>
      <c r="F8" s="2056"/>
      <c r="G8" s="2024"/>
      <c r="H8" s="2024"/>
      <c r="I8" s="2024"/>
      <c r="J8" s="2040"/>
      <c r="K8" s="2041"/>
      <c r="L8" s="2026"/>
      <c r="M8" s="2026"/>
      <c r="N8" s="2027"/>
      <c r="O8" s="2028"/>
      <c r="P8" s="2027"/>
      <c r="Q8" s="2027"/>
      <c r="R8" s="2027"/>
    </row>
    <row r="9" spans="1:19" ht="18" customHeight="1" thickBot="1">
      <c r="A9" s="2038" t="s">
        <v>1782</v>
      </c>
      <c r="B9" s="2057" t="s">
        <v>3105</v>
      </c>
      <c r="C9" s="2058"/>
      <c r="D9" s="3028"/>
      <c r="E9" s="2057"/>
      <c r="F9" s="2059"/>
      <c r="G9" s="2060"/>
      <c r="H9" s="2060"/>
      <c r="I9" s="2060"/>
      <c r="J9" s="2040"/>
      <c r="K9" s="2052"/>
      <c r="L9" s="2026"/>
      <c r="M9" s="2026"/>
      <c r="N9" s="2027"/>
      <c r="O9" s="2028"/>
      <c r="P9" s="2027"/>
      <c r="Q9" s="2027"/>
      <c r="R9" s="2027"/>
    </row>
    <row r="10" spans="1:19" ht="18" customHeight="1" thickTop="1">
      <c r="A10" s="2061" t="s">
        <v>1783</v>
      </c>
      <c r="B10" s="2062" t="s">
        <v>3107</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3106</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3052</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34"/>
      <c r="C16" s="3035"/>
      <c r="D16" s="3036"/>
      <c r="E16" s="2084" t="s">
        <v>1798</v>
      </c>
      <c r="F16" s="3037"/>
      <c r="G16" s="3038"/>
      <c r="H16" s="3038"/>
      <c r="I16" s="3039"/>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40" t="s">
        <v>1802</v>
      </c>
      <c r="F17" s="3041"/>
      <c r="G17" s="3041"/>
      <c r="H17" s="3041"/>
      <c r="I17" s="3042"/>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43" t="s">
        <v>1805</v>
      </c>
      <c r="F18" s="3044"/>
      <c r="G18" s="3044"/>
      <c r="H18" s="3044"/>
      <c r="I18" s="3045"/>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30" t="s">
        <v>1810</v>
      </c>
      <c r="C20" s="3031"/>
      <c r="D20" s="3032" t="s">
        <v>1811</v>
      </c>
      <c r="E20" s="3033"/>
      <c r="F20" s="2096" t="s">
        <v>1812</v>
      </c>
      <c r="G20" s="2040"/>
      <c r="H20" s="2040"/>
      <c r="I20" s="2040"/>
      <c r="J20" s="2040"/>
      <c r="K20" s="302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17"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17"/>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17"/>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8"/>
      <c r="B30" s="2033" t="s">
        <v>1829</v>
      </c>
      <c r="C30" s="3019"/>
      <c r="D30" s="302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1"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3089</v>
      </c>
      <c r="C34" s="2132" t="s">
        <v>3090</v>
      </c>
      <c r="D34" s="2132" t="s">
        <v>3091</v>
      </c>
      <c r="E34" s="2132" t="s">
        <v>3092</v>
      </c>
      <c r="F34" s="2132" t="s">
        <v>3093</v>
      </c>
      <c r="G34" s="2132" t="s">
        <v>3094</v>
      </c>
      <c r="H34" s="2132" t="s">
        <v>3095</v>
      </c>
      <c r="I34" s="2040"/>
      <c r="J34" s="2040"/>
      <c r="K34" s="1793">
        <f>COUNTIF(B34:H34,"——")</f>
        <v>0</v>
      </c>
      <c r="L34" s="2073" t="s">
        <v>1832</v>
      </c>
      <c r="M34" s="2073" t="s">
        <v>1833</v>
      </c>
      <c r="N34" s="2073" t="s">
        <v>1834</v>
      </c>
      <c r="O34" s="2073" t="s">
        <v>1835</v>
      </c>
      <c r="P34" s="2073" t="s">
        <v>1836</v>
      </c>
      <c r="Q34" s="2073" t="s">
        <v>1837</v>
      </c>
      <c r="R34" s="2073" t="s">
        <v>1838</v>
      </c>
      <c r="S34" s="3016" t="s">
        <v>1839</v>
      </c>
      <c r="T34" s="2133" t="str">
        <f>NUMBERSTRING(7-K34,1)&amp;"通"</f>
        <v>七通</v>
      </c>
      <c r="U34" s="2027"/>
      <c r="V34" s="2027"/>
    </row>
    <row r="35" spans="1:22" ht="18" customHeight="1">
      <c r="A35" s="2134"/>
      <c r="B35" s="3023" t="s">
        <v>1840</v>
      </c>
      <c r="C35" s="3023"/>
      <c r="D35" s="3023"/>
      <c r="E35" s="3023"/>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16"/>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3053</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4096.63</v>
      </c>
      <c r="I5" s="16">
        <f t="shared" si="0"/>
        <v>4096.63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4096.63</v>
      </c>
      <c r="BB5" s="18">
        <f t="shared" si="1"/>
        <v>4096.63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6287.7</v>
      </c>
      <c r="F6" s="16" t="s">
        <v>1</v>
      </c>
      <c r="G6" s="16" t="s">
        <v>2</v>
      </c>
      <c r="H6" s="20">
        <f>SUMIF(I$12:AB$12,"总值",I6:AB6)</f>
        <v>6287.7</v>
      </c>
      <c r="I6" s="16">
        <f t="shared" ref="I6:AB6" si="2">ROUND($A$3*I5/$B$3,2)</f>
        <v>6287.7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6287.7</v>
      </c>
      <c r="BB6" s="16">
        <f>ROUND($AY$6*BB5/$AZ$5,2)</f>
        <v>6287.7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3054</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6</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v>
      </c>
      <c r="BC12" s="2211">
        <f>K11</f>
        <v>0</v>
      </c>
      <c r="BD12" s="2211">
        <f>M11</f>
        <v>0</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6287.7</v>
      </c>
      <c r="F13" s="32"/>
      <c r="G13" s="33">
        <f>H13+AC13+AT13</f>
        <v>4096.63</v>
      </c>
      <c r="H13" s="20">
        <f>SUMIF(I$12:AB$12,"总值",I13:AB13)</f>
        <v>4096.63</v>
      </c>
      <c r="I13" s="2213">
        <v>4096.63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4096.63</v>
      </c>
      <c r="BB13" s="16">
        <f>IF($D13="是",I13-J13,0)</f>
        <v>4096.63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7" t="s">
        <v>1936</v>
      </c>
      <c r="B2" s="3057"/>
      <c r="C2" s="3057"/>
      <c r="D2" s="970" t="s">
        <v>1912</v>
      </c>
      <c r="E2" s="2226" t="s">
        <v>1913</v>
      </c>
      <c r="F2" s="1395"/>
      <c r="G2" s="2227"/>
      <c r="H2" s="2228"/>
      <c r="I2" s="2229" t="s">
        <v>1937</v>
      </c>
      <c r="J2" s="1395"/>
      <c r="K2" s="1395"/>
      <c r="L2" s="1395"/>
      <c r="M2" s="1395"/>
      <c r="N2" s="1430"/>
      <c r="O2" s="1395"/>
      <c r="P2" s="1395"/>
    </row>
    <row r="3" spans="1:16" ht="15.75" thickBot="1">
      <c r="A3" s="3058" t="s">
        <v>1910</v>
      </c>
      <c r="B3" s="3058"/>
      <c r="C3" s="3058"/>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9"/>
      <c r="B4" s="3060"/>
      <c r="C4" s="3061"/>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2" t="s">
        <v>1915</v>
      </c>
      <c r="C5" s="3062"/>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2" t="s">
        <v>1916</v>
      </c>
      <c r="C6" s="3062"/>
      <c r="D6" s="48">
        <f>ROUND($D$3*E6/$E$3,2)</f>
        <v>6287.7</v>
      </c>
      <c r="E6" s="49">
        <f>E3-E5</f>
        <v>4096.63</v>
      </c>
      <c r="F6" s="1395"/>
      <c r="G6" s="2234" t="s">
        <v>1917</v>
      </c>
      <c r="H6" s="1402" t="s">
        <v>1918</v>
      </c>
      <c r="I6" s="942">
        <f>ROUND(F31/D31,2)</f>
        <v>0.65</v>
      </c>
      <c r="J6" s="1395"/>
      <c r="K6" s="1395"/>
      <c r="L6" s="1395"/>
      <c r="M6" s="1395"/>
      <c r="N6" s="1395"/>
      <c r="O6" s="1395"/>
      <c r="P6" s="1395"/>
    </row>
    <row r="7" spans="1:16" ht="15">
      <c r="A7" s="3054"/>
      <c r="B7" s="3055"/>
      <c r="C7" s="3056"/>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6287.7</v>
      </c>
      <c r="E8" s="51">
        <f>SUMIF('数据-基础表'!BB10:BK10,"地上",'数据-基础表'!BB5:BK5)</f>
        <v>4096.63</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6287.7</v>
      </c>
      <c r="E16" s="53">
        <f>SUM(E8:E15)</f>
        <v>4096.63</v>
      </c>
      <c r="F16" s="1395"/>
      <c r="G16" s="2236"/>
      <c r="H16" s="2239" t="s">
        <v>1940</v>
      </c>
      <c r="I16" s="2240"/>
      <c r="J16" s="1395"/>
      <c r="K16" s="3051" t="s">
        <v>1940</v>
      </c>
      <c r="L16" s="3052"/>
      <c r="M16" s="3052"/>
      <c r="N16" s="3052"/>
      <c r="O16" s="3052"/>
      <c r="P16" s="3053"/>
    </row>
    <row r="17" spans="1:19" ht="15">
      <c r="A17" s="2241" t="s">
        <v>1941</v>
      </c>
      <c r="B17" s="2242" t="s">
        <v>1942</v>
      </c>
      <c r="C17" s="2243" t="s">
        <v>1943</v>
      </c>
      <c r="D17" s="2244" t="s">
        <v>1931</v>
      </c>
      <c r="E17" s="2245" t="s">
        <v>1932</v>
      </c>
      <c r="F17" s="2246"/>
      <c r="G17" s="2247"/>
      <c r="H17" s="2248" t="s">
        <v>1944</v>
      </c>
      <c r="I17" s="2249" t="s">
        <v>1929</v>
      </c>
      <c r="J17" s="1395"/>
      <c r="K17" s="3048" t="s">
        <v>1945</v>
      </c>
      <c r="L17" s="3049"/>
      <c r="M17" s="3050"/>
      <c r="N17" s="3048" t="s">
        <v>1946</v>
      </c>
      <c r="O17" s="3049"/>
      <c r="P17" s="3050"/>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2" t="s">
        <v>3101</v>
      </c>
      <c r="D19" s="48">
        <f>ROUND($D$3*E19/$E$3,2)</f>
        <v>6287.7</v>
      </c>
      <c r="E19" s="56">
        <f t="shared" ref="E19:E26" si="1">SUM(F19:G19)</f>
        <v>4096.63</v>
      </c>
      <c r="F19" s="57">
        <f>'数据-基础表'!I13+'数据-基础表'!K13</f>
        <v>4096.63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6287.7</v>
      </c>
      <c r="S19" s="1251">
        <f t="shared" si="5"/>
        <v>4096.63</v>
      </c>
    </row>
    <row r="20" spans="1:19">
      <c r="A20" s="2262"/>
      <c r="B20" s="50" t="s">
        <v>1958</v>
      </c>
      <c r="C20" s="295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6287.7</v>
      </c>
      <c r="E27" s="1397">
        <f>IF(SUM(E19:E26)='数据-基础表'!BA5,SUM(E19:E26),IF(F27="地上面积有误","面积有误","地下面积有误"))</f>
        <v>4096.63</v>
      </c>
      <c r="F27" s="1396">
        <f>IF(SUM(F19:F26)=E8,SUM(F19:F26),"地上面积有误")</f>
        <v>4096.63</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6287.7</v>
      </c>
      <c r="S27" s="1250">
        <f>IF(SUM(S19:S26)=$E$3,SUM(S19:S26),SUM(S19:S26)&amp;"误差"&amp;ROUND(SUM(S19:S26)-E3,2))</f>
        <v>4096.63</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3073</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0.06</v>
      </c>
      <c r="J6" s="74">
        <v>8.5000000000000006E-2</v>
      </c>
      <c r="K6" s="1254">
        <f>SUMIF('数据-汇总表'!C$19:C$33,A6,'数据-汇总表'!E$19:E$33)</f>
        <v>4096.63</v>
      </c>
      <c r="L6" s="2966">
        <f>Sheet1!I6</f>
        <v>2375</v>
      </c>
      <c r="M6" s="75">
        <f t="shared" ref="M6:M14" si="1">ROUND(K6*L6/10000,0)</f>
        <v>973</v>
      </c>
      <c r="N6" s="801">
        <f>Sheet1!G2</f>
        <v>0.92</v>
      </c>
      <c r="O6" s="75" t="str">
        <f>IF($N$5="成新度","——",ROUND(M6*N6,0))</f>
        <v>——</v>
      </c>
      <c r="P6" s="76" t="str">
        <f>IF($N$5="成新度","——",M6-O6)</f>
        <v>——</v>
      </c>
      <c r="Q6" s="804">
        <v>0.1</v>
      </c>
      <c r="R6" s="77">
        <f ca="1">SUMIF('数据-汇总表'!C$19:C$33,A6,'数据-汇总表'!R$19:R$27)</f>
        <v>6287.7</v>
      </c>
      <c r="S6" s="54">
        <f>IF('数据-汇总表'!$I$17="按面积比例",SUMIF('数据-汇总表'!C$19:C$33,A6,'数据-汇总表'!K$19:K$33),SUMIF('数据-汇总表'!C$19:C$33,A6,'数据-汇总表'!N$19:N$33))</f>
        <v>0</v>
      </c>
      <c r="T6" s="1446">
        <f>ROUND($L$14*S6/10000,0)</f>
        <v>0</v>
      </c>
      <c r="U6" s="78">
        <v>1</v>
      </c>
      <c r="V6" s="79">
        <v>0</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3075</v>
      </c>
      <c r="AO6" s="55">
        <f ca="1">SUMIF(INDIRECT("'"&amp;AN6&amp;"'"&amp;"!A:A"),"总价",INDIRECT("'"&amp;AN6&amp;"'"&amp;"!B:B"))</f>
        <v>1339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2">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si="0"/>
        <v>0</v>
      </c>
      <c r="H7" s="802"/>
      <c r="I7" s="802"/>
      <c r="J7" s="74"/>
      <c r="K7" s="1254">
        <f>SUMIF('数据-汇总表'!C$19:C$33,A7,'数据-汇总表'!E$19:E$33)</f>
        <v>0</v>
      </c>
      <c r="L7" s="2966"/>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2"/>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0</v>
      </c>
      <c r="L14" s="91"/>
      <c r="M14" s="75">
        <f t="shared" si="1"/>
        <v>0</v>
      </c>
      <c r="N14" s="2967"/>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2375</v>
      </c>
      <c r="M16" s="102">
        <f>SUM(M6:M14)</f>
        <v>973</v>
      </c>
      <c r="N16" s="103">
        <f>ROUND(SUMPRODUCT(M6:M14,N6:N14)/M16,3)</f>
        <v>0.92</v>
      </c>
      <c r="O16" s="102">
        <f>SUM(O6:O14)</f>
        <v>0</v>
      </c>
      <c r="P16" s="102">
        <f>SUM(P6:P14)</f>
        <v>0</v>
      </c>
      <c r="Q16" s="104">
        <f>ROUND(SUMPRODUCT(Q6:Q13,K6:K13)/SUMPRODUCT((Q6:Q13&gt;0)*(K6:K13)),2)</f>
        <v>0.1</v>
      </c>
      <c r="R16" s="1258">
        <f ca="1">SUM(R6:R13)</f>
        <v>6287.7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3" t="s">
        <v>2081</v>
      </c>
      <c r="B1" s="3064"/>
      <c r="C1" s="3064"/>
      <c r="D1" s="3064"/>
      <c r="E1" s="3064"/>
      <c r="F1" s="3064"/>
      <c r="G1" s="306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969" t="s">
        <v>3108</v>
      </c>
      <c r="H3" s="2367"/>
      <c r="I3" s="2367"/>
      <c r="J3" s="2367"/>
      <c r="K3" s="2367"/>
      <c r="L3" s="2367"/>
      <c r="M3" s="2367"/>
      <c r="N3" s="2367"/>
      <c r="O3" s="2367"/>
      <c r="P3" s="2367"/>
      <c r="Q3" s="2367"/>
      <c r="R3" s="2367"/>
    </row>
    <row r="4" spans="1:29" ht="54">
      <c r="A4" s="431"/>
      <c r="B4" s="1793" t="s">
        <v>2088</v>
      </c>
      <c r="C4" s="2372" t="s">
        <v>2089</v>
      </c>
      <c r="D4" s="2370"/>
      <c r="E4" s="2373"/>
      <c r="F4" s="42" t="s">
        <v>2090</v>
      </c>
      <c r="G4" s="2970" t="s">
        <v>3109</v>
      </c>
      <c r="H4" s="2367"/>
      <c r="I4" s="2367"/>
      <c r="J4" s="2367"/>
      <c r="K4" s="2367"/>
      <c r="L4" s="2367"/>
      <c r="M4" s="2367"/>
      <c r="N4" s="2367"/>
      <c r="O4" s="2367"/>
      <c r="P4" s="2367"/>
      <c r="Q4" s="2367"/>
      <c r="R4" s="2367"/>
    </row>
    <row r="5" spans="1:29" ht="41.25">
      <c r="A5" s="431"/>
      <c r="B5" s="1793" t="s">
        <v>2092</v>
      </c>
      <c r="C5" s="2372" t="s">
        <v>2093</v>
      </c>
      <c r="D5" s="2370"/>
      <c r="E5" s="2373"/>
      <c r="F5" s="1793" t="s">
        <v>2094</v>
      </c>
      <c r="G5" s="2970" t="s">
        <v>3110</v>
      </c>
      <c r="H5" s="2367"/>
      <c r="I5" s="2367"/>
      <c r="J5" s="2367"/>
      <c r="K5" s="2367"/>
      <c r="L5" s="2367"/>
      <c r="M5" s="2367"/>
      <c r="N5" s="2367"/>
      <c r="O5" s="2367"/>
      <c r="P5" s="2367"/>
      <c r="Q5" s="2367"/>
      <c r="R5" s="2367"/>
    </row>
    <row r="6" spans="1:29" ht="54">
      <c r="A6" s="431"/>
      <c r="B6" s="1793" t="s">
        <v>2096</v>
      </c>
      <c r="C6" s="2374" t="s">
        <v>2091</v>
      </c>
      <c r="D6" s="2370"/>
      <c r="E6" s="2373"/>
      <c r="F6" s="1793" t="s">
        <v>2097</v>
      </c>
      <c r="G6" s="2970" t="s">
        <v>3112</v>
      </c>
      <c r="H6" s="2367"/>
      <c r="I6" s="2367"/>
      <c r="J6" s="2367"/>
      <c r="K6" s="2367"/>
      <c r="L6" s="2367"/>
      <c r="M6" s="2367"/>
      <c r="N6" s="2367"/>
      <c r="O6" s="2367"/>
      <c r="P6" s="2367"/>
      <c r="Q6" s="2367"/>
      <c r="R6" s="2367"/>
    </row>
    <row r="7" spans="1:29" ht="41.25" thickBot="1">
      <c r="A7" s="431"/>
      <c r="B7" s="1793" t="s">
        <v>2094</v>
      </c>
      <c r="C7" s="2374" t="s">
        <v>2095</v>
      </c>
      <c r="D7" s="2375"/>
      <c r="E7" s="2376"/>
      <c r="F7" s="2377" t="s">
        <v>2099</v>
      </c>
      <c r="G7" s="2971" t="s">
        <v>3111</v>
      </c>
      <c r="H7" s="2367"/>
      <c r="I7" s="2367"/>
      <c r="J7" s="2367"/>
      <c r="K7" s="2367"/>
      <c r="L7" s="2367"/>
      <c r="M7" s="2367"/>
      <c r="N7" s="2367"/>
      <c r="O7" s="2367"/>
      <c r="P7" s="2367"/>
      <c r="Q7" s="2367"/>
      <c r="R7" s="2367"/>
    </row>
    <row r="8" spans="1:29" ht="27">
      <c r="A8" s="431"/>
      <c r="B8" s="1793" t="s">
        <v>2097</v>
      </c>
      <c r="C8" s="2374" t="s">
        <v>2098</v>
      </c>
      <c r="D8" s="2375"/>
      <c r="E8" s="2375"/>
      <c r="F8" s="1136"/>
      <c r="G8" s="1136"/>
      <c r="H8" s="2367"/>
      <c r="I8" s="2367">
        <f>(1+1.4%)^21</f>
        <v>1.3390508050872865</v>
      </c>
      <c r="J8" s="2367"/>
      <c r="K8" s="2367"/>
      <c r="L8" s="2367"/>
      <c r="M8" s="2367"/>
      <c r="N8" s="2367"/>
      <c r="O8" s="2367"/>
      <c r="P8" s="2367"/>
      <c r="Q8" s="2367"/>
      <c r="R8" s="2367"/>
    </row>
    <row r="9" spans="1:29" ht="27">
      <c r="A9" s="431"/>
      <c r="B9" s="1793" t="s">
        <v>2100</v>
      </c>
      <c r="C9" s="2372" t="s">
        <v>2101</v>
      </c>
      <c r="D9" s="2370"/>
      <c r="E9" s="2375"/>
      <c r="F9" s="1136"/>
      <c r="G9" s="1136"/>
      <c r="H9" s="2367"/>
      <c r="I9" s="2367"/>
      <c r="J9" s="2367"/>
      <c r="K9" s="2367"/>
      <c r="L9" s="2367"/>
      <c r="M9" s="2367"/>
      <c r="N9" s="2367"/>
      <c r="O9" s="2367"/>
      <c r="P9" s="2367"/>
      <c r="Q9" s="2367"/>
      <c r="R9" s="2367"/>
    </row>
    <row r="10" spans="1:29" s="117" customFormat="1" ht="15.75" thickBot="1">
      <c r="A10" s="2378"/>
      <c r="B10" s="2379" t="s">
        <v>2102</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2103</v>
      </c>
      <c r="B13" s="2385"/>
      <c r="C13" s="2385"/>
      <c r="D13" s="2392"/>
      <c r="E13" s="2385"/>
      <c r="F13" s="2385"/>
      <c r="G13" s="2385"/>
    </row>
    <row r="14" spans="1:29" ht="15.75" thickBot="1">
      <c r="A14" s="2396"/>
      <c r="B14" s="2397"/>
      <c r="C14" s="2398" t="s">
        <v>2104</v>
      </c>
      <c r="D14" s="2370"/>
      <c r="E14" s="2399"/>
      <c r="F14" s="2399"/>
      <c r="G14" s="2364" t="s">
        <v>2105</v>
      </c>
    </row>
    <row r="15" spans="1:29" ht="57">
      <c r="A15" s="68" t="s">
        <v>2106</v>
      </c>
      <c r="B15" s="1270" t="s">
        <v>2085</v>
      </c>
      <c r="C15" s="2400" t="str">
        <f>C3</f>
        <v>估价对象周边居住用地比例、居住小区规模和社区发展完善程度，综合评价居住社区成熟度一般</v>
      </c>
      <c r="D15" s="2370"/>
      <c r="E15" s="2401" t="s">
        <v>2107</v>
      </c>
      <c r="F15" s="1270" t="s">
        <v>2108</v>
      </c>
      <c r="G15" s="135" t="str">
        <f>G3</f>
        <v>估价对象位密云科技开发区，园区建设成熟度较高，产业集聚程度较好</v>
      </c>
    </row>
    <row r="16" spans="1:29" ht="57">
      <c r="A16" s="645"/>
      <c r="B16" s="2402" t="s">
        <v>2088</v>
      </c>
      <c r="C16" s="2403" t="str">
        <f>C4</f>
        <v>估价对象位于XX商圈，周边商业氛围成熟，人流量大，商业繁华度好</v>
      </c>
      <c r="D16" s="2370"/>
      <c r="E16" s="2404"/>
      <c r="F16" s="2405" t="s">
        <v>2090</v>
      </c>
      <c r="G16" s="136" t="str">
        <f>G4</f>
        <v>估价对象周边道路状况较好、公共交通通达情况一般、停车便捷程度一般，综合评价交通便捷度一般</v>
      </c>
    </row>
    <row r="17" spans="1:18" ht="42.75">
      <c r="A17" s="645"/>
      <c r="B17" s="2402" t="s">
        <v>2092</v>
      </c>
      <c r="C17" s="2403" t="str">
        <f>C5</f>
        <v>估价对象位于XX商圈，周边办公楼项目较多，入驻率高，办公集聚程度较好</v>
      </c>
      <c r="D17" s="2375"/>
      <c r="E17" s="2404"/>
      <c r="F17" s="2405" t="s">
        <v>2109</v>
      </c>
      <c r="G17" s="1567"/>
    </row>
    <row r="18" spans="1:18" ht="57">
      <c r="A18" s="645"/>
      <c r="B18" s="2405" t="s">
        <v>2096</v>
      </c>
      <c r="C18" s="136" t="str">
        <f>C6</f>
        <v>估价对象周边道路状况、公共交通通达情况、停车便捷程度，综合评价交通便捷度较好</v>
      </c>
      <c r="D18" s="2375"/>
      <c r="E18" s="2404"/>
      <c r="F18" s="2405" t="s">
        <v>2099</v>
      </c>
      <c r="G18" s="136" t="str">
        <f>G7</f>
        <v>该园区内没有污染型企业，绿化情况较好，卫生条件较好，整体环境状况较好</v>
      </c>
    </row>
    <row r="19" spans="1:18" ht="28.5">
      <c r="A19" s="645"/>
      <c r="B19" s="2405" t="s">
        <v>2110</v>
      </c>
      <c r="C19" s="1567"/>
      <c r="D19" s="2370"/>
      <c r="E19" s="2404"/>
      <c r="F19" s="1793" t="s">
        <v>2094</v>
      </c>
      <c r="G19" s="136" t="str">
        <f>G5</f>
        <v>估价对象所在区域公共配套设施齐备情况一般</v>
      </c>
    </row>
    <row r="20" spans="1:18" ht="28.5">
      <c r="A20" s="645"/>
      <c r="B20" s="2405" t="s">
        <v>2111</v>
      </c>
      <c r="C20" s="2403" t="str">
        <f>C9</f>
        <v>区域自然环境：；人文环境；综合评价环境状况一般</v>
      </c>
      <c r="D20" s="2375"/>
      <c r="E20" s="2404"/>
      <c r="F20" s="1793" t="s">
        <v>2112</v>
      </c>
      <c r="G20" s="136" t="str">
        <f>G6</f>
        <v>估价对象所在区域基础设施水平-六通</v>
      </c>
    </row>
    <row r="21" spans="1:18" ht="28.5">
      <c r="A21" s="645"/>
      <c r="B21" s="1793" t="s">
        <v>2094</v>
      </c>
      <c r="C21" s="136" t="str">
        <f>C7</f>
        <v>估价对象所在区域公共配套设施齐备情况</v>
      </c>
      <c r="D21" s="2370"/>
      <c r="E21" s="2404"/>
      <c r="F21" s="2405" t="s">
        <v>2113</v>
      </c>
      <c r="G21" s="2406"/>
    </row>
    <row r="22" spans="1:18" ht="13.5" customHeight="1">
      <c r="A22" s="645"/>
      <c r="B22" s="1793" t="s">
        <v>2097</v>
      </c>
      <c r="C22" s="136" t="str">
        <f>C8</f>
        <v>估价对象所在区域基础设施水平</v>
      </c>
      <c r="D22" s="2370"/>
      <c r="E22" s="2404"/>
      <c r="F22" s="2405" t="s">
        <v>2102</v>
      </c>
      <c r="G22" s="1567"/>
    </row>
    <row r="23" spans="1:18" s="2367"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7"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1691</v>
      </c>
      <c r="C5" s="1741">
        <f ca="1">ROUND(B5*10000/$B$1,0)</f>
        <v>4128</v>
      </c>
      <c r="D5" s="1741">
        <f ca="1">ROUND(B5*10000/$B$2,0)</f>
        <v>2689</v>
      </c>
      <c r="E5" s="1740"/>
      <c r="F5" s="1738"/>
      <c r="G5" s="1738"/>
    </row>
    <row r="6" spans="1:10" ht="16.5">
      <c r="A6" s="1741" t="s">
        <v>1352</v>
      </c>
      <c r="B6" s="1741">
        <f ca="1">SUM(G14:G23)</f>
        <v>1691</v>
      </c>
      <c r="C6" s="1741">
        <f ca="1">ROUND(B6*10000/$B$1,0)</f>
        <v>4128</v>
      </c>
      <c r="D6" s="1741">
        <f ca="1">ROUND(B6*10000/$B$2,0)</f>
        <v>2689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1691</v>
      </c>
      <c r="E14" s="1739">
        <f ca="1">ROUND(D14*10000/B14,0)</f>
        <v>4128</v>
      </c>
      <c r="F14" s="1739">
        <f ca="1">ROUND(D14*10000/C14,0)</f>
        <v>2689</v>
      </c>
      <c r="G14" s="1739">
        <f ca="1">结果表!D122</f>
        <v>1691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3103</v>
      </c>
      <c r="H1" s="2419" t="str">
        <f>IF(G1="现房","——","估价对象范围")</f>
        <v>——</v>
      </c>
      <c r="I1" s="2420"/>
    </row>
    <row r="2" spans="1:12" ht="21.75" customHeight="1" thickBot="1">
      <c r="A2" s="3098" t="str">
        <f>项目基本情况!S2</f>
        <v>北京市房地产</v>
      </c>
      <c r="B2" s="3099"/>
      <c r="C2" s="3099"/>
      <c r="D2" s="3099"/>
      <c r="E2" s="3099"/>
      <c r="F2" s="3099"/>
      <c r="G2" s="3099"/>
      <c r="H2" s="3099"/>
      <c r="I2" s="3100"/>
    </row>
    <row r="3" spans="1:12" ht="12.75">
      <c r="A3" s="3102" t="s">
        <v>2118</v>
      </c>
      <c r="B3" s="3103"/>
      <c r="C3" s="3103"/>
      <c r="D3" s="3103"/>
      <c r="E3" s="3103"/>
      <c r="F3" s="3103"/>
      <c r="G3" s="3103"/>
      <c r="H3" s="3103"/>
      <c r="I3" s="3103"/>
    </row>
    <row r="4" spans="1:12" ht="14.25">
      <c r="A4" s="2423" t="s">
        <v>2119</v>
      </c>
      <c r="B4" s="2424" t="s">
        <v>2120</v>
      </c>
      <c r="C4" s="2425" t="s">
        <v>3075</v>
      </c>
      <c r="D4" s="2425" t="s">
        <v>3081</v>
      </c>
      <c r="E4" s="3095" t="s">
        <v>2121</v>
      </c>
      <c r="F4" s="3096"/>
      <c r="G4" s="3096"/>
      <c r="H4" s="3096"/>
      <c r="I4" s="3104"/>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78" t="s">
        <v>2122</v>
      </c>
      <c r="B5" s="3016">
        <v>25</v>
      </c>
      <c r="C5" s="3081"/>
      <c r="D5" s="3101"/>
      <c r="E5" s="140" t="s">
        <v>2123</v>
      </c>
      <c r="F5" s="2427"/>
      <c r="G5" s="2427"/>
      <c r="H5" s="2427"/>
      <c r="I5" s="1829"/>
    </row>
    <row r="6" spans="1:12" ht="12.75">
      <c r="A6" s="3078"/>
      <c r="B6" s="3016"/>
      <c r="C6" s="3082"/>
      <c r="D6" s="3101"/>
      <c r="E6" s="140" t="s">
        <v>2124</v>
      </c>
      <c r="F6" s="2427"/>
      <c r="G6" s="2427"/>
      <c r="H6" s="2427"/>
      <c r="I6" s="1829"/>
    </row>
    <row r="7" spans="1:12" ht="12.75">
      <c r="A7" s="3078"/>
      <c r="B7" s="3016"/>
      <c r="C7" s="3083"/>
      <c r="D7" s="3101"/>
      <c r="E7" s="140" t="s">
        <v>2125</v>
      </c>
      <c r="F7" s="2427"/>
      <c r="G7" s="2427"/>
      <c r="H7" s="2427"/>
      <c r="I7" s="1829"/>
    </row>
    <row r="8" spans="1:12" ht="12.75">
      <c r="A8" s="3078" t="s">
        <v>2126</v>
      </c>
      <c r="B8" s="3016">
        <v>15</v>
      </c>
      <c r="C8" s="3081"/>
      <c r="D8" s="3101"/>
      <c r="E8" s="140" t="s">
        <v>2127</v>
      </c>
      <c r="F8" s="2427"/>
      <c r="G8" s="2427"/>
      <c r="H8" s="2427"/>
      <c r="I8" s="1829"/>
    </row>
    <row r="9" spans="1:12" ht="12.75">
      <c r="A9" s="3078"/>
      <c r="B9" s="3016"/>
      <c r="C9" s="3083"/>
      <c r="D9" s="3101"/>
      <c r="E9" s="140" t="s">
        <v>2128</v>
      </c>
      <c r="F9" s="2427"/>
      <c r="G9" s="2427"/>
      <c r="H9" s="2427"/>
      <c r="I9" s="1829"/>
    </row>
    <row r="10" spans="1:12" ht="12.75">
      <c r="A10" s="3078" t="s">
        <v>2129</v>
      </c>
      <c r="B10" s="3016">
        <v>15</v>
      </c>
      <c r="C10" s="3081"/>
      <c r="D10" s="3101"/>
      <c r="E10" s="140" t="s">
        <v>2130</v>
      </c>
      <c r="F10" s="2427"/>
      <c r="G10" s="2427"/>
      <c r="H10" s="2427"/>
      <c r="I10" s="1829"/>
    </row>
    <row r="11" spans="1:12" ht="12.75">
      <c r="A11" s="3078"/>
      <c r="B11" s="3016"/>
      <c r="C11" s="3083"/>
      <c r="D11" s="3101"/>
      <c r="E11" s="140" t="s">
        <v>2131</v>
      </c>
      <c r="F11" s="2427"/>
      <c r="G11" s="2427"/>
      <c r="H11" s="2427"/>
      <c r="I11" s="1829"/>
    </row>
    <row r="12" spans="1:12" ht="12.75">
      <c r="A12" s="3078" t="s">
        <v>2132</v>
      </c>
      <c r="B12" s="3016">
        <v>15</v>
      </c>
      <c r="C12" s="3081"/>
      <c r="D12" s="3101"/>
      <c r="E12" s="140" t="s">
        <v>2133</v>
      </c>
      <c r="F12" s="2427"/>
      <c r="G12" s="2427"/>
      <c r="H12" s="2427"/>
      <c r="I12" s="1829"/>
    </row>
    <row r="13" spans="1:12" ht="12.75">
      <c r="A13" s="3078"/>
      <c r="B13" s="3016"/>
      <c r="C13" s="3083"/>
      <c r="D13" s="3101"/>
      <c r="E13" s="140" t="s">
        <v>2134</v>
      </c>
      <c r="F13" s="2427"/>
      <c r="G13" s="2427"/>
      <c r="H13" s="2427"/>
      <c r="I13" s="1829"/>
    </row>
    <row r="14" spans="1:12" ht="12.75">
      <c r="A14" s="3078" t="s">
        <v>2135</v>
      </c>
      <c r="B14" s="3016">
        <v>30</v>
      </c>
      <c r="C14" s="3081">
        <v>4</v>
      </c>
      <c r="D14" s="3101">
        <v>6</v>
      </c>
      <c r="E14" s="140" t="s">
        <v>2136</v>
      </c>
      <c r="F14" s="2427"/>
      <c r="G14" s="2427"/>
      <c r="H14" s="2427"/>
      <c r="I14" s="1829"/>
    </row>
    <row r="15" spans="1:12" ht="12.75">
      <c r="A15" s="3078"/>
      <c r="B15" s="3016"/>
      <c r="C15" s="3082"/>
      <c r="D15" s="3101"/>
      <c r="E15" s="140" t="s">
        <v>2137</v>
      </c>
      <c r="F15" s="2427"/>
      <c r="G15" s="2427"/>
      <c r="H15" s="2427"/>
      <c r="I15" s="1829"/>
    </row>
    <row r="16" spans="1:12" ht="12.75">
      <c r="A16" s="3078"/>
      <c r="B16" s="3016"/>
      <c r="C16" s="3083"/>
      <c r="D16" s="3101"/>
      <c r="E16" s="140" t="s">
        <v>2138</v>
      </c>
      <c r="F16" s="2427"/>
      <c r="G16" s="2427"/>
      <c r="H16" s="2427"/>
      <c r="I16" s="1829"/>
    </row>
    <row r="17" spans="1:35" ht="15">
      <c r="A17" s="2428" t="s">
        <v>2139</v>
      </c>
      <c r="B17" s="64"/>
      <c r="C17" s="141">
        <f>SUM(C5:C16)</f>
        <v>4</v>
      </c>
      <c r="D17" s="141">
        <f>SUM(D5:D16)</f>
        <v>6</v>
      </c>
      <c r="E17" s="138"/>
      <c r="F17" s="138"/>
      <c r="G17" s="138"/>
      <c r="H17" s="138"/>
      <c r="I17" s="138"/>
      <c r="K17" s="2426"/>
      <c r="L17" s="2429" t="s">
        <v>2140</v>
      </c>
      <c r="M17" s="2429" t="s">
        <v>2141</v>
      </c>
    </row>
    <row r="18" spans="1:35" ht="15.75" thickBot="1">
      <c r="A18" s="2430" t="s">
        <v>2142</v>
      </c>
      <c r="B18" s="2431"/>
      <c r="C18" s="142">
        <f>ROUND(C17/SUM(C17:D17),2)</f>
        <v>0.4</v>
      </c>
      <c r="D18" s="142">
        <f>1-C18</f>
        <v>0.6</v>
      </c>
      <c r="E18" s="138"/>
      <c r="F18" s="138"/>
      <c r="G18" s="138"/>
      <c r="H18" s="138"/>
      <c r="I18" s="138"/>
      <c r="K18" s="2426" t="s">
        <v>2143</v>
      </c>
      <c r="L18" s="2426">
        <f>IF(C1="",'数据-汇总表'!E3,SUMIF(项目类型,C1,'数据-汇总表'!E17:E26)+SUMIF(项目类型,C1,'数据-汇总表'!I17:I26))</f>
        <v>4096.63</v>
      </c>
      <c r="M18" s="2426">
        <f>IF(C1="",'数据-汇总表'!E3,SUMIF(项目类型,C1,'数据-汇总表'!E17:E26))</f>
        <v>4096.63</v>
      </c>
    </row>
    <row r="19" spans="1:35" ht="15">
      <c r="A19" s="2432" t="s">
        <v>2144</v>
      </c>
      <c r="B19" s="2433" t="s">
        <v>2145</v>
      </c>
      <c r="C19" s="143">
        <f ca="1">SUMIF(INDIRECT("'"&amp;C4&amp;"'"&amp;"!A:A"),结果表!B19,INDIRECT("'"&amp;C4&amp;"'"&amp;"!B:B"))</f>
        <v>1339</v>
      </c>
      <c r="D19" s="144">
        <f ca="1">SUMIF(INDIRECT("'"&amp;D4&amp;"'"&amp;"!A:A"),结果表!B19,INDIRECT("'"&amp;D4&amp;"'"&amp;"!B:B"))</f>
        <v>1925</v>
      </c>
      <c r="E19" s="2432" t="s">
        <v>2146</v>
      </c>
      <c r="F19" s="2433" t="s">
        <v>2145</v>
      </c>
      <c r="G19" s="145">
        <f ca="1">ROUND(C19*$C$18+D19*$D$18,0)</f>
        <v>1691</v>
      </c>
      <c r="H19" s="2434" t="s">
        <v>2147</v>
      </c>
      <c r="I19" s="138"/>
      <c r="K19" s="2426" t="s">
        <v>2148</v>
      </c>
      <c r="L19" s="2426">
        <f>IF(C1="",'数据-汇总表'!D3,SUMIF(项目类型,C1,'数据-汇总表'!D17:D26)+SUMIF(项目类型,C1,'数据-汇总表'!H17:H27))</f>
        <v>6287.7</v>
      </c>
      <c r="M19" s="2426">
        <f>IF(C1="",'数据-汇总表'!D3,SUMIF(项目类型,C1,'数据-汇总表'!D17:D26))</f>
        <v>6287.7</v>
      </c>
    </row>
    <row r="20" spans="1:35" ht="15">
      <c r="A20" s="2435"/>
      <c r="B20" s="1250" t="s">
        <v>2149</v>
      </c>
      <c r="C20" s="146">
        <f ca="1">SUMIF(INDIRECT("'"&amp;C4&amp;"'"&amp;"!A:A"),结果表!B20,INDIRECT("'"&amp;C4&amp;"'"&amp;"!B:B"))</f>
        <v>3269</v>
      </c>
      <c r="D20" s="147">
        <f ca="1">SUMIF(INDIRECT("'"&amp;D4&amp;"'"&amp;"!A:A"),结果表!B20,INDIRECT("'"&amp;D4&amp;"'"&amp;"!B:B"))</f>
        <v>4699</v>
      </c>
      <c r="E20" s="2435"/>
      <c r="F20" s="1250" t="s">
        <v>2149</v>
      </c>
      <c r="G20" s="148">
        <f ca="1">ROUND(C20*$C$18+D20*$D$18,0)</f>
        <v>4127</v>
      </c>
      <c r="H20" s="983" t="s">
        <v>2150</v>
      </c>
      <c r="I20" s="138"/>
    </row>
    <row r="21" spans="1:35" ht="15" customHeight="1" thickBot="1">
      <c r="A21" s="1003"/>
      <c r="B21" s="2436" t="s">
        <v>2151</v>
      </c>
      <c r="C21" s="789">
        <f ca="1">ROUND(C19*10000/L19,0)</f>
        <v>2130</v>
      </c>
      <c r="D21" s="790">
        <f ca="1">ROUND(D19*10000/L19,0)</f>
        <v>3062</v>
      </c>
      <c r="E21" s="1003"/>
      <c r="F21" s="2436" t="s">
        <v>2151</v>
      </c>
      <c r="G21" s="149">
        <f ca="1">ROUND(G19*10000/L19,0)</f>
        <v>2689</v>
      </c>
      <c r="H21" s="2437" t="s">
        <v>2150</v>
      </c>
      <c r="I21" s="138"/>
    </row>
    <row r="22" spans="1:35" ht="15" thickBot="1">
      <c r="A22" s="2280" t="s">
        <v>2152</v>
      </c>
      <c r="B22" s="2438"/>
      <c r="C22" s="2439"/>
      <c r="D22" s="791">
        <f ca="1">IF(C19&lt;D19,D19/C19-1,C19/D19-1)</f>
        <v>0.43764002987303963</v>
      </c>
      <c r="E22" s="138"/>
      <c r="F22" s="138"/>
      <c r="G22" s="138"/>
      <c r="H22" s="138"/>
      <c r="I22" s="138"/>
    </row>
    <row r="23" spans="1:35" ht="13.5" thickBot="1">
      <c r="A23" s="2416"/>
      <c r="B23" s="2416"/>
      <c r="C23" s="2416"/>
      <c r="D23" s="2416"/>
      <c r="E23" s="138"/>
      <c r="F23" s="138"/>
      <c r="G23" s="138"/>
      <c r="H23" s="138"/>
      <c r="I23" s="138"/>
    </row>
    <row r="24" spans="1:35" ht="14.25">
      <c r="A24" s="3072" t="s">
        <v>2153</v>
      </c>
      <c r="B24" s="2433" t="s">
        <v>2145</v>
      </c>
      <c r="C24" s="145">
        <f>IF(B30=0,0,D30)</f>
        <v>0</v>
      </c>
      <c r="D24" s="2440"/>
      <c r="E24" s="138"/>
      <c r="F24" s="138"/>
      <c r="G24" s="138"/>
      <c r="H24" s="138"/>
      <c r="I24" s="138"/>
    </row>
    <row r="25" spans="1:35" ht="14.25">
      <c r="A25" s="3073"/>
      <c r="B25" s="1250"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2159</v>
      </c>
      <c r="B32" s="2446"/>
      <c r="C32" s="153">
        <f ca="1">IF(D32="总价",G19-C24,G20-C25)</f>
        <v>1691</v>
      </c>
      <c r="D32" s="2447" t="s">
        <v>2160</v>
      </c>
      <c r="E32" s="138"/>
      <c r="F32" s="138"/>
      <c r="G32" s="138"/>
      <c r="H32" s="138"/>
      <c r="I32" s="138"/>
    </row>
    <row r="33" spans="1:15" ht="15">
      <c r="A33" s="960" t="s">
        <v>2161</v>
      </c>
      <c r="B33" s="2448"/>
      <c r="C33" s="2449" t="s">
        <v>3088</v>
      </c>
      <c r="D33" s="2450" t="s">
        <v>3081</v>
      </c>
      <c r="E33" s="2451" t="s">
        <v>2162</v>
      </c>
      <c r="F33" s="2452" t="str">
        <f>IF(D32="楼面单价","取值（单价）","取值（总价）")</f>
        <v>取值（总价）</v>
      </c>
      <c r="G33" s="138"/>
      <c r="H33" s="138"/>
      <c r="I33" s="138"/>
    </row>
    <row r="34" spans="1:15" ht="15">
      <c r="A34" s="2453"/>
      <c r="B34" s="2454" t="s">
        <v>2163</v>
      </c>
      <c r="C34" s="157">
        <f ca="1">IF(C33="自定义",F34,C32-C35)</f>
        <v>570</v>
      </c>
      <c r="D34" s="1058">
        <f ca="1">IF(C33="自定义",ROUND(C34/C32,3),IF(C33="收益比率",SUMIF(INDIRECT("'"&amp;D33&amp;"'"&amp;"!b:b"),"土地收益比率",INDIRECT("'"&amp;D33&amp;"'"&amp;"!c:c")),SUMIF(INDIRECT("'"&amp;D33&amp;"'"&amp;"!b:b"),"土地成本比率",INDIRECT("'"&amp;D33&amp;"'"&amp;"!c:c"))))</f>
        <v>0.33699999999999997</v>
      </c>
      <c r="E34" s="2455" t="s">
        <v>2164</v>
      </c>
      <c r="F34" s="1734"/>
      <c r="G34" s="138"/>
      <c r="H34" s="138"/>
      <c r="I34" s="138"/>
    </row>
    <row r="35" spans="1:15" ht="15.75" thickBot="1">
      <c r="A35" s="2456"/>
      <c r="B35" s="2457" t="s">
        <v>2165</v>
      </c>
      <c r="C35" s="1444">
        <f ca="1">IF(C33="自定义",F35,ROUND(C32*D35,0))</f>
        <v>1121</v>
      </c>
      <c r="D35" s="1445">
        <f ca="1">IF(C33="自定义",ROUND(C35/C32,3),IF(C33="收益比率",SUMIF(INDIRECT("'"&amp;D33&amp;"'"&amp;"!b:b"),"建筑物收益比率",INDIRECT("'"&amp;D33&amp;"'"&amp;"!c:c")),SUMIF(INDIRECT("'"&amp;D33&amp;"'"&amp;"!b:b"),"建筑物成本比率",INDIRECT("'"&amp;D33&amp;"'"&amp;"!c:c"))))</f>
        <v>0.66300000000000003</v>
      </c>
      <c r="E35" s="2458" t="s">
        <v>2166</v>
      </c>
      <c r="F35" s="163"/>
      <c r="G35" s="138"/>
      <c r="H35" s="138"/>
      <c r="I35" s="138"/>
    </row>
    <row r="36" spans="1:15" ht="15.75" thickBot="1">
      <c r="A36" s="3090" t="s">
        <v>2167</v>
      </c>
      <c r="B36" s="2459" t="s">
        <v>2168</v>
      </c>
      <c r="C36" s="154"/>
      <c r="D36" s="2460"/>
      <c r="E36" s="2461"/>
      <c r="F36" s="2462"/>
      <c r="G36" s="138"/>
      <c r="H36" s="138"/>
      <c r="I36" s="138"/>
    </row>
    <row r="37" spans="1:15" ht="15.75" thickBot="1">
      <c r="A37" s="3091"/>
      <c r="B37" s="2266" t="s">
        <v>2169</v>
      </c>
      <c r="C37" s="156"/>
      <c r="D37" s="1395"/>
      <c r="E37" s="1395"/>
      <c r="F37" s="2462"/>
      <c r="G37" s="138"/>
      <c r="H37" s="138"/>
      <c r="I37" s="138"/>
    </row>
    <row r="38" spans="1:15" ht="15.75" thickBot="1">
      <c r="A38" s="3092"/>
      <c r="B38" s="2463" t="s">
        <v>2170</v>
      </c>
      <c r="C38" s="727"/>
      <c r="D38" s="2464" t="s">
        <v>2171</v>
      </c>
      <c r="E38" s="1395"/>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069" t="s">
        <v>2181</v>
      </c>
      <c r="B45" s="3070"/>
      <c r="C45" s="3071"/>
      <c r="D45" s="164">
        <f ca="1">ROUND(H101*F45,0)</f>
        <v>1691</v>
      </c>
      <c r="E45" s="165" t="s">
        <v>2182</v>
      </c>
      <c r="F45" s="166">
        <v>1</v>
      </c>
      <c r="G45" s="167" t="s">
        <v>2183</v>
      </c>
      <c r="H45" s="138"/>
      <c r="I45" s="138"/>
      <c r="J45" s="3129" t="s">
        <v>2184</v>
      </c>
      <c r="K45" s="3129"/>
      <c r="L45" s="3129"/>
      <c r="M45" s="3129"/>
      <c r="N45" s="3129"/>
      <c r="O45" s="3129"/>
    </row>
    <row r="46" spans="1:15" ht="14.25" customHeight="1">
      <c r="A46" s="3066" t="s">
        <v>2185</v>
      </c>
      <c r="B46" s="3067"/>
      <c r="C46" s="3067"/>
      <c r="D46" s="3067"/>
      <c r="E46" s="3067"/>
      <c r="F46" s="3067"/>
      <c r="G46" s="3068"/>
      <c r="H46" s="2478"/>
      <c r="I46" s="168"/>
      <c r="J46" s="1807">
        <v>1</v>
      </c>
      <c r="K46" s="3129" t="s">
        <v>2186</v>
      </c>
      <c r="L46" s="3129"/>
      <c r="M46" s="3149"/>
      <c r="N46" s="3149"/>
      <c r="O46" s="3149"/>
    </row>
    <row r="47" spans="1:15" ht="12" customHeight="1">
      <c r="A47" s="169" t="s">
        <v>2187</v>
      </c>
      <c r="B47" s="170"/>
      <c r="C47" s="171"/>
      <c r="D47" s="172" t="s">
        <v>2188</v>
      </c>
      <c r="E47" s="24" t="s">
        <v>2189</v>
      </c>
      <c r="F47" s="173" t="s">
        <v>2190</v>
      </c>
      <c r="G47" s="174" t="s">
        <v>2191</v>
      </c>
      <c r="H47" s="2478"/>
      <c r="I47" s="168"/>
      <c r="J47" s="1807">
        <v>2</v>
      </c>
      <c r="K47" s="3129" t="s">
        <v>2192</v>
      </c>
      <c r="L47" s="3129"/>
      <c r="M47" s="3150">
        <f>'数据-取费表'!B2</f>
        <v>43594</v>
      </c>
      <c r="N47" s="3150"/>
      <c r="O47" s="3150"/>
    </row>
    <row r="48" spans="1:15" ht="25.5">
      <c r="A48" s="3097" t="s">
        <v>2193</v>
      </c>
      <c r="B48" s="3080"/>
      <c r="C48" s="3080"/>
      <c r="D48" s="140">
        <f>IF(H48="情况1",0,IF(H48="情况2",D52,IF(H48="情况3",D53,IF(H48="情况4",D54))))</f>
        <v>0</v>
      </c>
      <c r="E48" s="1796" t="str">
        <f>IF(H48="情况4","(销售额-原购置价)×税（费）率","销售额×税（费）率")</f>
        <v>销售额×税（费）率</v>
      </c>
      <c r="F48" s="175" t="str">
        <f>IF(H48="情况1","免征",'数据-取费表'!B41)</f>
        <v>免征</v>
      </c>
      <c r="G48" s="2479" t="s">
        <v>2194</v>
      </c>
      <c r="H48" s="2480" t="s">
        <v>2195</v>
      </c>
      <c r="I48" s="2478"/>
      <c r="J48" s="1807">
        <v>3</v>
      </c>
      <c r="K48" s="3129" t="s">
        <v>2196</v>
      </c>
      <c r="L48" s="3129"/>
      <c r="M48" s="3151">
        <f ca="1">H101</f>
        <v>1691</v>
      </c>
      <c r="N48" s="3151"/>
      <c r="O48" s="3151"/>
    </row>
    <row r="49" spans="1:35" ht="25.5" customHeight="1">
      <c r="A49" s="176" t="s">
        <v>2197</v>
      </c>
      <c r="B49" s="3065" t="s">
        <v>2198</v>
      </c>
      <c r="C49" s="3065"/>
      <c r="D49" s="177">
        <v>0</v>
      </c>
      <c r="E49" s="23" t="s">
        <v>2199</v>
      </c>
      <c r="F49" s="28" t="s">
        <v>34</v>
      </c>
      <c r="G49" s="3135"/>
      <c r="H49" s="138"/>
      <c r="I49" s="2481"/>
      <c r="J49" s="1807">
        <v>4</v>
      </c>
      <c r="K49" s="3129" t="str">
        <f>IF(项目基本情况!E8="房地产抵押价值","房地产抵押价值","抵押担保权已注销时的房地产抵押价值")</f>
        <v>房地产抵押价值</v>
      </c>
      <c r="L49" s="3129"/>
      <c r="M49" s="3151">
        <f ca="1">IF(项目基本情况!E8="房地产抵押价值",H107,H109)</f>
        <v>1691</v>
      </c>
      <c r="N49" s="3151"/>
      <c r="O49" s="3151"/>
    </row>
    <row r="50" spans="1:35" ht="25.5" customHeight="1">
      <c r="A50" s="178"/>
      <c r="B50" s="3065" t="s">
        <v>2200</v>
      </c>
      <c r="C50" s="3065"/>
      <c r="D50" s="179"/>
      <c r="E50" s="31"/>
      <c r="F50" s="180"/>
      <c r="G50" s="3136"/>
      <c r="H50" s="138"/>
      <c r="I50" s="2481"/>
      <c r="J50" s="3129" t="s">
        <v>2201</v>
      </c>
      <c r="K50" s="3129"/>
      <c r="L50" s="3129"/>
      <c r="M50" s="3129"/>
      <c r="N50" s="3129"/>
      <c r="O50" s="3129"/>
    </row>
    <row r="51" spans="1:35" ht="12" customHeight="1">
      <c r="A51" s="181"/>
      <c r="B51" s="3065" t="s">
        <v>2202</v>
      </c>
      <c r="C51" s="3065"/>
      <c r="D51" s="182"/>
      <c r="E51" s="30"/>
      <c r="F51" s="180"/>
      <c r="G51" s="3137"/>
      <c r="H51" s="138"/>
      <c r="I51" s="2481"/>
      <c r="J51" s="2482" t="s">
        <v>2203</v>
      </c>
      <c r="K51" s="3129" t="s">
        <v>2204</v>
      </c>
      <c r="L51" s="3129"/>
      <c r="M51" s="2482" t="s">
        <v>2205</v>
      </c>
      <c r="N51" s="2482" t="s">
        <v>2206</v>
      </c>
      <c r="O51" s="2482" t="s">
        <v>2207</v>
      </c>
    </row>
    <row r="52" spans="1:35" ht="24" customHeight="1">
      <c r="A52" s="183" t="s">
        <v>2208</v>
      </c>
      <c r="B52" s="3065" t="s">
        <v>2209</v>
      </c>
      <c r="C52" s="3065"/>
      <c r="D52" s="182">
        <f ca="1">ROUND(D45*'数据-取费表'!B41/(1+'数据-取费表'!C42),0)</f>
        <v>89</v>
      </c>
      <c r="E52" s="11" t="s">
        <v>2210</v>
      </c>
      <c r="F52" s="184">
        <f>'数据-取费表'!B41</f>
        <v>5.5000000000000007E-2</v>
      </c>
      <c r="G52" s="2483"/>
      <c r="H52" s="138"/>
      <c r="I52" s="2481"/>
      <c r="J52" s="1807">
        <v>1</v>
      </c>
      <c r="K52" s="3130" t="s">
        <v>2211</v>
      </c>
      <c r="L52" s="3130"/>
      <c r="M52" s="1749">
        <f>D48</f>
        <v>0</v>
      </c>
      <c r="N52" s="1807" t="str">
        <f>E48</f>
        <v>销售额×税（费）率</v>
      </c>
      <c r="O52" s="1750" t="str">
        <f>F48</f>
        <v>免征</v>
      </c>
    </row>
    <row r="53" spans="1:35" ht="12" customHeight="1">
      <c r="A53" s="183" t="s">
        <v>2212</v>
      </c>
      <c r="B53" s="3088" t="s">
        <v>2213</v>
      </c>
      <c r="C53" s="3089"/>
      <c r="D53" s="182">
        <f ca="1">ROUND(D45*'数据-取费表'!B41/(1+'数据-取费表'!C42),0)</f>
        <v>89</v>
      </c>
      <c r="E53" s="11" t="s">
        <v>2210</v>
      </c>
      <c r="F53" s="184">
        <f>'数据-取费表'!B41</f>
        <v>5.5000000000000007E-2</v>
      </c>
      <c r="G53" s="2483"/>
      <c r="H53" s="138"/>
      <c r="I53" s="2481"/>
      <c r="J53" s="1807">
        <v>2</v>
      </c>
      <c r="K53" s="3130" t="s">
        <v>2214</v>
      </c>
      <c r="L53" s="3130"/>
      <c r="M53" s="1749">
        <f t="shared" ref="M53:O54" ca="1" si="0">D55</f>
        <v>1</v>
      </c>
      <c r="N53" s="1807" t="str">
        <f t="shared" si="0"/>
        <v>销售额×税（费）率</v>
      </c>
      <c r="O53" s="1750">
        <f t="shared" si="0"/>
        <v>5.0000000000000001E-4</v>
      </c>
    </row>
    <row r="54" spans="1:35" ht="12" customHeight="1">
      <c r="A54" s="183" t="s">
        <v>2215</v>
      </c>
      <c r="B54" s="3088" t="s">
        <v>2216</v>
      </c>
      <c r="C54" s="3089"/>
      <c r="D54" s="182">
        <f ca="1">C68</f>
        <v>89</v>
      </c>
      <c r="E54" s="30" t="s">
        <v>2217</v>
      </c>
      <c r="F54" s="184">
        <f>'数据-取费表'!B41</f>
        <v>5.5000000000000007E-2</v>
      </c>
      <c r="G54" s="2483"/>
      <c r="H54" s="2484"/>
      <c r="I54" s="2481"/>
      <c r="J54" s="1807">
        <v>3</v>
      </c>
      <c r="K54" s="3130" t="s">
        <v>2218</v>
      </c>
      <c r="L54" s="3130"/>
      <c r="M54" s="1749">
        <f t="shared" ca="1" si="0"/>
        <v>958</v>
      </c>
      <c r="N54" s="1807" t="str">
        <f t="shared" si="0"/>
        <v>增值额×税（费）率</v>
      </c>
      <c r="O54" s="1751" t="str">
        <f t="shared" si="0"/>
        <v>——</v>
      </c>
    </row>
    <row r="55" spans="1:35" ht="24" customHeight="1">
      <c r="A55" s="3079" t="s">
        <v>2219</v>
      </c>
      <c r="B55" s="3080"/>
      <c r="C55" s="3080"/>
      <c r="D55" s="185">
        <f ca="1">IF(H55="个人住宅",0,ROUND(D45*I55,0))</f>
        <v>1</v>
      </c>
      <c r="E55" s="11" t="s">
        <v>2220</v>
      </c>
      <c r="F55" s="184">
        <f>IF(H55="正常",I55,"免征")</f>
        <v>5.0000000000000001E-4</v>
      </c>
      <c r="G55" s="2483"/>
      <c r="H55" s="2480" t="s">
        <v>2221</v>
      </c>
      <c r="I55" s="186">
        <f>'数据-取费表'!B49</f>
        <v>5.0000000000000001E-4</v>
      </c>
      <c r="J55" s="1807" t="str">
        <f>IF(H59="非个人房产","",4)</f>
        <v/>
      </c>
      <c r="K55" s="3130" t="str">
        <f>IF(H59="非个人房产","——","个人所得税")</f>
        <v>——</v>
      </c>
      <c r="L55" s="3130"/>
      <c r="M55" s="1752" t="str">
        <f>D59</f>
        <v>——</v>
      </c>
      <c r="N55" s="1805" t="str">
        <f>E59</f>
        <v>——</v>
      </c>
      <c r="O55" s="1753" t="str">
        <f>F59</f>
        <v>——</v>
      </c>
    </row>
    <row r="56" spans="1:35" ht="24.75">
      <c r="A56" s="3079" t="s">
        <v>2222</v>
      </c>
      <c r="B56" s="3080"/>
      <c r="C56" s="3080"/>
      <c r="D56" s="185">
        <f ca="1">IF(H56="个人住宅",D57,D58)</f>
        <v>958</v>
      </c>
      <c r="E56" s="11" t="s">
        <v>2223</v>
      </c>
      <c r="F56" s="184" t="str">
        <f>IF(H56="正常",F58,"免征")</f>
        <v>——</v>
      </c>
      <c r="G56" s="2485" t="s">
        <v>2224</v>
      </c>
      <c r="H56" s="2486" t="s">
        <v>2221</v>
      </c>
      <c r="I56" s="2487"/>
      <c r="J56" s="1807" t="str">
        <f>IF(项目基本情况!K6="上海银行",IF(J55="",4,J55+1),"")</f>
        <v/>
      </c>
      <c r="K56" s="3153" t="str">
        <f>IF(项目基本情况!K6="上海银行","其他处置费用","")</f>
        <v/>
      </c>
      <c r="L56" s="3154"/>
      <c r="M56" s="1749" t="str">
        <f>IF(项目基本情况!K6="上海银行",M69,"")</f>
        <v/>
      </c>
      <c r="N56" s="3156" t="str">
        <f>IF(项目基本情况!K6="上海银行","包含处置中涉及的律师、诉讼、拍卖、评估等费用","")</f>
        <v/>
      </c>
      <c r="O56" s="3157"/>
    </row>
    <row r="57" spans="1:35" ht="12.75">
      <c r="A57" s="183" t="s">
        <v>2197</v>
      </c>
      <c r="B57" s="3095" t="s">
        <v>2225</v>
      </c>
      <c r="C57" s="3104"/>
      <c r="D57" s="187">
        <v>0</v>
      </c>
      <c r="E57" s="23" t="s">
        <v>2199</v>
      </c>
      <c r="F57" s="155"/>
      <c r="G57" s="2483"/>
      <c r="H57" s="2487"/>
      <c r="I57" s="2487"/>
      <c r="J57" s="3130">
        <f>IF(AND(J55="",J56=""),4,IF(项目基本情况!K6="上海银行",结果表!J56+1,结果表!J55+1))</f>
        <v>4</v>
      </c>
      <c r="K57" s="3130" t="s">
        <v>2226</v>
      </c>
      <c r="L57" s="2488" t="s">
        <v>2227</v>
      </c>
      <c r="M57" s="1754"/>
      <c r="N57" s="1755">
        <f ca="1">SUMIF(M52:M56,"&lt;9e307")</f>
        <v>959</v>
      </c>
      <c r="O57" s="2489"/>
      <c r="P57" s="1748">
        <f ca="1">N57/M49</f>
        <v>0.56712004730928445</v>
      </c>
    </row>
    <row r="58" spans="1:35" ht="24.75">
      <c r="A58" s="183" t="s">
        <v>2208</v>
      </c>
      <c r="B58" s="3095" t="s">
        <v>2228</v>
      </c>
      <c r="C58" s="3096"/>
      <c r="D58" s="185">
        <f ca="1">IF(H58="转让取得",C81,C97)</f>
        <v>958</v>
      </c>
      <c r="E58" s="11" t="s">
        <v>2223</v>
      </c>
      <c r="F58" s="24" t="s">
        <v>34</v>
      </c>
      <c r="G58" s="2483"/>
      <c r="H58" s="2486" t="s">
        <v>2229</v>
      </c>
      <c r="I58" s="2487"/>
      <c r="J58" s="3130"/>
      <c r="K58" s="3130"/>
      <c r="L58" s="2488" t="s">
        <v>2230</v>
      </c>
      <c r="M58" s="1756"/>
      <c r="N58" s="2490" t="str">
        <f ca="1">NUMBERSTRING(INT(N57*10000),2)&amp;"元整"</f>
        <v>玖佰伍拾玖万元整</v>
      </c>
      <c r="O58" s="2491"/>
    </row>
    <row r="59" spans="1:35" ht="24.75" thickBot="1">
      <c r="A59" s="3133" t="s">
        <v>2231</v>
      </c>
      <c r="B59" s="3134"/>
      <c r="C59" s="3134"/>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131">
        <f>J57+1</f>
        <v>5</v>
      </c>
      <c r="K59" s="3130" t="s">
        <v>2233</v>
      </c>
      <c r="L59" s="1807" t="s">
        <v>2227</v>
      </c>
      <c r="M59" s="1757"/>
      <c r="N59" s="1758">
        <f ca="1">M49-N57</f>
        <v>732</v>
      </c>
      <c r="O59" s="2493"/>
    </row>
    <row r="60" spans="1:35" ht="12" customHeight="1">
      <c r="A60" s="2494"/>
      <c r="B60" s="2416"/>
      <c r="C60" s="2416"/>
      <c r="D60" s="2416"/>
      <c r="E60" s="2165"/>
      <c r="F60" s="2487"/>
      <c r="G60" s="2487"/>
      <c r="H60" s="2495"/>
      <c r="I60" s="138"/>
      <c r="J60" s="3132"/>
      <c r="K60" s="3130"/>
      <c r="L60" s="2488" t="s">
        <v>2230</v>
      </c>
      <c r="M60" s="1756"/>
      <c r="N60" s="2490" t="str">
        <f ca="1">NUMBERSTRING(INT(N59*10000),2)&amp;"元整"</f>
        <v>柒佰叁拾贰万元整</v>
      </c>
      <c r="O60" s="2491"/>
    </row>
    <row r="61" spans="1:35" ht="13.5" thickBot="1">
      <c r="A61" s="3077" t="s">
        <v>2234</v>
      </c>
      <c r="B61" s="3077"/>
      <c r="C61" s="3077"/>
      <c r="D61" s="3077"/>
      <c r="E61" s="3077"/>
      <c r="F61" s="2487"/>
      <c r="G61" s="2487"/>
      <c r="H61" s="2495"/>
      <c r="I61" s="138"/>
      <c r="J61" s="1807">
        <f>J59+1</f>
        <v>6</v>
      </c>
      <c r="K61" s="3130" t="s">
        <v>2235</v>
      </c>
      <c r="L61" s="3130"/>
      <c r="M61" s="1759"/>
      <c r="N61" s="1760">
        <f ca="1">ROUND(N59*10000/'数据-汇总表'!E3,0)</f>
        <v>1787</v>
      </c>
      <c r="O61" s="2496"/>
    </row>
    <row r="62" spans="1:35" ht="12.75">
      <c r="A62" s="3093" t="s">
        <v>2236</v>
      </c>
      <c r="B62" s="3094"/>
      <c r="C62" s="1799"/>
      <c r="D62" s="1799" t="s">
        <v>2237</v>
      </c>
      <c r="E62" s="192" t="s">
        <v>2238</v>
      </c>
      <c r="F62" s="2487"/>
      <c r="G62" s="2487"/>
      <c r="H62" s="2495"/>
      <c r="I62" s="138"/>
    </row>
    <row r="63" spans="1:35" ht="12.75">
      <c r="A63" s="203" t="s">
        <v>775</v>
      </c>
      <c r="B63" s="193" t="s">
        <v>2239</v>
      </c>
      <c r="C63" s="194">
        <f ca="1">ROUND((C64+C65)/(1+'数据-取费表'!C42),0)</f>
        <v>1610</v>
      </c>
      <c r="D63" s="195"/>
      <c r="E63" s="196"/>
      <c r="F63" s="2487"/>
      <c r="G63" s="2487"/>
      <c r="H63" s="2495"/>
      <c r="I63" s="138"/>
      <c r="J63" s="3155" t="s">
        <v>2240</v>
      </c>
      <c r="K63" s="2497" t="s">
        <v>2241</v>
      </c>
      <c r="L63" s="1747">
        <f ca="1">IF(M49&gt;10000,M49*0.5%,IF(AND(M49&gt;1000,M49&lt;=10000),M49*1%,IF(AND(M49&gt;100,M49&lt;=1000),M49*3%,IF(AND(M49&gt;10,M49&lt;=100),M49*5%,M49*8%))))</f>
        <v>16.91</v>
      </c>
      <c r="M63" s="24">
        <f ca="1">ROUND(L63,1)</f>
        <v>16.899999999999999</v>
      </c>
      <c r="Z63" s="2421"/>
      <c r="AI63" s="2422"/>
    </row>
    <row r="64" spans="1:35" ht="14.25" customHeight="1">
      <c r="A64" s="197" t="s">
        <v>770</v>
      </c>
      <c r="B64" s="198" t="s">
        <v>2242</v>
      </c>
      <c r="C64" s="199">
        <f ca="1">D45</f>
        <v>1691</v>
      </c>
      <c r="D64" s="200" t="s">
        <v>32</v>
      </c>
      <c r="E64" s="201"/>
      <c r="F64" s="2487"/>
      <c r="G64" s="2487"/>
      <c r="H64" s="2495"/>
      <c r="I64" s="138"/>
      <c r="J64" s="3155"/>
      <c r="K64" s="2497" t="s">
        <v>2243</v>
      </c>
      <c r="L64" s="1747">
        <f ca="1">IF(M49&gt;2000,M49*0.5%,IF(AND(M49&gt;1000,M49&lt;=2000),M49*0.6%,IF(AND(M49&gt;500,M49&lt;=1000),M49*0.7%,IF(AND(M49&gt;200,M49&lt;=500),M49*0.8%,IF(AND(M49&gt;100,M49&lt;=200),M49*0.9%,IF(AND(M49&gt;50,M49&lt;=100),M49*1%,IF(AND(M49&gt;20,M49&lt;=50),M49*1.5%,IF(AND(M49&gt;10,M49&lt;=20),M49*2%,IF(AND(M49&gt;1,M49&lt;=10),M49*2.5%)))))))))</f>
        <v>10.146000000000001</v>
      </c>
      <c r="M64" s="24">
        <f ca="1">ROUND(L64,1)</f>
        <v>10.1</v>
      </c>
      <c r="N64" s="138" t="s">
        <v>2244</v>
      </c>
      <c r="Z64" s="2421"/>
      <c r="AI64" s="2422"/>
    </row>
    <row r="65" spans="1:35" ht="14.25" customHeight="1">
      <c r="A65" s="197" t="s">
        <v>771</v>
      </c>
      <c r="B65" s="198" t="s">
        <v>2245</v>
      </c>
      <c r="C65" s="202"/>
      <c r="D65" s="200"/>
      <c r="E65" s="201"/>
      <c r="F65" s="2487"/>
      <c r="G65" s="2487"/>
      <c r="H65" s="2495"/>
      <c r="I65" s="138"/>
      <c r="J65" s="3155"/>
      <c r="K65" s="2497" t="s">
        <v>2246</v>
      </c>
      <c r="L65" s="1747">
        <f ca="1">IF(M49&gt;1000,M49*0.1%,IF(AND(M49&gt;500,M49&lt;=1000),M49*0.5%,IF(AND(M49&gt;50,M49&lt;=500),M49*1%,IF(AND(M49&gt;1,M49&lt;=50),M49*1.5%))))</f>
        <v>1.6910000000000001</v>
      </c>
      <c r="M65" s="24">
        <f ca="1">ROUND(L65,1)</f>
        <v>1.7</v>
      </c>
      <c r="N65" s="138" t="s">
        <v>2244</v>
      </c>
      <c r="Z65" s="2421"/>
      <c r="AI65" s="2422"/>
    </row>
    <row r="66" spans="1:35" ht="14.25" customHeight="1">
      <c r="A66" s="203" t="s">
        <v>772</v>
      </c>
      <c r="B66" s="204" t="s">
        <v>2247</v>
      </c>
      <c r="C66" s="205"/>
      <c r="D66" s="206" t="s">
        <v>32</v>
      </c>
      <c r="E66" s="1771" t="s">
        <v>1367</v>
      </c>
      <c r="F66" s="2487"/>
      <c r="G66" s="2487"/>
      <c r="H66" s="2495"/>
      <c r="I66" s="138"/>
      <c r="J66" s="3155"/>
      <c r="K66" s="2497" t="s">
        <v>2248</v>
      </c>
      <c r="L66" s="1747">
        <f ca="1">M49*0.5%</f>
        <v>8.4550000000000001</v>
      </c>
      <c r="M66" s="24">
        <f ca="1">IF(L66&gt;0.5,0.5,ROUND(L66,0))</f>
        <v>0.5</v>
      </c>
      <c r="N66" s="138" t="s">
        <v>2249</v>
      </c>
      <c r="Z66" s="2421"/>
      <c r="AI66" s="2422"/>
    </row>
    <row r="67" spans="1:35" ht="14.25" customHeight="1">
      <c r="A67" s="203" t="s">
        <v>773</v>
      </c>
      <c r="B67" s="204" t="s">
        <v>2250</v>
      </c>
      <c r="C67" s="207">
        <f ca="1">C63-C66</f>
        <v>1610</v>
      </c>
      <c r="D67" s="200" t="s">
        <v>32</v>
      </c>
      <c r="E67" s="201"/>
      <c r="F67" s="2487"/>
      <c r="G67" s="2487"/>
      <c r="H67" s="2495"/>
      <c r="I67" s="138"/>
      <c r="J67" s="3155"/>
      <c r="K67" s="2497" t="s">
        <v>2251</v>
      </c>
      <c r="L67" s="1747">
        <f ca="1">IF(M49&gt;=10000,(8.25+(M49-10000)*0.01%),IF(AND(M49&gt;=8000,M49&lt;10000),(7.85+(M49-8000)*0.02%),IF(AND(M49&gt;=5000,M49&lt;8000),(6.65+(M49-5000)*0.04%),IF(AND(M49&gt;=2000,M49&lt;5000),(4.25+(PM49-2000)*0.08%),IF(AND(M49&gt;=1000,M49&lt;2000),(2.75+(M49-1000)*0.15%),IF(AND(M49&gt;=100,M49&lt;1000),(0.5+(M49-100)*0.25%),IF(AND(M49&gt;0,M49&lt;100),M49*0.5%)))))))</f>
        <v>3.7865000000000002</v>
      </c>
      <c r="M67" s="24">
        <f ca="1">ROUND(L67*0.9,1)</f>
        <v>3.4</v>
      </c>
      <c r="Z67" s="2421"/>
      <c r="AI67" s="2422"/>
    </row>
    <row r="68" spans="1:35" ht="14.25" customHeight="1" thickBot="1">
      <c r="A68" s="208" t="s">
        <v>774</v>
      </c>
      <c r="B68" s="209" t="s">
        <v>2252</v>
      </c>
      <c r="C68" s="210">
        <f ca="1">IF(C67&lt;=0,0,ROUND(C67*D68,0))</f>
        <v>89</v>
      </c>
      <c r="D68" s="211">
        <f>'数据-取费表'!B41</f>
        <v>5.5000000000000007E-2</v>
      </c>
      <c r="E68" s="212"/>
      <c r="F68" s="2487"/>
      <c r="G68" s="2487"/>
      <c r="H68" s="2495"/>
      <c r="I68" s="138"/>
      <c r="J68" s="3155"/>
      <c r="K68" s="2497" t="s">
        <v>2253</v>
      </c>
      <c r="L68" s="1747">
        <f ca="1">IF(M49&gt;10000,M49*0.5%,IF(AND(M49&gt;5000,M49&lt;=10000),M49*1%,IF(AND(M49&gt;1000,M49&lt;=5000),M49*2%,IF(AND(M49&gt;200,M49&lt;=1000),M49*3%,M49*5%))))</f>
        <v>33.82</v>
      </c>
      <c r="M68" s="24">
        <f ca="1">ROUND(L68,1)</f>
        <v>33.799999999999997</v>
      </c>
      <c r="Z68" s="2421"/>
      <c r="AI68" s="2422"/>
    </row>
    <row r="69" spans="1:35" s="2444" customFormat="1" ht="16.5" customHeight="1">
      <c r="A69" s="2498"/>
      <c r="B69" s="2499"/>
      <c r="C69" s="2500"/>
      <c r="D69" s="2501"/>
      <c r="E69" s="2502"/>
      <c r="F69" s="2165"/>
      <c r="G69" s="2165"/>
      <c r="H69" s="2164"/>
      <c r="I69" s="2416"/>
      <c r="J69" s="3155"/>
      <c r="K69" s="2497" t="s">
        <v>2254</v>
      </c>
      <c r="L69" s="2503"/>
      <c r="M69" s="24">
        <f ca="1">ROUND(SUM(M63:M68),0)</f>
        <v>66</v>
      </c>
      <c r="N69" s="1748">
        <f ca="1">M69/M49</f>
        <v>3.903015966883501E-2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4" t="s">
        <v>2255</v>
      </c>
      <c r="B70" s="3115"/>
      <c r="C70" s="3115"/>
      <c r="D70" s="3115"/>
      <c r="E70" s="3115"/>
      <c r="F70" s="3115"/>
      <c r="G70" s="3115"/>
      <c r="H70" s="31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3" t="s">
        <v>2236</v>
      </c>
      <c r="B71" s="3094"/>
      <c r="C71" s="1799"/>
      <c r="D71" s="1799"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1610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8</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088" t="s">
        <v>2264</v>
      </c>
      <c r="F76" s="3065"/>
      <c r="G76" s="3065"/>
      <c r="H76" s="31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8</v>
      </c>
      <c r="D78" s="226">
        <f>'数据-取费表'!B43</f>
        <v>5.000000000000001E-3</v>
      </c>
      <c r="E78" s="3074" t="s">
        <v>2269</v>
      </c>
      <c r="F78" s="3075"/>
      <c r="G78" s="3075"/>
      <c r="H78" s="308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1602</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200.25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958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4" t="s">
        <v>2273</v>
      </c>
      <c r="B83" s="3115"/>
      <c r="C83" s="3115"/>
      <c r="D83" s="3115"/>
      <c r="E83" s="3115"/>
      <c r="F83" s="3115"/>
      <c r="G83" s="3115"/>
      <c r="H83" s="31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3" t="s">
        <v>2236</v>
      </c>
      <c r="B84" s="3094"/>
      <c r="C84" s="1799"/>
      <c r="D84" s="1799"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1610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8</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5"/>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074" t="s">
        <v>2282</v>
      </c>
      <c r="F91" s="3075"/>
      <c r="G91" s="3075"/>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074" t="s">
        <v>2286</v>
      </c>
      <c r="F92" s="3075"/>
      <c r="G92" s="3075"/>
      <c r="H92" s="308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8</v>
      </c>
      <c r="D93" s="226">
        <f>'数据-取费表'!B43</f>
        <v>5.000000000000001E-3</v>
      </c>
      <c r="E93" s="3074" t="s">
        <v>2269</v>
      </c>
      <c r="F93" s="3075"/>
      <c r="G93" s="3075"/>
      <c r="H93" s="308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085" t="s">
        <v>2290</v>
      </c>
      <c r="F94" s="3086"/>
      <c r="G94" s="3086"/>
      <c r="H94" s="308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1602</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200.25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958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2291</v>
      </c>
      <c r="B99" s="2416"/>
      <c r="C99" s="2416"/>
      <c r="D99" s="2416"/>
      <c r="E99" s="2165"/>
      <c r="F99" s="2165"/>
      <c r="G99" s="2165"/>
      <c r="H99" s="2164"/>
      <c r="I99" s="138"/>
    </row>
    <row r="100" spans="1:35" ht="18.75" customHeight="1">
      <c r="A100" s="3059" t="s">
        <v>2292</v>
      </c>
      <c r="B100" s="3060"/>
      <c r="C100" s="3060"/>
      <c r="D100" s="3076"/>
      <c r="E100" s="3060" t="s">
        <v>2293</v>
      </c>
      <c r="F100" s="3060"/>
      <c r="G100" s="3060"/>
      <c r="H100" s="3076"/>
      <c r="I100" s="138"/>
    </row>
    <row r="101" spans="1:35" ht="18.75" customHeight="1">
      <c r="A101" s="3138" t="s">
        <v>2294</v>
      </c>
      <c r="B101" s="3139"/>
      <c r="C101" s="736" t="str">
        <f>C4</f>
        <v>收益法</v>
      </c>
      <c r="D101" s="737" t="str">
        <f>D4</f>
        <v>成本法</v>
      </c>
      <c r="E101" s="3152" t="s">
        <v>2295</v>
      </c>
      <c r="F101" s="3106"/>
      <c r="G101" s="2518" t="s">
        <v>2296</v>
      </c>
      <c r="H101" s="1048">
        <f ca="1">H118</f>
        <v>1691</v>
      </c>
      <c r="I101" s="138"/>
    </row>
    <row r="102" spans="1:35" ht="18.75" customHeight="1">
      <c r="A102" s="3108" t="s">
        <v>2297</v>
      </c>
      <c r="B102" s="2518" t="s">
        <v>2296</v>
      </c>
      <c r="C102" s="736">
        <f ca="1">C19</f>
        <v>1339</v>
      </c>
      <c r="D102" s="737">
        <f ca="1">D19</f>
        <v>1925</v>
      </c>
      <c r="E102" s="3152"/>
      <c r="F102" s="3106"/>
      <c r="G102" s="2518" t="s">
        <v>2298</v>
      </c>
      <c r="H102" s="371">
        <f ca="1">I118</f>
        <v>4128</v>
      </c>
      <c r="I102" s="138"/>
    </row>
    <row r="103" spans="1:35" ht="42.75" customHeight="1">
      <c r="A103" s="3108"/>
      <c r="B103" s="2518" t="s">
        <v>2298</v>
      </c>
      <c r="C103" s="738">
        <f ca="1">C20</f>
        <v>3269</v>
      </c>
      <c r="D103" s="739">
        <f ca="1">D20</f>
        <v>4699</v>
      </c>
      <c r="E103" s="3147" t="s">
        <v>2299</v>
      </c>
      <c r="F103" s="3148"/>
      <c r="G103" s="2519" t="s">
        <v>2300</v>
      </c>
      <c r="H103" s="1048">
        <f>IF(D36="正常操作",H104+H105+H106,H105+H106)</f>
        <v>0</v>
      </c>
      <c r="I103" s="138"/>
    </row>
    <row r="104" spans="1:35" ht="18.75" customHeight="1">
      <c r="A104" s="3108" t="s">
        <v>2301</v>
      </c>
      <c r="B104" s="2520" t="s">
        <v>2296</v>
      </c>
      <c r="C104" s="740">
        <f ca="1">H118</f>
        <v>1691</v>
      </c>
      <c r="D104" s="741"/>
      <c r="E104" s="2266" t="s">
        <v>2302</v>
      </c>
      <c r="F104" s="2257"/>
      <c r="G104" s="2519" t="s">
        <v>2300</v>
      </c>
      <c r="H104" s="1049">
        <f>IF(D36="同一抵押权人同一抵押物续贷",C36&amp;"（未扣减，详见特别提示）",C36)</f>
        <v>0</v>
      </c>
      <c r="I104" s="138"/>
    </row>
    <row r="105" spans="1:35" ht="18.75" customHeight="1" thickBot="1">
      <c r="A105" s="3109"/>
      <c r="B105" s="2521" t="s">
        <v>2298</v>
      </c>
      <c r="C105" s="742">
        <f ca="1">I118</f>
        <v>4128</v>
      </c>
      <c r="D105" s="743"/>
      <c r="E105" s="2266" t="s">
        <v>2303</v>
      </c>
      <c r="F105" s="2257"/>
      <c r="G105" s="2519" t="s">
        <v>2300</v>
      </c>
      <c r="H105" s="1049">
        <f>C37</f>
        <v>0</v>
      </c>
      <c r="I105" s="138"/>
    </row>
    <row r="106" spans="1:35" ht="18.75" customHeight="1">
      <c r="A106" s="2416" t="s">
        <v>2304</v>
      </c>
      <c r="B106" s="2416"/>
      <c r="C106" s="2416"/>
      <c r="D106" s="2416"/>
      <c r="E106" s="2522" t="s">
        <v>2305</v>
      </c>
      <c r="F106" s="2257"/>
      <c r="G106" s="2519" t="s">
        <v>2300</v>
      </c>
      <c r="H106" s="1049">
        <f>C38</f>
        <v>0</v>
      </c>
      <c r="I106" s="138"/>
    </row>
    <row r="107" spans="1:35" ht="18.75" customHeight="1">
      <c r="A107" s="138"/>
      <c r="B107" s="138"/>
      <c r="C107" s="138"/>
      <c r="D107" s="138"/>
      <c r="E107" s="3105" t="str">
        <f>IF(项目基本情况!E8="已注销","——","3.房地产抵押价值")</f>
        <v>3.房地产抵押价值</v>
      </c>
      <c r="F107" s="3106"/>
      <c r="G107" s="2518" t="s">
        <v>2296</v>
      </c>
      <c r="H107" s="1048">
        <f ca="1">IF(E107="——","——",H101-H103)</f>
        <v>1691</v>
      </c>
      <c r="I107" s="138"/>
    </row>
    <row r="108" spans="1:35" ht="18.75" customHeight="1">
      <c r="A108" s="138"/>
      <c r="B108" s="138"/>
      <c r="C108" s="138"/>
      <c r="D108" s="138"/>
      <c r="E108" s="3105"/>
      <c r="F108" s="3106"/>
      <c r="G108" s="2518" t="s">
        <v>2298</v>
      </c>
      <c r="H108" s="371">
        <f ca="1">ROUND(H107*10000/'数据-汇总表'!E3,0)</f>
        <v>4128</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8" t="s">
        <v>2296</v>
      </c>
      <c r="H109" s="348" t="str">
        <f>IF(E109="——","——",H101-H105-H106)</f>
        <v>——</v>
      </c>
      <c r="I109" s="138"/>
    </row>
    <row r="110" spans="1:35" ht="18.75" customHeight="1">
      <c r="A110" s="138"/>
      <c r="B110" s="138"/>
      <c r="C110" s="138"/>
      <c r="D110" s="138"/>
      <c r="E110" s="3105"/>
      <c r="F110" s="3106"/>
      <c r="G110" s="2518" t="s">
        <v>2298</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8" t="s">
        <v>2296</v>
      </c>
      <c r="H111" s="1048" t="str">
        <f>IF(E111="——","——",N59)</f>
        <v>——</v>
      </c>
      <c r="I111" s="138"/>
    </row>
    <row r="112" spans="1:35" ht="18.75" customHeight="1" thickBot="1">
      <c r="A112" s="138"/>
      <c r="B112" s="138"/>
      <c r="C112" s="138"/>
      <c r="D112" s="138"/>
      <c r="E112" s="3142"/>
      <c r="F112" s="3143"/>
      <c r="G112" s="2523" t="s">
        <v>2298</v>
      </c>
      <c r="H112" s="790" t="str">
        <f>IF(E111="——","——",N61)</f>
        <v>——</v>
      </c>
      <c r="I112" s="138"/>
    </row>
    <row r="113" spans="1:11" ht="18.75" customHeight="1">
      <c r="A113" s="138"/>
      <c r="B113" s="138"/>
      <c r="C113" s="138"/>
      <c r="D113" s="138"/>
      <c r="E113" s="3110" t="s">
        <v>2304</v>
      </c>
      <c r="F113" s="3110"/>
      <c r="G113" s="3110"/>
      <c r="H113" s="3110"/>
      <c r="I113" s="138"/>
    </row>
    <row r="114" spans="1:11" ht="3.75" customHeight="1">
      <c r="A114" s="2416"/>
      <c r="B114" s="2416"/>
      <c r="C114" s="2416"/>
      <c r="D114" s="2416"/>
      <c r="E114" s="2494"/>
      <c r="F114" s="2494"/>
      <c r="G114" s="2494"/>
      <c r="H114" s="2494"/>
      <c r="I114" s="2416"/>
    </row>
    <row r="115" spans="1:11" ht="18.75" customHeight="1">
      <c r="A115" s="3123" t="s">
        <v>2306</v>
      </c>
      <c r="B115" s="3124"/>
      <c r="C115" s="3124"/>
      <c r="D115" s="3124"/>
      <c r="E115" s="3124"/>
      <c r="F115" s="3124"/>
      <c r="G115" s="3124"/>
      <c r="H115" s="3124"/>
      <c r="I115" s="3125"/>
    </row>
    <row r="116" spans="1:11" ht="27" customHeight="1">
      <c r="A116" s="3016" t="s">
        <v>2307</v>
      </c>
      <c r="B116" s="3111" t="s">
        <v>2308</v>
      </c>
      <c r="C116" s="3111" t="s">
        <v>2309</v>
      </c>
      <c r="D116" s="3127" t="s">
        <v>2310</v>
      </c>
      <c r="E116" s="3128"/>
      <c r="F116" s="3119" t="s">
        <v>2311</v>
      </c>
      <c r="G116" s="3119"/>
      <c r="H116" s="3016" t="s">
        <v>2312</v>
      </c>
      <c r="I116" s="3016"/>
    </row>
    <row r="117" spans="1:11" ht="18.75" customHeight="1">
      <c r="A117" s="3016"/>
      <c r="B117" s="3112"/>
      <c r="C117" s="3112"/>
      <c r="D117" s="1793" t="s">
        <v>2313</v>
      </c>
      <c r="E117" s="1793" t="s">
        <v>2314</v>
      </c>
      <c r="F117" s="1793" t="s">
        <v>2313</v>
      </c>
      <c r="G117" s="1793" t="s">
        <v>2315</v>
      </c>
      <c r="H117" s="1793" t="s">
        <v>2313</v>
      </c>
      <c r="I117" s="1793" t="s">
        <v>2315</v>
      </c>
    </row>
    <row r="118" spans="1:11" ht="24.75" customHeight="1">
      <c r="A118" s="2524" t="str">
        <f>项目基本情况!S2</f>
        <v>北京市房地产</v>
      </c>
      <c r="B118" s="1793">
        <f>M18</f>
        <v>4096.63</v>
      </c>
      <c r="C118" s="1793">
        <f>M19</f>
        <v>6287.7</v>
      </c>
      <c r="D118" s="1793">
        <f ca="1">ROUND(IF(D32="总价",C34,E118*B118/10000),0)</f>
        <v>570</v>
      </c>
      <c r="E118" s="1793">
        <f ca="1">ROUND(IF(C33="自定义",IF(D32="楼面单价",C34,D118*10000/B118),I118-G118),0)</f>
        <v>1392</v>
      </c>
      <c r="F118" s="1793">
        <f ca="1">ROUND(IF(D32="总价",C35,G118*B118/10000),0)</f>
        <v>1121</v>
      </c>
      <c r="G118" s="1793">
        <f ca="1">ROUND(IF(D32="楼面单价",C35,F118*10000/B118),0)</f>
        <v>2736</v>
      </c>
      <c r="H118" s="1793">
        <f ca="1">ROUND(IF(D32="总价",C32,I118*B118/10000),0)</f>
        <v>1691</v>
      </c>
      <c r="I118" s="1793">
        <f ca="1">ROUND(IF(D32="楼面单价",C32,H118*10000/B118),0)</f>
        <v>4128</v>
      </c>
    </row>
    <row r="119" spans="1:11" ht="18.75" customHeight="1">
      <c r="A119" s="3016" t="s">
        <v>2316</v>
      </c>
      <c r="B119" s="3016"/>
      <c r="C119" s="3016"/>
      <c r="D119" s="3116" t="str">
        <f ca="1">NUMBERSTRING(INT(D118*10000),2)&amp;"元整"</f>
        <v>伍佰柒拾万元整</v>
      </c>
      <c r="E119" s="3118"/>
      <c r="F119" s="3116" t="str">
        <f ca="1">NUMBERSTRING(INT(F118*10000),2)&amp;"元整"</f>
        <v>壹仟壹佰贰拾壹万元整</v>
      </c>
      <c r="G119" s="3118"/>
      <c r="H119" s="3116" t="str">
        <f ca="1">NUMBERSTRING(INT(H118*10000),2)&amp;"元整"</f>
        <v>壹仟陆佰玖拾壹万元整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1" t="str">
        <f>IF(D120=0,"故，本次评估不存在"&amp;A120,"故，本次评估"&amp;A120&amp;"为人民币"&amp;D120&amp;"万元整。")</f>
        <v>故，本次评估不存在估价师知悉的法定优先受偿款</v>
      </c>
    </row>
    <row r="121" spans="1:11" ht="18.75" customHeight="1">
      <c r="A121" s="3120" t="s">
        <v>2316</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1691</v>
      </c>
      <c r="E122" s="3145"/>
      <c r="F122" s="3145"/>
      <c r="G122" s="3145"/>
      <c r="H122" s="3145"/>
      <c r="I122" s="3146"/>
    </row>
    <row r="123" spans="1:11" ht="18.75" customHeight="1">
      <c r="A123" s="3016" t="s">
        <v>2316</v>
      </c>
      <c r="B123" s="3016"/>
      <c r="C123" s="3016"/>
      <c r="D123" s="3116" t="str">
        <f ca="1">NUMBERSTRING(INT(D122*10000),2)&amp;"元整"</f>
        <v>壹仟陆佰玖拾壹万元整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2316</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2316</v>
      </c>
      <c r="B127" s="3016"/>
      <c r="C127" s="3016"/>
      <c r="D127" s="3116" t="e">
        <f>NUMBERSTRING(INT(D126*10000),2)&amp;"元整"</f>
        <v>#VALUE!</v>
      </c>
      <c r="E127" s="3117"/>
      <c r="F127" s="3117"/>
      <c r="G127" s="3117"/>
      <c r="H127" s="3117"/>
      <c r="I127" s="3118"/>
    </row>
    <row r="128" spans="1:11" ht="21.75" customHeight="1">
      <c r="A128" s="3126" t="s">
        <v>2317</v>
      </c>
      <c r="B128" s="3126"/>
      <c r="C128" s="3126"/>
      <c r="D128" s="3126"/>
      <c r="E128" s="3126"/>
      <c r="F128" s="3126"/>
      <c r="G128" s="3126"/>
      <c r="H128" s="3126"/>
      <c r="I128" s="3126"/>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2320</v>
      </c>
      <c r="G135" s="2542"/>
      <c r="H135" s="2542"/>
      <c r="I135" s="2543" t="s">
        <v>2321</v>
      </c>
    </row>
    <row r="136" spans="1:35" ht="21.75" customHeight="1">
      <c r="A136" s="795"/>
      <c r="B136" s="2544"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2323</v>
      </c>
    </row>
    <row r="139" spans="1:35" ht="21.75" customHeight="1">
      <c r="A139" s="795"/>
      <c r="B139" s="2544" t="s">
        <v>2324</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2323</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3"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1483</v>
      </c>
      <c r="C2" s="243" t="s">
        <v>2327</v>
      </c>
      <c r="D2" s="2547" t="s">
        <v>70</v>
      </c>
      <c r="E2" s="1443" t="e">
        <f ca="1">SUMIF(INDIRECT("'"&amp;G2&amp;"'"&amp;"!A:A"),"承租人权益价值",INDIRECT("'"&amp;G2&amp;"'"&amp;"!c:c"))</f>
        <v>#REF!</v>
      </c>
      <c r="F2" s="2548" t="s">
        <v>2327</v>
      </c>
      <c r="G2" s="2549"/>
    </row>
    <row r="3" spans="1:8" s="244" customFormat="1" ht="18" customHeight="1" thickBot="1">
      <c r="A3" s="247" t="s">
        <v>2328</v>
      </c>
      <c r="B3" s="248">
        <f ca="1">ROUND(B2*10000/(IF(B1="",'数据-汇总表'!E3,INDIRECT("'数据-取费表'!k"&amp;$G$1))),0)</f>
        <v>3620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778360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778360</v>
      </c>
      <c r="D8" s="266"/>
      <c r="E8" s="264"/>
      <c r="F8" s="265"/>
      <c r="G8" s="2550"/>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2344</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819326</v>
      </c>
      <c r="D19" s="1039">
        <f ca="1">D9+D10</f>
        <v>4096.63</v>
      </c>
      <c r="E19" s="255">
        <f>'数据-取费表'!B31</f>
        <v>200</v>
      </c>
      <c r="F19" s="275"/>
      <c r="G19" s="2550"/>
    </row>
    <row r="20" spans="1:7" s="258" customFormat="1" ht="13.5" customHeight="1">
      <c r="A20" s="299" t="s">
        <v>2438</v>
      </c>
      <c r="B20" s="254" t="s">
        <v>2439</v>
      </c>
      <c r="C20" s="276">
        <f ca="1">ROUND((C5+C19)*F20,0)</f>
        <v>31954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116309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56112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59065</v>
      </c>
      <c r="D24" s="282"/>
      <c r="E24" s="282"/>
      <c r="F24" s="283"/>
      <c r="G24" s="284" t="s">
        <v>2450</v>
      </c>
    </row>
    <row r="25" spans="1:7" s="258" customFormat="1" ht="24">
      <c r="A25" s="954" t="s">
        <v>2340</v>
      </c>
      <c r="B25" s="259" t="s">
        <v>2451</v>
      </c>
      <c r="C25" s="1384">
        <f ca="1">ROUND(IF('数据-取费表'!B22&lt;=1,C20*F22*'数据-取费表'!B22/2,C20*(POWER((1+F22),'数据-取费表'!B22/2)-1)),0)</f>
        <v>1132</v>
      </c>
      <c r="D25" s="282"/>
      <c r="E25" s="285"/>
      <c r="F25" s="283"/>
      <c r="G25" s="286" t="s">
        <v>2452</v>
      </c>
    </row>
    <row r="26" spans="1:7" s="258" customFormat="1">
      <c r="A26" s="954"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162964</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ROUND((C5+C19+C20)*F27,0)</f>
        <v>162964</v>
      </c>
      <c r="D28" s="279"/>
      <c r="E28" s="280"/>
      <c r="F28" s="290"/>
      <c r="G28" s="291"/>
    </row>
    <row r="29" spans="1:7" s="258" customFormat="1" ht="13.5" customHeight="1">
      <c r="A29" s="954" t="s">
        <v>792</v>
      </c>
      <c r="B29" s="292" t="s">
        <v>2381</v>
      </c>
      <c r="C29" s="282">
        <f ca="1">ROUND(C21*F27,4)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2063913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11083944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9729496</v>
      </c>
      <c r="D34" s="261"/>
      <c r="E34" s="264"/>
      <c r="F34" s="301"/>
      <c r="G34" s="263"/>
    </row>
    <row r="35" spans="1:7" ht="13.5" customHeight="1">
      <c r="A35" s="954" t="s">
        <v>796</v>
      </c>
      <c r="B35" s="259" t="s">
        <v>2391</v>
      </c>
      <c r="C35" s="264">
        <f ca="1">ROUND(C34*F35,0)</f>
        <v>389180</v>
      </c>
      <c r="D35" s="264"/>
      <c r="E35" s="264"/>
      <c r="F35" s="303">
        <f>'数据-取费表'!B33</f>
        <v>0.04</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819326</v>
      </c>
      <c r="D37" s="261">
        <f ca="1">D19</f>
        <v>4096.63</v>
      </c>
      <c r="E37" s="293">
        <f>'数据-取费表'!B35</f>
        <v>200</v>
      </c>
      <c r="F37" s="303"/>
      <c r="G37" s="305"/>
    </row>
    <row r="38" spans="1:7" ht="13.5" customHeight="1">
      <c r="A38" s="954" t="s">
        <v>799</v>
      </c>
      <c r="B38" s="259" t="s">
        <v>2397</v>
      </c>
      <c r="C38" s="264">
        <f ca="1">ROUND(C34*F38,0)</f>
        <v>145942</v>
      </c>
      <c r="D38" s="264"/>
      <c r="E38" s="264"/>
      <c r="F38" s="303">
        <f>'数据-取费表'!B36</f>
        <v>1.4999999999999999E-2</v>
      </c>
      <c r="G38" s="263" t="s">
        <v>2392</v>
      </c>
    </row>
    <row r="39" spans="1:7" s="258" customFormat="1" ht="13.5" customHeight="1">
      <c r="A39" s="299" t="s">
        <v>2398</v>
      </c>
      <c r="B39" s="254" t="s">
        <v>2399</v>
      </c>
      <c r="C39" s="276">
        <f ca="1">ROUND(C33*F20,0)</f>
        <v>221679</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400417</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392566</v>
      </c>
      <c r="D42" s="282"/>
      <c r="E42" s="282"/>
      <c r="F42" s="283"/>
      <c r="G42" s="3158" t="s">
        <v>2455</v>
      </c>
    </row>
    <row r="43" spans="1:7" ht="13.5" customHeight="1">
      <c r="A43" s="954" t="s">
        <v>792</v>
      </c>
      <c r="B43" s="259" t="s">
        <v>2409</v>
      </c>
      <c r="C43" s="282">
        <f ca="1">ROUND(IF('数据-取费表'!B22&lt;=1,C39*F22*'数据-取费表'!B20/2,C39*(POWER((1+F22),'数据-取费表'!B20/2)-1)),0)</f>
        <v>7851</v>
      </c>
      <c r="D43" s="282"/>
      <c r="E43" s="282"/>
      <c r="F43" s="283"/>
      <c r="G43" s="3159"/>
    </row>
    <row r="44" spans="1:7" ht="13.5" customHeight="1">
      <c r="A44" s="954" t="s">
        <v>793</v>
      </c>
      <c r="B44" s="259" t="s">
        <v>2410</v>
      </c>
      <c r="C44" s="282">
        <f ca="1">ROUND(IF('数据-取费表'!B22&lt;=1,C40*F22*'数据-取费表'!B20/2,C40*(POWER((1+F22),'数据-取费表'!B20/2)-1)),4)</f>
        <v>6.9999999999999999E-4</v>
      </c>
      <c r="D44" s="282"/>
      <c r="E44" s="282"/>
      <c r="F44" s="283"/>
      <c r="G44" s="3160"/>
    </row>
    <row r="45" spans="1:7" s="258" customFormat="1" ht="13.5" customHeight="1">
      <c r="A45" s="299" t="s">
        <v>2411</v>
      </c>
      <c r="B45" s="288" t="s">
        <v>2377</v>
      </c>
      <c r="C45" s="289">
        <f ca="1">C46</f>
        <v>1130562</v>
      </c>
      <c r="D45" s="279">
        <f ca="1">C47</f>
        <v>2E-3</v>
      </c>
      <c r="E45" s="280" t="s">
        <v>2403</v>
      </c>
      <c r="F45" s="290"/>
      <c r="G45" s="291" t="s">
        <v>2412</v>
      </c>
    </row>
    <row r="46" spans="1:7" s="258" customFormat="1" ht="13.5" customHeight="1">
      <c r="A46" s="954" t="s">
        <v>791</v>
      </c>
      <c r="B46" s="292" t="s">
        <v>2413</v>
      </c>
      <c r="C46" s="293">
        <f ca="1">ROUND((C33+C39)*F27,0)</f>
        <v>1130562</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13878908</v>
      </c>
      <c r="D49" s="276"/>
      <c r="E49" s="276"/>
      <c r="F49" s="308"/>
      <c r="G49" s="278" t="s">
        <v>2418</v>
      </c>
    </row>
    <row r="50" spans="1:7" s="302" customFormat="1">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12768595</v>
      </c>
      <c r="D51" s="276"/>
      <c r="E51" s="276"/>
      <c r="F51" s="308"/>
      <c r="G51" s="278" t="s">
        <v>2424</v>
      </c>
    </row>
    <row r="52" spans="1:7" s="252" customFormat="1" ht="16.5" thickBot="1">
      <c r="A52" s="309" t="s">
        <v>2425</v>
      </c>
      <c r="B52" s="310"/>
      <c r="C52" s="311">
        <f ca="1">C31+C51</f>
        <v>14832508</v>
      </c>
      <c r="D52" s="310"/>
      <c r="E52" s="310"/>
      <c r="F52" s="310"/>
      <c r="G52" s="312"/>
    </row>
    <row r="55" spans="1:7" ht="15">
      <c r="B55" s="314" t="s">
        <v>2426</v>
      </c>
      <c r="C55" s="315"/>
    </row>
    <row r="56" spans="1:7">
      <c r="B56" s="317" t="s">
        <v>1509</v>
      </c>
      <c r="C56" s="319">
        <f ca="1">1-C57</f>
        <v>0.13900000000000001</v>
      </c>
    </row>
    <row r="57" spans="1:7">
      <c r="B57" s="317" t="s">
        <v>1510</v>
      </c>
      <c r="C57" s="318">
        <f ca="1">ROUND(C51/C52,3)</f>
        <v>0.86099999999999999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郑燚（注册号：1120070131)、崔锴（注册号：0)</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79"/>
      <c r="C1" s="1580"/>
      <c r="D1" s="1578"/>
      <c r="E1" s="320"/>
      <c r="F1" s="320"/>
      <c r="G1" s="1579"/>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4" t="s">
        <v>2464</v>
      </c>
      <c r="D5" s="2554" t="s">
        <v>2465</v>
      </c>
      <c r="E5" s="2554" t="s">
        <v>2466</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0.04</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4096.63</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4096.63</v>
      </c>
      <c r="E17" s="24">
        <f>'数据-取费表'!B32</f>
        <v>0</v>
      </c>
      <c r="F17" s="981"/>
      <c r="G17" s="140" t="s">
        <v>2490</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6"/>
      <c r="H18" s="1575"/>
      <c r="I18" s="2557"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2494</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2508</v>
      </c>
      <c r="B28" s="2559" t="s">
        <v>2509</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0"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F7" sqref="F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2525</v>
      </c>
      <c r="B1" s="2562"/>
      <c r="C1" s="2562"/>
      <c r="D1" s="2562"/>
      <c r="E1" s="2563"/>
    </row>
    <row r="2" spans="1:6" ht="15.75">
      <c r="A2" s="2564" t="s">
        <v>2326</v>
      </c>
      <c r="B2" s="2565">
        <f ca="1">SUMIF(B6:B13,"&lt;&gt;#ref!",B6:B13)</f>
        <v>1339</v>
      </c>
      <c r="C2" s="2566" t="s">
        <v>2518</v>
      </c>
      <c r="D2" s="2567" t="s">
        <v>2519</v>
      </c>
      <c r="E2" s="2568">
        <f>SUM(E6:E13)</f>
        <v>4096.63</v>
      </c>
    </row>
    <row r="3" spans="1:6" ht="15.75">
      <c r="A3" s="2564" t="s">
        <v>1391</v>
      </c>
      <c r="B3" s="2565">
        <f ca="1">ROUND(B2*10000/E2,0)</f>
        <v>3269</v>
      </c>
      <c r="C3" s="2566" t="s">
        <v>2526</v>
      </c>
      <c r="D3" s="2569"/>
      <c r="E3" s="2570"/>
    </row>
    <row r="4" spans="1:6" ht="15.75">
      <c r="A4" s="2571"/>
      <c r="B4" s="2569"/>
      <c r="C4" s="2569"/>
      <c r="D4" s="2569"/>
      <c r="E4" s="2570"/>
    </row>
    <row r="5" spans="1:6" ht="15">
      <c r="A5" s="2572" t="s">
        <v>2520</v>
      </c>
      <c r="B5" s="3161" t="s">
        <v>2521</v>
      </c>
      <c r="C5" s="3161"/>
      <c r="D5" s="2573"/>
      <c r="E5" s="2574" t="s">
        <v>2522</v>
      </c>
      <c r="F5" s="2575" t="s">
        <v>2523</v>
      </c>
    </row>
    <row r="6" spans="1:6">
      <c r="A6" s="2576" t="str">
        <f>'数据-取费表'!AN6</f>
        <v>收益法</v>
      </c>
      <c r="B6" s="2575">
        <f ca="1">IF(F6="是",'数据-取费表'!AO6,0)</f>
        <v>1339</v>
      </c>
      <c r="C6" s="2566" t="s">
        <v>2518</v>
      </c>
      <c r="D6" s="2569"/>
      <c r="E6" s="2577">
        <f>IF(OR(A6=0,F6="否"),0,'数据-取费表'!K6+'数据-取费表'!S6)</f>
        <v>4096.63</v>
      </c>
      <c r="F6" s="2578" t="s">
        <v>3069</v>
      </c>
    </row>
    <row r="7" spans="1:6">
      <c r="A7" s="2576">
        <f>'数据-取费表'!AN7</f>
        <v>0</v>
      </c>
      <c r="B7" s="2575">
        <f>IF(F7="是",'数据-取费表'!AO7,0)</f>
        <v>0</v>
      </c>
      <c r="C7" s="2566" t="s">
        <v>2518</v>
      </c>
      <c r="D7" s="2569"/>
      <c r="E7" s="2577">
        <f>IF(OR(A7=0,F7="否"),0,'数据-取费表'!K7+'数据-取费表'!S7)</f>
        <v>0</v>
      </c>
      <c r="F7" s="2578" t="s">
        <v>3102</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F56" sqref="F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6</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1339</v>
      </c>
      <c r="C2" s="1843" t="s">
        <v>1512</v>
      </c>
      <c r="D2" s="1843"/>
      <c r="E2" s="1844"/>
      <c r="F2" s="1845"/>
      <c r="G2" s="1846"/>
      <c r="H2" s="1838"/>
      <c r="I2" s="1838"/>
      <c r="J2" s="1838"/>
      <c r="K2" s="1839"/>
      <c r="L2" s="1838"/>
      <c r="M2" s="1838"/>
    </row>
    <row r="3" spans="1:37" ht="18" customHeight="1" thickBot="1">
      <c r="A3" s="1847" t="s">
        <v>1513</v>
      </c>
      <c r="B3" s="1848">
        <f ca="1">IF(ISERROR(B2*10000/F43),0,ROUND(B2*10000/F43,0))</f>
        <v>3269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135</v>
      </c>
      <c r="D5" s="1820" t="s">
        <v>1398</v>
      </c>
      <c r="E5" s="1296"/>
      <c r="F5" s="1297"/>
      <c r="G5" s="1849"/>
      <c r="H5" s="344">
        <v>1</v>
      </c>
      <c r="I5" s="345" t="s">
        <v>1397</v>
      </c>
      <c r="J5" s="1295">
        <f ca="1">J6+J10+J12</f>
        <v>0</v>
      </c>
      <c r="K5" s="1820" t="s">
        <v>1398</v>
      </c>
      <c r="L5" s="1296"/>
      <c r="M5" s="1297"/>
    </row>
    <row r="6" spans="1:37" ht="18" customHeight="1">
      <c r="A6" s="1294" t="s">
        <v>1032</v>
      </c>
      <c r="B6" s="3164" t="s">
        <v>1399</v>
      </c>
      <c r="C6" s="1299">
        <f ca="1">ROUND(F6*F8*F7*(1-F9)/10000,0)</f>
        <v>135</v>
      </c>
      <c r="D6" s="164" t="s">
        <v>3031</v>
      </c>
      <c r="E6" s="347" t="s">
        <v>1401</v>
      </c>
      <c r="F6" s="348">
        <f ca="1">INDIRECT("'数据-取费表'!u"&amp;$G$1)</f>
        <v>1</v>
      </c>
      <c r="G6" s="1849"/>
      <c r="H6" s="1294" t="s">
        <v>1032</v>
      </c>
      <c r="I6" s="3164" t="s">
        <v>1399</v>
      </c>
      <c r="J6" s="346">
        <f ca="1">ROUND(M6*M8*M7*(1-M9)/10000,0)</f>
        <v>0</v>
      </c>
      <c r="K6" s="164" t="s">
        <v>3030</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4096.63</v>
      </c>
      <c r="G7" s="1849"/>
      <c r="H7" s="349"/>
      <c r="I7" s="3165"/>
      <c r="J7" s="351"/>
      <c r="K7" s="352"/>
      <c r="L7" s="347" t="s">
        <v>1402</v>
      </c>
      <c r="M7" s="348">
        <f ca="1">F7</f>
        <v>4096.63</v>
      </c>
    </row>
    <row r="8" spans="1:37" ht="18" customHeight="1">
      <c r="A8" s="349"/>
      <c r="B8" s="3165"/>
      <c r="C8" s="351"/>
      <c r="D8" s="352"/>
      <c r="E8" s="347" t="s">
        <v>1403</v>
      </c>
      <c r="F8" s="348">
        <f ca="1">INDIRECT("'数据-取费表'!ai"&amp;$G$1)</f>
        <v>365</v>
      </c>
      <c r="G8" s="1849"/>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v>
      </c>
      <c r="G9" s="1849"/>
      <c r="H9" s="349"/>
      <c r="I9" s="3166"/>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3040</v>
      </c>
      <c r="E10" s="358" t="s">
        <v>1406</v>
      </c>
      <c r="F10" s="1369" t="s">
        <v>3077</v>
      </c>
      <c r="G10" s="1849"/>
      <c r="H10" s="1294" t="s">
        <v>1036</v>
      </c>
      <c r="I10" s="1821" t="s">
        <v>1405</v>
      </c>
      <c r="J10" s="346">
        <f ca="1">ROUND(IF(M10="押一",J6/12*M11,IF(M10="押二",J6/12*2*M11,IF(M10="押三",J6/12*3*M11,J11*M11))),0)</f>
        <v>0</v>
      </c>
      <c r="K10" s="1822" t="s">
        <v>3039</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1277</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973</v>
      </c>
      <c r="D14" s="1798" t="s">
        <v>1414</v>
      </c>
      <c r="E14" s="1792"/>
      <c r="F14" s="364"/>
      <c r="G14" s="1849"/>
      <c r="H14" s="1204" t="s">
        <v>1032</v>
      </c>
      <c r="I14" s="347" t="s">
        <v>1415</v>
      </c>
      <c r="J14" s="24">
        <f ca="1">C29</f>
        <v>1388</v>
      </c>
      <c r="K14" s="15"/>
      <c r="L14" s="982"/>
      <c r="M14" s="983"/>
    </row>
    <row r="15" spans="1:37" s="1856" customFormat="1" ht="18" customHeight="1" thickBot="1">
      <c r="A15" s="1204" t="s">
        <v>1033</v>
      </c>
      <c r="B15" s="347" t="s">
        <v>1416</v>
      </c>
      <c r="C15" s="24">
        <f ca="1">ROUND(C14*F15,0)</f>
        <v>39</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33</v>
      </c>
      <c r="K16" s="1340" t="s">
        <v>1421</v>
      </c>
      <c r="L16" s="1341"/>
      <c r="M16" s="1297"/>
    </row>
    <row r="17" spans="1:37" s="1856" customFormat="1" ht="18" customHeight="1">
      <c r="A17" s="1204" t="s">
        <v>1386</v>
      </c>
      <c r="B17" s="347" t="s">
        <v>1422</v>
      </c>
      <c r="C17" s="24">
        <f ca="1">ROUND(F17*(F43+INDIRECT("'数据-取费表'!S"&amp;$G$1))/10000,0)</f>
        <v>82</v>
      </c>
      <c r="D17" s="347" t="s">
        <v>1423</v>
      </c>
      <c r="E17" s="347" t="s">
        <v>1424</v>
      </c>
      <c r="F17" s="26">
        <f>'数据-取费表'!B35</f>
        <v>200</v>
      </c>
      <c r="G17" s="1852"/>
      <c r="H17" s="1204" t="s">
        <v>1032</v>
      </c>
      <c r="I17" s="347" t="s">
        <v>1425</v>
      </c>
      <c r="J17" s="24">
        <f ca="1">ROUND(IF(项目基本情况!B11="自然人",J5*M17,J18+J19+J20),1)</f>
        <v>12.6</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15</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1109</v>
      </c>
      <c r="D19" s="140" t="s">
        <v>1432</v>
      </c>
      <c r="E19" s="1816"/>
      <c r="F19" s="26"/>
      <c r="G19" s="1849"/>
      <c r="H19" s="1204" t="s">
        <v>1033</v>
      </c>
      <c r="I19" s="347" t="s">
        <v>1433</v>
      </c>
      <c r="J19" s="24">
        <f ca="1">IF(K19="按租金收入计税",ROUND(J5*M19,2),ROUND(C29*M19*0.7,2))</f>
        <v>11.66</v>
      </c>
      <c r="K19" s="1826" t="s">
        <v>1434</v>
      </c>
      <c r="L19" s="347" t="s">
        <v>1418</v>
      </c>
      <c r="M19" s="367">
        <f>IF(K19="按租金收入计税",'数据-取费表'!B51,'数据-取费表'!B50)</f>
        <v>1.2E-2</v>
      </c>
    </row>
    <row r="20" spans="1:37" s="1856" customFormat="1" ht="18" customHeight="1">
      <c r="A20" s="1204" t="s">
        <v>1036</v>
      </c>
      <c r="B20" s="347" t="s">
        <v>1435</v>
      </c>
      <c r="C20" s="24">
        <f ca="1">ROUND(C19*F20,0)</f>
        <v>22</v>
      </c>
      <c r="D20" s="369" t="s">
        <v>1436</v>
      </c>
      <c r="E20" s="347" t="s">
        <v>1418</v>
      </c>
      <c r="F20" s="367">
        <f>'数据-取费表'!B37</f>
        <v>0.02</v>
      </c>
      <c r="G20" s="1852"/>
      <c r="H20" s="1204" t="s">
        <v>1385</v>
      </c>
      <c r="I20" s="164" t="s">
        <v>1437</v>
      </c>
      <c r="J20" s="25">
        <f ca="1">ROUND(M20*M21/10000,2)</f>
        <v>0.94</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6287.7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20.8</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-33</v>
      </c>
      <c r="K25" s="1348" t="s">
        <v>1460</v>
      </c>
      <c r="L25" s="1349"/>
      <c r="M25" s="1350"/>
    </row>
    <row r="26" spans="1:37">
      <c r="A26" s="1204" t="s">
        <v>1031</v>
      </c>
      <c r="B26" s="347" t="s">
        <v>1461</v>
      </c>
      <c r="C26" s="24">
        <f ca="1">ROUND((C19+C20)*F26,0)</f>
        <v>113</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1388</v>
      </c>
      <c r="D29" s="1345"/>
      <c r="E29" s="1343"/>
      <c r="F29" s="1346"/>
      <c r="G29" s="1852"/>
      <c r="H29" s="380" t="s">
        <v>1030</v>
      </c>
      <c r="I29" s="381" t="s">
        <v>1475</v>
      </c>
      <c r="J29" s="382">
        <f ca="1">ROUND(J26/(1+F40)^F41,0)</f>
        <v>0</v>
      </c>
      <c r="K29" s="383" t="s">
        <v>1476</v>
      </c>
      <c r="L29" s="384"/>
      <c r="M29" s="385">
        <f ca="1">INDIRECT("'数据-取费表'!k"&amp;$G$1)</f>
        <v>4096.63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48</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24.2</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IF(项目基本情况!B11="自然人","——",ROUND(C5*F32/(1+'数据-取费表'!C42),2))</f>
        <v>7.07</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16.2</v>
      </c>
      <c r="D33" s="1826" t="s">
        <v>3078</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0.94</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6287.7</v>
      </c>
      <c r="G35" s="1849"/>
      <c r="H35" s="745"/>
      <c r="I35" s="1858"/>
      <c r="J35" s="1859"/>
      <c r="K35" s="1860"/>
      <c r="L35" s="1857"/>
      <c r="M35" s="1857"/>
    </row>
    <row r="36" spans="1:18" ht="18" customHeight="1">
      <c r="A36" s="1355" t="s">
        <v>1036</v>
      </c>
      <c r="B36" s="347" t="s">
        <v>1445</v>
      </c>
      <c r="C36" s="24">
        <f ca="1">ROUND(C29*F36,1)</f>
        <v>20.8</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1.9</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1.4</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87</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1339</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3269</v>
      </c>
      <c r="D43" s="383" t="s">
        <v>1484</v>
      </c>
      <c r="E43" s="384" t="s">
        <v>1485</v>
      </c>
      <c r="F43" s="385">
        <f ca="1">INDIRECT("'数据-取费表'!k"&amp;$G$1)</f>
        <v>4096.63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-3493</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3060</v>
      </c>
      <c r="K47" s="1880" t="s">
        <v>1523</v>
      </c>
      <c r="L47" s="1881">
        <f ca="1">INDIRECT("'数据-取费表'!d"&amp;$G$1)</f>
        <v>50</v>
      </c>
      <c r="M47" s="1836" t="str">
        <f>IF(ISNUMBER(FIND("住宅",C1)),"住宅","非住宅")</f>
        <v>非住宅</v>
      </c>
      <c r="O47" s="1882" t="s">
        <v>1037</v>
      </c>
      <c r="P47" s="1883" t="s">
        <v>1524</v>
      </c>
      <c r="Q47" s="1884">
        <f ca="1">C40+J29</f>
        <v>1339</v>
      </c>
      <c r="R47" s="1884" t="s">
        <v>1525</v>
      </c>
    </row>
    <row r="48" spans="1:18" s="1840" customFormat="1" ht="28.5" thickBot="1">
      <c r="A48" s="1363" t="s">
        <v>1132</v>
      </c>
      <c r="B48" s="345" t="s">
        <v>1397</v>
      </c>
      <c r="C48" s="1815">
        <f ca="1">C49+C53+C55</f>
        <v>0</v>
      </c>
      <c r="D48" s="1365"/>
      <c r="E48" s="1366"/>
      <c r="F48" s="1184"/>
      <c r="G48" s="792"/>
      <c r="H48" s="793"/>
      <c r="I48" s="1885" t="s">
        <v>1526</v>
      </c>
      <c r="J48" s="1886" t="s">
        <v>3079</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3032</v>
      </c>
      <c r="E49" s="1828" t="s">
        <v>1487</v>
      </c>
      <c r="F49" s="1284"/>
      <c r="G49" s="1889"/>
      <c r="H49" s="793"/>
      <c r="I49" s="1885" t="s">
        <v>1530</v>
      </c>
      <c r="J49" s="1890">
        <v>2014</v>
      </c>
      <c r="K49" s="1887" t="s">
        <v>1531</v>
      </c>
      <c r="L49" s="1891"/>
      <c r="O49" s="1892" t="s">
        <v>1039</v>
      </c>
      <c r="P49" s="1883" t="s">
        <v>1532</v>
      </c>
      <c r="Q49" s="1884">
        <f ca="1">C29</f>
        <v>1388</v>
      </c>
      <c r="R49" s="1884" t="s">
        <v>1525</v>
      </c>
    </row>
    <row r="50" spans="1:18" s="1840" customFormat="1" ht="13.5" thickBot="1">
      <c r="A50" s="1198"/>
      <c r="B50" s="1201"/>
      <c r="C50" s="1371"/>
      <c r="D50" s="1175"/>
      <c r="E50" s="1280" t="s">
        <v>1402</v>
      </c>
      <c r="F50" s="1281">
        <f ca="1">F7</f>
        <v>4096.63</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-392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3039</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2" t="s">
        <v>1544</v>
      </c>
      <c r="L53" s="3163"/>
      <c r="O53" s="1882" t="s">
        <v>1043</v>
      </c>
      <c r="P53" s="1883" t="s">
        <v>1545</v>
      </c>
      <c r="Q53" s="1884">
        <f ca="1">Q47+Q48</f>
        <v>1339</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1277</v>
      </c>
      <c r="D56" s="1912"/>
      <c r="E56" s="1913"/>
      <c r="F56" s="1905"/>
      <c r="I56" s="1914" t="s">
        <v>1550</v>
      </c>
      <c r="J56" s="1915" t="s">
        <v>3069</v>
      </c>
      <c r="K56" s="1885" t="s">
        <v>1551</v>
      </c>
      <c r="L56" s="1888" t="str">
        <f ca="1">IF(L48&lt;J51,"——",L48-J53)</f>
        <v>——</v>
      </c>
      <c r="O56" s="1882" t="s">
        <v>1037</v>
      </c>
      <c r="P56" s="1883" t="s">
        <v>1524</v>
      </c>
      <c r="Q56" s="1884">
        <f ca="1">C40+J29</f>
        <v>1339</v>
      </c>
      <c r="R56" s="1884" t="s">
        <v>1525</v>
      </c>
    </row>
    <row r="57" spans="1:18" s="1840" customFormat="1" ht="24.75" thickBot="1">
      <c r="A57" s="1916"/>
      <c r="B57" s="1172" t="s">
        <v>1474</v>
      </c>
      <c r="C57" s="282">
        <f ca="1">C29</f>
        <v>1388</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140</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117.5</v>
      </c>
      <c r="D59" s="1185" t="s">
        <v>1426</v>
      </c>
      <c r="E59" s="1186"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116.59</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0.94</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1339</v>
      </c>
      <c r="R62" s="1884" t="s">
        <v>1044</v>
      </c>
    </row>
    <row r="63" spans="1:18" s="1840" customFormat="1" ht="13.5" thickBot="1">
      <c r="A63" s="372"/>
      <c r="B63" s="1178"/>
      <c r="C63" s="29"/>
      <c r="D63" s="1188"/>
      <c r="E63" s="1172" t="s">
        <v>1495</v>
      </c>
      <c r="F63" s="348">
        <f t="shared" ca="1" si="0"/>
        <v>6287.7</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20.8</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1.9</v>
      </c>
      <c r="D65" s="1186" t="s">
        <v>1450</v>
      </c>
      <c r="E65" s="1172" t="s">
        <v>1451</v>
      </c>
      <c r="F65" s="376">
        <f t="shared" ca="1" si="0"/>
        <v>1.5E-3</v>
      </c>
      <c r="I65" s="1927" t="s">
        <v>1575</v>
      </c>
      <c r="J65" s="1928">
        <v>40</v>
      </c>
      <c r="K65" s="1928">
        <v>30</v>
      </c>
      <c r="L65" s="1928">
        <v>50</v>
      </c>
      <c r="M65" s="1930">
        <v>0.02</v>
      </c>
      <c r="O65" s="1882" t="s">
        <v>1037</v>
      </c>
      <c r="P65" s="1883" t="s">
        <v>1576</v>
      </c>
      <c r="Q65" s="1884">
        <f ca="1">C40+J29</f>
        <v>1339</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-140</v>
      </c>
      <c r="D67" s="1185" t="s">
        <v>1460</v>
      </c>
      <c r="E67" s="1190"/>
      <c r="F67" s="1191"/>
      <c r="O67" s="1892" t="s">
        <v>1039</v>
      </c>
      <c r="P67" s="1883" t="s">
        <v>1558</v>
      </c>
      <c r="Q67" s="1931">
        <f ca="1">L51</f>
        <v>-392</v>
      </c>
      <c r="R67" s="1884" t="s">
        <v>1578</v>
      </c>
    </row>
    <row r="68" spans="1:18" s="1840" customFormat="1" ht="16.5" thickBot="1">
      <c r="A68" s="1169" t="s">
        <v>1029</v>
      </c>
      <c r="B68" s="1170" t="s">
        <v>1481</v>
      </c>
      <c r="C68" s="346">
        <f ca="1">ROUND(C67*(1-((1+F70)/(1+F68))^F69)/(F68-F70),0)</f>
        <v>-2154</v>
      </c>
      <c r="D68" s="1187" t="s">
        <v>1465</v>
      </c>
      <c r="E68" s="1172" t="s">
        <v>1466</v>
      </c>
      <c r="F68" s="357">
        <f ca="1">F40</f>
        <v>0.06</v>
      </c>
      <c r="O68" s="1892" t="s">
        <v>1040</v>
      </c>
      <c r="P68" s="1932" t="s">
        <v>1579</v>
      </c>
      <c r="Q68" s="1884">
        <f ca="1">ROUND(Q69-Q70*Q71,0)</f>
        <v>-22</v>
      </c>
      <c r="R68" s="1884" t="s">
        <v>1048</v>
      </c>
    </row>
    <row r="69" spans="1:18" s="1840" customFormat="1" ht="13.5" thickBot="1">
      <c r="A69" s="1173"/>
      <c r="B69" s="1174"/>
      <c r="C69" s="351"/>
      <c r="D69" s="1192" t="s">
        <v>1469</v>
      </c>
      <c r="E69" s="1172" t="s">
        <v>1470</v>
      </c>
      <c r="F69" s="379">
        <f ca="1">F41</f>
        <v>44.04</v>
      </c>
      <c r="O69" s="1892" t="s">
        <v>1045</v>
      </c>
      <c r="P69" s="1932" t="s">
        <v>1580</v>
      </c>
      <c r="Q69" s="1884">
        <f ca="1">C39</f>
        <v>87</v>
      </c>
      <c r="R69" s="1884" t="s">
        <v>1525</v>
      </c>
    </row>
    <row r="70" spans="1:18" s="1840" customFormat="1" ht="13.5" thickBot="1">
      <c r="A70" s="1176"/>
      <c r="B70" s="1177"/>
      <c r="C70" s="355"/>
      <c r="D70" s="1188"/>
      <c r="E70" s="1172" t="s">
        <v>1473</v>
      </c>
      <c r="F70" s="1278"/>
      <c r="O70" s="1892" t="s">
        <v>1046</v>
      </c>
      <c r="P70" s="1932" t="s">
        <v>1581</v>
      </c>
      <c r="Q70" s="1884">
        <f ca="1">C13</f>
        <v>1277</v>
      </c>
      <c r="R70" s="1884" t="s">
        <v>1525</v>
      </c>
    </row>
    <row r="71" spans="1:18" s="1840" customFormat="1" ht="13.5" thickBot="1">
      <c r="A71" s="1193" t="s">
        <v>1030</v>
      </c>
      <c r="B71" s="1194" t="s">
        <v>1483</v>
      </c>
      <c r="C71" s="382">
        <f ca="1">ROUND(C68*10000/F71,0)</f>
        <v>-5258</v>
      </c>
      <c r="D71" s="1195" t="s">
        <v>1484</v>
      </c>
      <c r="E71" s="1196" t="s">
        <v>1485</v>
      </c>
      <c r="F71" s="385">
        <f ca="1">F43</f>
        <v>4096.63</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v>
      </c>
      <c r="D75" s="1840"/>
      <c r="E75" s="1840"/>
      <c r="F75" s="1840"/>
      <c r="K75" s="1866"/>
      <c r="L75" s="1840"/>
      <c r="O75" s="1882" t="s">
        <v>1043</v>
      </c>
      <c r="P75" s="1883" t="s">
        <v>1545</v>
      </c>
      <c r="Q75" s="1884">
        <f ca="1">Q65+Q66</f>
        <v>1339</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-0.25299999999999989</v>
      </c>
    </row>
    <row r="80" spans="1:18">
      <c r="B80" s="386" t="s">
        <v>1507</v>
      </c>
      <c r="C80" s="318">
        <f ca="1">ROUND(C75/C39,3)</f>
        <v>1.2529999999999999</v>
      </c>
    </row>
    <row r="81" spans="2:3">
      <c r="B81" s="314" t="s">
        <v>1508</v>
      </c>
      <c r="C81" s="282"/>
    </row>
    <row r="82" spans="2:3">
      <c r="B82" s="317" t="s">
        <v>1509</v>
      </c>
      <c r="C82" s="319">
        <f ca="1">1-C83</f>
        <v>4.6000000000000041E-2</v>
      </c>
    </row>
    <row r="83" spans="2:3">
      <c r="B83" s="317" t="s">
        <v>1510</v>
      </c>
      <c r="C83" s="318">
        <f ca="1">ROUND(C13/C40,3)</f>
        <v>0.95399999999999996</v>
      </c>
    </row>
  </sheetData>
  <sheetProtection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4" t="s">
        <v>1399</v>
      </c>
      <c r="C6" s="1299">
        <f ca="1">ROUND(F6*F8*F7*(1-F9),0)</f>
        <v>0</v>
      </c>
      <c r="D6" s="164" t="s">
        <v>3028</v>
      </c>
      <c r="E6" s="347" t="s">
        <v>1401</v>
      </c>
      <c r="F6" s="348">
        <f ca="1">INDIRECT("'数据-取费表'!u"&amp;$G$1)</f>
        <v>0</v>
      </c>
      <c r="G6" s="1849"/>
      <c r="H6" s="1294" t="s">
        <v>1032</v>
      </c>
      <c r="I6" s="3164" t="s">
        <v>1399</v>
      </c>
      <c r="J6" s="346">
        <f ca="1">ROUND(M6*M8*M7*(1-M9),0)</f>
        <v>0</v>
      </c>
      <c r="K6" s="1832" t="s">
        <v>3029</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0</v>
      </c>
      <c r="G7" s="1849"/>
      <c r="H7" s="349"/>
      <c r="I7" s="3165"/>
      <c r="J7" s="351"/>
      <c r="K7" s="352"/>
      <c r="L7" s="347" t="s">
        <v>1402</v>
      </c>
      <c r="M7" s="348">
        <f ca="1">F7</f>
        <v>0</v>
      </c>
    </row>
    <row r="8" spans="1:37" ht="18" customHeight="1">
      <c r="A8" s="349"/>
      <c r="B8" s="3165"/>
      <c r="C8" s="351"/>
      <c r="D8" s="352"/>
      <c r="E8" s="347" t="s">
        <v>1403</v>
      </c>
      <c r="F8" s="348">
        <f ca="1">INDIRECT("'数据-取费表'!ai"&amp;$G$1)</f>
        <v>0</v>
      </c>
      <c r="G8" s="1849"/>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49"/>
      <c r="H9" s="349"/>
      <c r="I9" s="3166"/>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3039</v>
      </c>
      <c r="E10" s="358" t="s">
        <v>1406</v>
      </c>
      <c r="F10" s="1369"/>
      <c r="G10" s="1849"/>
      <c r="H10" s="1294" t="s">
        <v>1036</v>
      </c>
      <c r="I10" s="1821" t="s">
        <v>1405</v>
      </c>
      <c r="J10" s="346">
        <f ca="1">ROUND(IF(M10="押一",J6/12*M11,IF(M10="押二",J6/12*2*M11,IF(M10="押三",J6/12*3*M11,J11*M11))),0)</f>
        <v>0</v>
      </c>
      <c r="K10" s="1833" t="s">
        <v>3041</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3042</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2" t="s">
        <v>1544</v>
      </c>
      <c r="L53" s="3163"/>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73" t="s">
        <v>1074</v>
      </c>
      <c r="B2" s="3174" t="s">
        <v>1075</v>
      </c>
      <c r="C2" s="3174"/>
      <c r="D2" s="1304" t="s">
        <v>1076</v>
      </c>
      <c r="E2" s="1304" t="s">
        <v>1077</v>
      </c>
      <c r="F2" s="1304" t="s">
        <v>1078</v>
      </c>
      <c r="G2" s="1304" t="s">
        <v>1079</v>
      </c>
      <c r="H2" s="1304" t="s">
        <v>1080</v>
      </c>
      <c r="I2" s="1305" t="s">
        <v>1081</v>
      </c>
    </row>
    <row r="3" spans="1:9">
      <c r="A3" s="3173"/>
      <c r="B3" s="3174" t="s">
        <v>1082</v>
      </c>
      <c r="C3" s="3174"/>
      <c r="D3" s="1306"/>
      <c r="E3" s="1304"/>
      <c r="F3" s="1307"/>
      <c r="G3" s="1307"/>
      <c r="H3" s="1308"/>
      <c r="I3" s="1309">
        <f>ROUND(D3*E3*F3*G3*H3/10000,0)</f>
        <v>0</v>
      </c>
    </row>
    <row r="4" spans="1:9">
      <c r="A4" s="3173"/>
      <c r="B4" s="3174" t="s">
        <v>1083</v>
      </c>
      <c r="C4" s="3174"/>
      <c r="D4" s="1306"/>
      <c r="E4" s="1304"/>
      <c r="F4" s="1307"/>
      <c r="G4" s="1307"/>
      <c r="H4" s="1308"/>
      <c r="I4" s="1309">
        <f t="shared" ref="I4:I9" si="0">ROUND(D4*E4*F4*G4*H4/10000,0)</f>
        <v>0</v>
      </c>
    </row>
    <row r="5" spans="1:9">
      <c r="A5" s="3173"/>
      <c r="B5" s="3174" t="s">
        <v>1084</v>
      </c>
      <c r="C5" s="3174"/>
      <c r="D5" s="1306"/>
      <c r="E5" s="1304"/>
      <c r="F5" s="1307"/>
      <c r="G5" s="1307"/>
      <c r="H5" s="1308"/>
      <c r="I5" s="1309">
        <f t="shared" si="0"/>
        <v>0</v>
      </c>
    </row>
    <row r="6" spans="1:9">
      <c r="A6" s="3173"/>
      <c r="B6" s="3174" t="s">
        <v>1085</v>
      </c>
      <c r="C6" s="3174"/>
      <c r="D6" s="1306"/>
      <c r="E6" s="1304"/>
      <c r="F6" s="1307"/>
      <c r="G6" s="1307"/>
      <c r="H6" s="1308"/>
      <c r="I6" s="1309">
        <f t="shared" si="0"/>
        <v>0</v>
      </c>
    </row>
    <row r="7" spans="1:9">
      <c r="A7" s="3173"/>
      <c r="B7" s="3174" t="s">
        <v>1086</v>
      </c>
      <c r="C7" s="3174"/>
      <c r="D7" s="1306"/>
      <c r="E7" s="1304"/>
      <c r="F7" s="1307"/>
      <c r="G7" s="1307"/>
      <c r="H7" s="1308"/>
      <c r="I7" s="1309">
        <f t="shared" si="0"/>
        <v>0</v>
      </c>
    </row>
    <row r="8" spans="1:9">
      <c r="A8" s="3173"/>
      <c r="B8" s="3174" t="s">
        <v>1087</v>
      </c>
      <c r="C8" s="3174"/>
      <c r="D8" s="1306"/>
      <c r="E8" s="1304"/>
      <c r="F8" s="1307"/>
      <c r="G8" s="1307"/>
      <c r="H8" s="1308"/>
      <c r="I8" s="1309">
        <f t="shared" si="0"/>
        <v>0</v>
      </c>
    </row>
    <row r="9" spans="1:9">
      <c r="A9" s="3173"/>
      <c r="B9" s="3174" t="s">
        <v>1088</v>
      </c>
      <c r="C9" s="3174"/>
      <c r="D9" s="1306"/>
      <c r="E9" s="1304"/>
      <c r="F9" s="1307"/>
      <c r="G9" s="1307"/>
      <c r="H9" s="1308"/>
      <c r="I9" s="1309">
        <f t="shared" si="0"/>
        <v>0</v>
      </c>
    </row>
    <row r="10" spans="1:9">
      <c r="A10" s="3173"/>
      <c r="B10" s="3175" t="s">
        <v>1089</v>
      </c>
      <c r="C10" s="3175"/>
      <c r="D10" s="1310"/>
      <c r="E10" s="1310" t="e">
        <f>ROUND(D1*10000/D10/H9,0)</f>
        <v>#DIV/0!</v>
      </c>
      <c r="F10" s="1311"/>
      <c r="G10" s="1311"/>
      <c r="H10" s="1312"/>
      <c r="I10" s="1313">
        <f>SUM(I3:I9)</f>
        <v>0</v>
      </c>
    </row>
    <row r="11" spans="1:9" ht="14.25">
      <c r="A11" s="3173" t="s">
        <v>1090</v>
      </c>
      <c r="B11" s="3174" t="s">
        <v>1091</v>
      </c>
      <c r="C11" s="3174"/>
      <c r="D11" s="1306" t="s">
        <v>1092</v>
      </c>
      <c r="E11" s="1306" t="s">
        <v>1093</v>
      </c>
      <c r="F11" s="1307" t="s">
        <v>1094</v>
      </c>
      <c r="G11" s="1307" t="s">
        <v>1080</v>
      </c>
      <c r="H11" s="1314" t="s">
        <v>1095</v>
      </c>
      <c r="I11" s="1305" t="s">
        <v>1081</v>
      </c>
    </row>
    <row r="12" spans="1:9">
      <c r="A12" s="3173"/>
      <c r="B12" s="3174" t="s">
        <v>1096</v>
      </c>
      <c r="C12" s="3174"/>
      <c r="D12" s="1306"/>
      <c r="E12" s="1306"/>
      <c r="F12" s="1307"/>
      <c r="G12" s="1308"/>
      <c r="H12" s="1315"/>
      <c r="I12" s="1305">
        <f>ROUND(D12*E12*F12*G12/10000,0)</f>
        <v>0</v>
      </c>
    </row>
    <row r="13" spans="1:9">
      <c r="A13" s="3173"/>
      <c r="B13" s="3174" t="s">
        <v>1097</v>
      </c>
      <c r="C13" s="3174"/>
      <c r="D13" s="1306"/>
      <c r="E13" s="1306"/>
      <c r="F13" s="1307"/>
      <c r="G13" s="1308"/>
      <c r="H13" s="1315"/>
      <c r="I13" s="1305">
        <f>ROUND(D13*E13*F13*G13/10000,0)</f>
        <v>0</v>
      </c>
    </row>
    <row r="14" spans="1:9">
      <c r="A14" s="3173"/>
      <c r="B14" s="3174" t="s">
        <v>1098</v>
      </c>
      <c r="C14" s="3174"/>
      <c r="D14" s="1306"/>
      <c r="E14" s="1306"/>
      <c r="F14" s="1307"/>
      <c r="G14" s="1308"/>
      <c r="H14" s="1315"/>
      <c r="I14" s="1305">
        <f>ROUND(D14*E14*F14*G14/10000,0)</f>
        <v>0</v>
      </c>
    </row>
    <row r="15" spans="1:9">
      <c r="A15" s="3173"/>
      <c r="B15" s="3175" t="s">
        <v>1089</v>
      </c>
      <c r="C15" s="3175"/>
      <c r="D15" s="1310"/>
      <c r="E15" s="1310">
        <f>SUM(E12:E14)</f>
        <v>0</v>
      </c>
      <c r="F15" s="1311"/>
      <c r="G15" s="1308"/>
      <c r="H15" s="1315"/>
      <c r="I15" s="1316">
        <f>SUM(I12:I14)</f>
        <v>0</v>
      </c>
    </row>
    <row r="16" spans="1:9" ht="24">
      <c r="A16" s="3173" t="s">
        <v>1099</v>
      </c>
      <c r="B16" s="3174" t="s">
        <v>1100</v>
      </c>
      <c r="C16" s="3174"/>
      <c r="D16" s="1306" t="s">
        <v>1076</v>
      </c>
      <c r="E16" s="1317" t="s">
        <v>1101</v>
      </c>
      <c r="F16" s="1307" t="s">
        <v>1102</v>
      </c>
      <c r="G16" s="1308" t="s">
        <v>1080</v>
      </c>
      <c r="H16" s="1314" t="s">
        <v>1095</v>
      </c>
      <c r="I16" s="1305" t="s">
        <v>1081</v>
      </c>
    </row>
    <row r="17" spans="1:9" ht="14.25">
      <c r="A17" s="3173"/>
      <c r="B17" s="3174" t="s">
        <v>1103</v>
      </c>
      <c r="C17" s="3174"/>
      <c r="D17" s="1306"/>
      <c r="E17" s="1306"/>
      <c r="F17" s="1307"/>
      <c r="G17" s="1308"/>
      <c r="H17" s="1318"/>
      <c r="I17" s="1319">
        <f>ROUND(D17*E17*F17*G17/10000,0)</f>
        <v>0</v>
      </c>
    </row>
    <row r="18" spans="1:9" ht="14.25">
      <c r="A18" s="3173"/>
      <c r="B18" s="3174" t="s">
        <v>1104</v>
      </c>
      <c r="C18" s="3174"/>
      <c r="D18" s="1306"/>
      <c r="E18" s="1306"/>
      <c r="F18" s="1307"/>
      <c r="G18" s="1308"/>
      <c r="H18" s="1318"/>
      <c r="I18" s="1319">
        <f>ROUND(D18*E18*F18*G18/10000,0)</f>
        <v>0</v>
      </c>
    </row>
    <row r="19" spans="1:9" ht="14.25">
      <c r="A19" s="3173"/>
      <c r="B19" s="3174" t="s">
        <v>1105</v>
      </c>
      <c r="C19" s="3174"/>
      <c r="D19" s="1306"/>
      <c r="E19" s="1306"/>
      <c r="F19" s="1307"/>
      <c r="G19" s="1308"/>
      <c r="H19" s="1318"/>
      <c r="I19" s="1319">
        <f>ROUND(D19*E19*F19*G19/10000,0)</f>
        <v>0</v>
      </c>
    </row>
    <row r="20" spans="1:9">
      <c r="A20" s="3173"/>
      <c r="B20" s="3175" t="s">
        <v>1089</v>
      </c>
      <c r="C20" s="3175"/>
      <c r="D20" s="1310">
        <f>SUM(D17:D19)</f>
        <v>0</v>
      </c>
      <c r="E20" s="1310"/>
      <c r="F20" s="1311"/>
      <c r="G20" s="1308"/>
      <c r="H20" s="1315"/>
      <c r="I20" s="1316">
        <f>SUM(I17:I19)</f>
        <v>0</v>
      </c>
    </row>
    <row r="21" spans="1:9">
      <c r="A21" s="3173" t="s">
        <v>1106</v>
      </c>
      <c r="B21" s="3176"/>
      <c r="C21" s="3176"/>
      <c r="D21" s="3176"/>
      <c r="E21" s="3176"/>
      <c r="F21" s="3176"/>
      <c r="G21" s="3176"/>
      <c r="H21" s="1763">
        <v>0.1</v>
      </c>
      <c r="I21" s="1313">
        <f>ROUND(I10*H21,0)</f>
        <v>0</v>
      </c>
    </row>
    <row r="22" spans="1:9" ht="14.25">
      <c r="A22" s="3177" t="s">
        <v>1107</v>
      </c>
      <c r="B22" s="3178"/>
      <c r="C22" s="3179"/>
      <c r="D22" s="1320" t="s">
        <v>1108</v>
      </c>
      <c r="E22" s="1320" t="s">
        <v>1109</v>
      </c>
      <c r="F22" s="1321" t="s">
        <v>1110</v>
      </c>
      <c r="G22" s="1321" t="s">
        <v>1111</v>
      </c>
      <c r="H22" s="1314" t="s">
        <v>1112</v>
      </c>
      <c r="I22" s="1305" t="s">
        <v>1113</v>
      </c>
    </row>
    <row r="23" spans="1:9" ht="14.25" thickBot="1">
      <c r="A23" s="3180"/>
      <c r="B23" s="3181"/>
      <c r="C23" s="3182"/>
      <c r="D23" s="1322"/>
      <c r="E23" s="1322"/>
      <c r="F23" s="1322"/>
      <c r="G23" s="1323"/>
      <c r="H23" s="1324"/>
      <c r="I23" s="1325">
        <f>ROUND(E23*D23*F23*(1-G23)/10000,0)</f>
        <v>0</v>
      </c>
    </row>
    <row r="26" spans="1:9">
      <c r="A26" s="1326" t="s">
        <v>1114</v>
      </c>
      <c r="B26" s="1326"/>
      <c r="C26" s="1326"/>
      <c r="D26" s="1326"/>
      <c r="E26" s="3170">
        <f>C27-C30-C31-C32</f>
        <v>0</v>
      </c>
      <c r="F26" s="3170"/>
      <c r="G26" s="3170"/>
      <c r="H26" s="1735" t="s">
        <v>1336</v>
      </c>
    </row>
    <row r="27" spans="1:9">
      <c r="A27" s="1327">
        <v>1</v>
      </c>
      <c r="B27" s="1328" t="s">
        <v>1115</v>
      </c>
      <c r="C27" s="1328">
        <f>C28+C29</f>
        <v>0</v>
      </c>
      <c r="D27" s="1328"/>
      <c r="E27" s="3171"/>
      <c r="F27" s="3171"/>
      <c r="G27" s="3171"/>
    </row>
    <row r="28" spans="1:9">
      <c r="A28" s="1329" t="s">
        <v>1116</v>
      </c>
      <c r="B28" s="1328" t="s">
        <v>1117</v>
      </c>
      <c r="C28" s="1328"/>
      <c r="D28" s="1328"/>
      <c r="E28" s="3171"/>
      <c r="F28" s="3171"/>
      <c r="G28" s="317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2"/>
      <c r="F32" s="3172"/>
      <c r="G32" s="3172"/>
    </row>
    <row r="33" spans="1:7" hidden="1">
      <c r="A33" s="3167" t="s">
        <v>1126</v>
      </c>
      <c r="B33" s="3168"/>
      <c r="C33" s="3168"/>
      <c r="D33" s="3169"/>
      <c r="E33" s="3170"/>
      <c r="F33" s="3170"/>
      <c r="G33" s="3170"/>
    </row>
    <row r="34" spans="1:7" hidden="1">
      <c r="A34" s="1331">
        <v>1</v>
      </c>
      <c r="B34" s="1328" t="s">
        <v>1127</v>
      </c>
      <c r="C34" s="1328"/>
      <c r="D34" s="1328"/>
      <c r="E34" s="3171"/>
      <c r="F34" s="3171"/>
      <c r="G34" s="3171"/>
    </row>
    <row r="35" spans="1:7" hidden="1">
      <c r="A35" s="1331">
        <v>2</v>
      </c>
      <c r="B35" s="1328" t="s">
        <v>1128</v>
      </c>
      <c r="C35" s="1328"/>
      <c r="D35" s="1328"/>
      <c r="E35" s="3171"/>
      <c r="F35" s="3171"/>
      <c r="G35" s="3171"/>
    </row>
    <row r="36" spans="1:7" hidden="1">
      <c r="A36" s="1331">
        <v>3</v>
      </c>
      <c r="B36" s="1328" t="s">
        <v>1129</v>
      </c>
      <c r="C36" s="1328"/>
      <c r="D36" s="1328"/>
      <c r="E36" s="3171"/>
      <c r="F36" s="3171"/>
      <c r="G36" s="3171"/>
    </row>
    <row r="37" spans="1:7" hidden="1">
      <c r="A37" s="1331">
        <v>4</v>
      </c>
      <c r="B37" s="1328" t="s">
        <v>1130</v>
      </c>
      <c r="C37" s="1328"/>
      <c r="D37" s="1328"/>
      <c r="E37" s="3171"/>
      <c r="F37" s="3171"/>
      <c r="G37" s="3171"/>
    </row>
    <row r="38" spans="1:7" hidden="1">
      <c r="A38" s="3167" t="s">
        <v>1131</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82" t="s">
        <v>2528</v>
      </c>
      <c r="C1" s="1632" t="s">
        <v>2529</v>
      </c>
      <c r="D1" s="1619"/>
      <c r="E1" s="2583"/>
      <c r="F1" s="2584" t="s">
        <v>2530</v>
      </c>
      <c r="G1" s="1629" t="s">
        <v>2531</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6"/>
      <c r="D2" s="1368" t="e">
        <f ca="1">SUMIF(INDIRECT("'"&amp;F2&amp;"'"&amp;"!A:A"),"承租人权益价值",INDIRECT("'"&amp;F2&amp;"'"&amp;"!c:c"))</f>
        <v>#REF!</v>
      </c>
      <c r="E2" s="2587" t="s">
        <v>2532</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2533</v>
      </c>
      <c r="D3" s="399">
        <f>IF(D1="",'数据-汇总表'!E3,SUMIF('数据-汇总表'!$C19:$C33,D1,'数据-汇总表'!$E19:$E33))</f>
        <v>4096.63</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2534</v>
      </c>
      <c r="B4" s="402"/>
      <c r="C4" s="3206" t="s">
        <v>2535</v>
      </c>
      <c r="D4" s="3207"/>
      <c r="E4" s="3208" t="s">
        <v>2536</v>
      </c>
      <c r="F4" s="3209"/>
      <c r="G4" s="3206" t="s">
        <v>2537</v>
      </c>
      <c r="H4" s="3207"/>
      <c r="I4" s="3206" t="s">
        <v>2538</v>
      </c>
      <c r="J4" s="3207"/>
      <c r="K4" s="2596" t="s">
        <v>2539</v>
      </c>
      <c r="L4" s="1133"/>
      <c r="M4" s="1134"/>
      <c r="N4" s="1134"/>
      <c r="O4" s="1134"/>
      <c r="P4" s="3210" t="s">
        <v>2540</v>
      </c>
      <c r="Q4" s="3211"/>
      <c r="R4" s="3216" t="s">
        <v>2536</v>
      </c>
      <c r="S4" s="3217"/>
      <c r="T4" s="3216" t="s">
        <v>2537</v>
      </c>
      <c r="U4" s="3217"/>
      <c r="V4" s="3222" t="s">
        <v>2538</v>
      </c>
      <c r="W4" s="3222"/>
      <c r="X4" s="1811"/>
      <c r="Y4" s="3216" t="s">
        <v>2540</v>
      </c>
      <c r="Z4" s="3217"/>
      <c r="AA4" s="3203" t="s">
        <v>2536</v>
      </c>
      <c r="AB4" s="3203" t="s">
        <v>2537</v>
      </c>
      <c r="AC4" s="3203" t="s">
        <v>2538</v>
      </c>
    </row>
    <row r="5" spans="1:29" ht="15">
      <c r="A5" s="404"/>
      <c r="B5" s="405"/>
      <c r="C5" s="3225" t="s">
        <v>2541</v>
      </c>
      <c r="D5" s="3226"/>
      <c r="E5" s="3232" t="s">
        <v>2542</v>
      </c>
      <c r="F5" s="3233"/>
      <c r="G5" s="3225" t="s">
        <v>2543</v>
      </c>
      <c r="H5" s="3226"/>
      <c r="I5" s="3225" t="s">
        <v>2544</v>
      </c>
      <c r="J5" s="3226"/>
      <c r="K5" s="2597"/>
      <c r="L5" s="1133"/>
      <c r="M5" s="1134"/>
      <c r="N5" s="1134"/>
      <c r="O5" s="1134"/>
      <c r="P5" s="3212"/>
      <c r="Q5" s="3213"/>
      <c r="R5" s="3218"/>
      <c r="S5" s="3219"/>
      <c r="T5" s="3218"/>
      <c r="U5" s="3219"/>
      <c r="V5" s="3222"/>
      <c r="W5" s="3222"/>
      <c r="X5" s="1811"/>
      <c r="Y5" s="3218"/>
      <c r="Z5" s="3219"/>
      <c r="AA5" s="3204"/>
      <c r="AB5" s="3204"/>
      <c r="AC5" s="3204"/>
    </row>
    <row r="6" spans="1:29" ht="15.75" thickBot="1">
      <c r="A6" s="406"/>
      <c r="B6" s="407"/>
      <c r="C6" s="3223" t="s">
        <v>2545</v>
      </c>
      <c r="D6" s="3224"/>
      <c r="E6" s="3230" t="s">
        <v>2545</v>
      </c>
      <c r="F6" s="3231"/>
      <c r="G6" s="3223" t="s">
        <v>2545</v>
      </c>
      <c r="H6" s="3224"/>
      <c r="I6" s="3223" t="s">
        <v>2545</v>
      </c>
      <c r="J6" s="3224"/>
      <c r="K6" s="2597" t="s">
        <v>2546</v>
      </c>
      <c r="L6" s="1133"/>
      <c r="M6" s="1134"/>
      <c r="N6" s="1134"/>
      <c r="O6" s="1134"/>
      <c r="P6" s="3214"/>
      <c r="Q6" s="3215"/>
      <c r="R6" s="3218"/>
      <c r="S6" s="3219"/>
      <c r="T6" s="3220"/>
      <c r="U6" s="3221"/>
      <c r="V6" s="3222"/>
      <c r="W6" s="3222"/>
      <c r="X6" s="1811"/>
      <c r="Y6" s="3220"/>
      <c r="Z6" s="3221"/>
      <c r="AA6" s="3205"/>
      <c r="AB6" s="3205"/>
      <c r="AC6" s="3205"/>
    </row>
    <row r="7" spans="1:29" s="117" customFormat="1" ht="15.75" thickBot="1">
      <c r="A7" s="408" t="s">
        <v>2547</v>
      </c>
      <c r="B7" s="409"/>
      <c r="C7" s="410">
        <f>'数据-取费表'!B2</f>
        <v>43594</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27" t="s">
        <v>2548</v>
      </c>
      <c r="Q7" s="3229"/>
      <c r="R7" s="770" t="s">
        <v>23</v>
      </c>
      <c r="S7" s="771">
        <f t="shared" ref="S7:S15" si="0">F7</f>
        <v>0</v>
      </c>
      <c r="T7" s="770" t="s">
        <v>23</v>
      </c>
      <c r="U7" s="771">
        <f t="shared" ref="U7:U15" si="1">H7</f>
        <v>0</v>
      </c>
      <c r="V7" s="770" t="s">
        <v>23</v>
      </c>
      <c r="W7" s="771">
        <f t="shared" ref="W7:W15" si="2">J7</f>
        <v>0</v>
      </c>
      <c r="X7" s="772"/>
      <c r="Y7" s="3227" t="s">
        <v>2548</v>
      </c>
      <c r="Z7" s="3228"/>
      <c r="AA7" s="773" t="e">
        <f>D7/F7</f>
        <v>#DIV/0!</v>
      </c>
      <c r="AB7" s="773" t="e">
        <f>D7/H7</f>
        <v>#DIV/0!</v>
      </c>
      <c r="AC7" s="773" t="e">
        <f>D7/J7</f>
        <v>#DIV/0!</v>
      </c>
    </row>
    <row r="8" spans="1:29" s="117" customFormat="1" ht="15.75" thickBot="1">
      <c r="A8" s="408" t="s">
        <v>2549</v>
      </c>
      <c r="B8" s="409"/>
      <c r="C8" s="414" t="s">
        <v>2550</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27" t="s">
        <v>2551</v>
      </c>
      <c r="Q8" s="3228"/>
      <c r="R8" s="770" t="s">
        <v>23</v>
      </c>
      <c r="S8" s="771">
        <f t="shared" si="0"/>
        <v>0</v>
      </c>
      <c r="T8" s="770" t="s">
        <v>23</v>
      </c>
      <c r="U8" s="771">
        <f t="shared" si="1"/>
        <v>0</v>
      </c>
      <c r="V8" s="770" t="s">
        <v>23</v>
      </c>
      <c r="W8" s="771">
        <f t="shared" si="2"/>
        <v>0</v>
      </c>
      <c r="X8" s="772"/>
      <c r="Y8" s="3227" t="s">
        <v>2551</v>
      </c>
      <c r="Z8" s="322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2"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3"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2"/>
      <c r="Q12" s="1793">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2"/>
      <c r="Q13" s="1793">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2"/>
      <c r="Q14" s="1793">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2558</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2559</v>
      </c>
      <c r="Q15" s="1808" t="str">
        <f t="shared" si="6"/>
        <v>居住社区成熟度</v>
      </c>
      <c r="R15" s="774" t="s">
        <v>21</v>
      </c>
      <c r="S15" s="775">
        <f t="shared" si="0"/>
        <v>100</v>
      </c>
      <c r="T15" s="774" t="s">
        <v>21</v>
      </c>
      <c r="U15" s="775">
        <f t="shared" si="1"/>
        <v>100</v>
      </c>
      <c r="V15" s="774" t="s">
        <v>21</v>
      </c>
      <c r="W15" s="775">
        <f t="shared" si="2"/>
        <v>100</v>
      </c>
      <c r="X15" s="1811"/>
      <c r="Y15" s="3193" t="s">
        <v>2559</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43"/>
      <c r="M16" s="1134"/>
      <c r="N16" s="1134"/>
      <c r="O16" s="1134"/>
      <c r="P16" s="3201"/>
      <c r="Q16" s="1808"/>
      <c r="R16" s="774"/>
      <c r="S16" s="775"/>
      <c r="T16" s="774"/>
      <c r="U16" s="775"/>
      <c r="V16" s="774"/>
      <c r="W16" s="775"/>
      <c r="X16" s="1811"/>
      <c r="Y16" s="3194"/>
      <c r="Z16" s="1812"/>
      <c r="AA16" s="1809">
        <v>1</v>
      </c>
      <c r="AB16" s="1809">
        <v>1</v>
      </c>
      <c r="AC16" s="1809">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08" t="str">
        <f>B17</f>
        <v>交通便捷度</v>
      </c>
      <c r="R17" s="774" t="s">
        <v>21</v>
      </c>
      <c r="S17" s="775">
        <f>F17</f>
        <v>100</v>
      </c>
      <c r="T17" s="774" t="s">
        <v>21</v>
      </c>
      <c r="U17" s="775">
        <f>H17</f>
        <v>100</v>
      </c>
      <c r="V17" s="774" t="s">
        <v>21</v>
      </c>
      <c r="W17" s="775">
        <f>J17</f>
        <v>100</v>
      </c>
      <c r="X17" s="1811"/>
      <c r="Y17" s="3194"/>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43"/>
      <c r="M18" s="1134"/>
      <c r="N18" s="1134"/>
      <c r="O18" s="1134"/>
      <c r="P18" s="3201"/>
      <c r="Q18" s="1808"/>
      <c r="R18" s="774"/>
      <c r="S18" s="775"/>
      <c r="T18" s="774"/>
      <c r="U18" s="775"/>
      <c r="V18" s="774"/>
      <c r="W18" s="775"/>
      <c r="X18" s="1811"/>
      <c r="Y18" s="3194"/>
      <c r="Z18" s="1812"/>
      <c r="AA18" s="1809">
        <v>1</v>
      </c>
      <c r="AB18" s="1809">
        <v>1</v>
      </c>
      <c r="AC18" s="1809">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08" t="str">
        <f>B19</f>
        <v>公共配套设施</v>
      </c>
      <c r="R19" s="774" t="s">
        <v>21</v>
      </c>
      <c r="S19" s="775">
        <f>F19</f>
        <v>100</v>
      </c>
      <c r="T19" s="774" t="s">
        <v>21</v>
      </c>
      <c r="U19" s="775">
        <f>H19</f>
        <v>100</v>
      </c>
      <c r="V19" s="774" t="s">
        <v>21</v>
      </c>
      <c r="W19" s="775">
        <f>J19</f>
        <v>100</v>
      </c>
      <c r="X19" s="1811"/>
      <c r="Y19" s="3194"/>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43"/>
      <c r="M20" s="1134"/>
      <c r="N20" s="1134"/>
      <c r="O20" s="1134"/>
      <c r="P20" s="3201"/>
      <c r="Q20" s="1808"/>
      <c r="R20" s="774"/>
      <c r="S20" s="775"/>
      <c r="T20" s="774"/>
      <c r="U20" s="775"/>
      <c r="V20" s="774"/>
      <c r="W20" s="775"/>
      <c r="X20" s="1811"/>
      <c r="Y20" s="3194"/>
      <c r="Z20" s="1812"/>
      <c r="AA20" s="1809">
        <v>1</v>
      </c>
      <c r="AB20" s="1809">
        <v>1</v>
      </c>
      <c r="AC20" s="1809">
        <v>1</v>
      </c>
    </row>
    <row r="21" spans="1:29" ht="28.5">
      <c r="A21" s="428"/>
      <c r="B21" s="1387"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08" t="str">
        <f>B21</f>
        <v>基础设施水平</v>
      </c>
      <c r="R21" s="774" t="s">
        <v>17</v>
      </c>
      <c r="S21" s="775">
        <f>F21</f>
        <v>100</v>
      </c>
      <c r="T21" s="774" t="s">
        <v>17</v>
      </c>
      <c r="U21" s="775">
        <f>H21</f>
        <v>100</v>
      </c>
      <c r="V21" s="774" t="s">
        <v>17</v>
      </c>
      <c r="W21" s="775">
        <f>J21</f>
        <v>100</v>
      </c>
      <c r="X21" s="1811"/>
      <c r="Y21" s="3194"/>
      <c r="Z21" s="1812" t="str">
        <f>Q21</f>
        <v>基础设施水平</v>
      </c>
      <c r="AA21" s="1809">
        <f>D21/F21</f>
        <v>1</v>
      </c>
      <c r="AB21" s="1809">
        <f>D21/H21</f>
        <v>1</v>
      </c>
      <c r="AC21" s="1809">
        <f>D21/J21</f>
        <v>1</v>
      </c>
    </row>
    <row r="22" spans="1:29" ht="15">
      <c r="A22" s="428"/>
      <c r="B22" s="1387"/>
      <c r="C22" s="2608"/>
      <c r="D22" s="448"/>
      <c r="E22" s="447"/>
      <c r="F22" s="448"/>
      <c r="G22" s="2611"/>
      <c r="H22" s="448"/>
      <c r="I22" s="447"/>
      <c r="J22" s="448"/>
      <c r="K22" s="2612"/>
      <c r="L22" s="1143"/>
      <c r="M22" s="1134"/>
      <c r="N22" s="1134"/>
      <c r="O22" s="1134"/>
      <c r="P22" s="3201"/>
      <c r="Q22" s="1808"/>
      <c r="R22" s="774"/>
      <c r="S22" s="775"/>
      <c r="T22" s="774"/>
      <c r="U22" s="775"/>
      <c r="V22" s="774"/>
      <c r="W22" s="775"/>
      <c r="X22" s="1811"/>
      <c r="Y22" s="3194"/>
      <c r="Z22" s="1812"/>
      <c r="AA22" s="1809">
        <v>1</v>
      </c>
      <c r="AB22" s="1809">
        <v>1</v>
      </c>
      <c r="AC22" s="1809">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08" t="str">
        <f>B23</f>
        <v>自然及人文环境</v>
      </c>
      <c r="R23" s="774" t="s">
        <v>21</v>
      </c>
      <c r="S23" s="775">
        <f>F23</f>
        <v>100</v>
      </c>
      <c r="T23" s="774" t="s">
        <v>21</v>
      </c>
      <c r="U23" s="775">
        <f>H23</f>
        <v>100</v>
      </c>
      <c r="V23" s="774" t="s">
        <v>21</v>
      </c>
      <c r="W23" s="775">
        <f>J23</f>
        <v>100</v>
      </c>
      <c r="X23" s="1811"/>
      <c r="Y23" s="3194"/>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43"/>
      <c r="M24" s="1134"/>
      <c r="N24" s="1134"/>
      <c r="O24" s="1134"/>
      <c r="P24" s="3201"/>
      <c r="Q24" s="1808"/>
      <c r="R24" s="774"/>
      <c r="S24" s="775"/>
      <c r="T24" s="774"/>
      <c r="U24" s="775"/>
      <c r="V24" s="774"/>
      <c r="W24" s="775"/>
      <c r="X24" s="1811"/>
      <c r="Y24" s="3194"/>
      <c r="Z24" s="1812"/>
      <c r="AA24" s="1809">
        <v>1</v>
      </c>
      <c r="AB24" s="1809">
        <v>1</v>
      </c>
      <c r="AC24" s="1809">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1"/>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194"/>
      <c r="Z25" s="1812" t="str">
        <f>Q25</f>
        <v>楼层-1</v>
      </c>
      <c r="AA25" s="1809">
        <f t="shared" ref="AA25:AA46" si="12">D25/F25</f>
        <v>1</v>
      </c>
      <c r="AB25" s="1809">
        <f t="shared" ref="AB25:AB46" si="13">D25/H25</f>
        <v>1</v>
      </c>
      <c r="AC25" s="1809">
        <f t="shared" ref="AC25:AC46" si="14">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1"/>
      <c r="Q26" s="1808" t="str">
        <f t="shared" si="8"/>
        <v>朝向</v>
      </c>
      <c r="R26" s="774" t="s">
        <v>21</v>
      </c>
      <c r="S26" s="775">
        <f t="shared" si="9"/>
        <v>100</v>
      </c>
      <c r="T26" s="774" t="s">
        <v>21</v>
      </c>
      <c r="U26" s="775">
        <f t="shared" si="10"/>
        <v>100</v>
      </c>
      <c r="V26" s="774" t="s">
        <v>21</v>
      </c>
      <c r="W26" s="775">
        <f t="shared" si="11"/>
        <v>100</v>
      </c>
      <c r="X26" s="1811"/>
      <c r="Y26" s="3194"/>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1"/>
      <c r="Q27" s="1793">
        <f t="shared" si="8"/>
        <v>111</v>
      </c>
      <c r="R27" s="770" t="s">
        <v>21</v>
      </c>
      <c r="S27" s="771">
        <f t="shared" si="9"/>
        <v>100</v>
      </c>
      <c r="T27" s="770" t="s">
        <v>21</v>
      </c>
      <c r="U27" s="771">
        <f t="shared" si="10"/>
        <v>100</v>
      </c>
      <c r="V27" s="770" t="s">
        <v>21</v>
      </c>
      <c r="W27" s="771">
        <f t="shared" si="11"/>
        <v>100</v>
      </c>
      <c r="X27" s="772"/>
      <c r="Y27" s="3194"/>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1"/>
      <c r="Q28" s="1808">
        <f t="shared" si="8"/>
        <v>111</v>
      </c>
      <c r="R28" s="774" t="s">
        <v>21</v>
      </c>
      <c r="S28" s="775">
        <f t="shared" si="9"/>
        <v>100</v>
      </c>
      <c r="T28" s="774" t="s">
        <v>21</v>
      </c>
      <c r="U28" s="775">
        <f t="shared" si="10"/>
        <v>100</v>
      </c>
      <c r="V28" s="774" t="s">
        <v>21</v>
      </c>
      <c r="W28" s="775">
        <f t="shared" si="11"/>
        <v>100</v>
      </c>
      <c r="X28" s="1811"/>
      <c r="Y28" s="3194"/>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1"/>
      <c r="Q29" s="1808">
        <f t="shared" si="8"/>
        <v>111</v>
      </c>
      <c r="R29" s="774" t="s">
        <v>21</v>
      </c>
      <c r="S29" s="775">
        <f t="shared" si="9"/>
        <v>100</v>
      </c>
      <c r="T29" s="774" t="s">
        <v>21</v>
      </c>
      <c r="U29" s="775">
        <f t="shared" si="10"/>
        <v>100</v>
      </c>
      <c r="V29" s="774" t="s">
        <v>21</v>
      </c>
      <c r="W29" s="775">
        <f t="shared" si="11"/>
        <v>100</v>
      </c>
      <c r="X29" s="1811"/>
      <c r="Y29" s="3194"/>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1"/>
      <c r="Q30" s="1808">
        <f t="shared" si="8"/>
        <v>111</v>
      </c>
      <c r="R30" s="774" t="s">
        <v>21</v>
      </c>
      <c r="S30" s="775">
        <f t="shared" si="9"/>
        <v>100</v>
      </c>
      <c r="T30" s="774" t="s">
        <v>21</v>
      </c>
      <c r="U30" s="775">
        <f t="shared" si="10"/>
        <v>100</v>
      </c>
      <c r="V30" s="774" t="s">
        <v>21</v>
      </c>
      <c r="W30" s="775">
        <f t="shared" si="11"/>
        <v>100</v>
      </c>
      <c r="X30" s="1811"/>
      <c r="Y30" s="3194"/>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1"/>
      <c r="Q31" s="1808">
        <f t="shared" si="8"/>
        <v>111</v>
      </c>
      <c r="R31" s="774" t="s">
        <v>21</v>
      </c>
      <c r="S31" s="775">
        <f t="shared" si="9"/>
        <v>100</v>
      </c>
      <c r="T31" s="774" t="s">
        <v>21</v>
      </c>
      <c r="U31" s="775">
        <f t="shared" si="10"/>
        <v>100</v>
      </c>
      <c r="V31" s="774" t="s">
        <v>21</v>
      </c>
      <c r="W31" s="775">
        <f t="shared" si="11"/>
        <v>100</v>
      </c>
      <c r="X31" s="1811"/>
      <c r="Y31" s="3194"/>
      <c r="Z31" s="1812">
        <f t="shared" si="15"/>
        <v>111</v>
      </c>
      <c r="AA31" s="1809">
        <f t="shared" si="12"/>
        <v>1</v>
      </c>
      <c r="AB31" s="1809">
        <f t="shared" si="13"/>
        <v>1</v>
      </c>
      <c r="AC31" s="1809">
        <f t="shared" si="14"/>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195" t="s">
        <v>2564</v>
      </c>
      <c r="Q32" s="1808" t="str">
        <f t="shared" si="8"/>
        <v>建筑类型</v>
      </c>
      <c r="R32" s="774" t="s">
        <v>21</v>
      </c>
      <c r="S32" s="775">
        <f t="shared" si="9"/>
        <v>100</v>
      </c>
      <c r="T32" s="774" t="s">
        <v>21</v>
      </c>
      <c r="U32" s="775">
        <f t="shared" si="10"/>
        <v>100</v>
      </c>
      <c r="V32" s="774" t="s">
        <v>21</v>
      </c>
      <c r="W32" s="775">
        <f t="shared" si="11"/>
        <v>100</v>
      </c>
      <c r="X32" s="1811"/>
      <c r="Y32" s="3198" t="s">
        <v>2564</v>
      </c>
      <c r="Z32" s="1812" t="str">
        <f t="shared" si="15"/>
        <v>建筑类型</v>
      </c>
      <c r="AA32" s="1809">
        <f t="shared" si="12"/>
        <v>1</v>
      </c>
      <c r="AB32" s="1809">
        <f t="shared" si="13"/>
        <v>1</v>
      </c>
      <c r="AC32" s="1809">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196"/>
      <c r="Q33" s="776" t="str">
        <f t="shared" si="8"/>
        <v>项目建筑规模</v>
      </c>
      <c r="R33" s="777" t="s">
        <v>21</v>
      </c>
      <c r="S33" s="778" t="e">
        <f t="shared" si="9"/>
        <v>#N/A</v>
      </c>
      <c r="T33" s="777" t="s">
        <v>21</v>
      </c>
      <c r="U33" s="778" t="e">
        <f t="shared" si="10"/>
        <v>#N/A</v>
      </c>
      <c r="V33" s="777" t="s">
        <v>21</v>
      </c>
      <c r="W33" s="778" t="e">
        <f t="shared" si="11"/>
        <v>#N/A</v>
      </c>
      <c r="X33" s="779"/>
      <c r="Y33" s="3198"/>
      <c r="Z33" s="780" t="str">
        <f t="shared" si="15"/>
        <v>项目建筑规模</v>
      </c>
      <c r="AA33" s="1809" t="e">
        <f t="shared" si="12"/>
        <v>#N/A</v>
      </c>
      <c r="AB33" s="1809" t="e">
        <f t="shared" si="13"/>
        <v>#N/A</v>
      </c>
      <c r="AC33" s="1809" t="e">
        <f t="shared" si="14"/>
        <v>#N/A</v>
      </c>
    </row>
    <row r="34" spans="1:29" ht="15">
      <c r="A34" s="472"/>
      <c r="B34" s="422" t="s">
        <v>2566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196"/>
      <c r="Q34" s="1808" t="str">
        <f t="shared" si="8"/>
        <v>建筑结构</v>
      </c>
      <c r="R34" s="774" t="s">
        <v>21</v>
      </c>
      <c r="S34" s="775">
        <f t="shared" si="9"/>
        <v>100</v>
      </c>
      <c r="T34" s="774" t="s">
        <v>21</v>
      </c>
      <c r="U34" s="775">
        <f t="shared" si="10"/>
        <v>100</v>
      </c>
      <c r="V34" s="774" t="s">
        <v>21</v>
      </c>
      <c r="W34" s="775">
        <f t="shared" si="11"/>
        <v>100</v>
      </c>
      <c r="X34" s="1811"/>
      <c r="Y34" s="3198"/>
      <c r="Z34" s="1812" t="str">
        <f t="shared" si="15"/>
        <v>建筑结构</v>
      </c>
      <c r="AA34" s="1809">
        <f t="shared" si="12"/>
        <v>1</v>
      </c>
      <c r="AB34" s="1809">
        <f t="shared" si="13"/>
        <v>1</v>
      </c>
      <c r="AC34" s="1809">
        <f t="shared" si="14"/>
        <v>1</v>
      </c>
    </row>
    <row r="35" spans="1:29" ht="15">
      <c r="A35" s="472"/>
      <c r="B35" s="422" t="s">
        <v>2567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196"/>
      <c r="Q35" s="1808" t="str">
        <f t="shared" si="8"/>
        <v>建筑品质</v>
      </c>
      <c r="R35" s="774" t="s">
        <v>21</v>
      </c>
      <c r="S35" s="775">
        <f t="shared" si="9"/>
        <v>100</v>
      </c>
      <c r="T35" s="774" t="s">
        <v>21</v>
      </c>
      <c r="U35" s="775">
        <f t="shared" si="10"/>
        <v>100</v>
      </c>
      <c r="V35" s="774" t="s">
        <v>21</v>
      </c>
      <c r="W35" s="775">
        <f t="shared" si="11"/>
        <v>100</v>
      </c>
      <c r="X35" s="1811"/>
      <c r="Y35" s="3198"/>
      <c r="Z35" s="1812" t="str">
        <f t="shared" si="15"/>
        <v>建筑品质</v>
      </c>
      <c r="AA35" s="1809">
        <f t="shared" si="12"/>
        <v>1</v>
      </c>
      <c r="AB35" s="1809">
        <f t="shared" si="13"/>
        <v>1</v>
      </c>
      <c r="AC35" s="1809">
        <f t="shared" si="14"/>
        <v>1</v>
      </c>
    </row>
    <row r="36" spans="1:29" ht="15">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196"/>
      <c r="Q36" s="1808" t="str">
        <f t="shared" si="8"/>
        <v>公共部分装修</v>
      </c>
      <c r="R36" s="774" t="s">
        <v>21</v>
      </c>
      <c r="S36" s="775">
        <f t="shared" si="9"/>
        <v>100</v>
      </c>
      <c r="T36" s="774" t="s">
        <v>21</v>
      </c>
      <c r="U36" s="775">
        <f t="shared" si="10"/>
        <v>100</v>
      </c>
      <c r="V36" s="774" t="s">
        <v>21</v>
      </c>
      <c r="W36" s="775">
        <f t="shared" si="11"/>
        <v>100</v>
      </c>
      <c r="X36" s="1811"/>
      <c r="Y36" s="3198"/>
      <c r="Z36" s="1812" t="str">
        <f t="shared" si="15"/>
        <v>公共部分装修</v>
      </c>
      <c r="AA36" s="1809">
        <f t="shared" si="12"/>
        <v>1</v>
      </c>
      <c r="AB36" s="1809">
        <f t="shared" si="13"/>
        <v>1</v>
      </c>
      <c r="AC36" s="1809">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3" t="str">
        <f t="shared" si="8"/>
        <v>成新度</v>
      </c>
      <c r="R37" s="770" t="s">
        <v>21</v>
      </c>
      <c r="S37" s="771" t="e">
        <f t="shared" si="9"/>
        <v>#N/A</v>
      </c>
      <c r="T37" s="770" t="s">
        <v>21</v>
      </c>
      <c r="U37" s="771" t="e">
        <f t="shared" si="10"/>
        <v>#N/A</v>
      </c>
      <c r="V37" s="770" t="s">
        <v>21</v>
      </c>
      <c r="W37" s="771" t="e">
        <f t="shared" si="11"/>
        <v>#N/A</v>
      </c>
      <c r="X37" s="772"/>
      <c r="Y37" s="3198"/>
      <c r="Z37" s="55" t="str">
        <f t="shared" si="15"/>
        <v>成新度</v>
      </c>
      <c r="AA37" s="773" t="e">
        <f t="shared" si="12"/>
        <v>#N/A</v>
      </c>
      <c r="AB37" s="773" t="e">
        <f t="shared" si="13"/>
        <v>#N/A</v>
      </c>
      <c r="AC37" s="773" t="e">
        <f t="shared" si="14"/>
        <v>#N/A</v>
      </c>
    </row>
    <row r="38" spans="1:29" ht="15">
      <c r="A38" s="472"/>
      <c r="B38" s="422" t="s">
        <v>2570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196" t="s">
        <v>2564</v>
      </c>
      <c r="Q38" s="1808" t="str">
        <f t="shared" si="8"/>
        <v>物业管理</v>
      </c>
      <c r="R38" s="774" t="s">
        <v>21</v>
      </c>
      <c r="S38" s="775">
        <f t="shared" si="9"/>
        <v>100</v>
      </c>
      <c r="T38" s="774" t="s">
        <v>21</v>
      </c>
      <c r="U38" s="775">
        <f t="shared" si="10"/>
        <v>100</v>
      </c>
      <c r="V38" s="774" t="s">
        <v>21</v>
      </c>
      <c r="W38" s="775">
        <f t="shared" si="11"/>
        <v>100</v>
      </c>
      <c r="X38" s="1811"/>
      <c r="Y38" s="3198" t="s">
        <v>2564</v>
      </c>
      <c r="Z38" s="1812" t="str">
        <f t="shared" si="15"/>
        <v>物业管理</v>
      </c>
      <c r="AA38" s="1809">
        <f t="shared" si="12"/>
        <v>1</v>
      </c>
      <c r="AB38" s="1809">
        <f t="shared" si="13"/>
        <v>1</v>
      </c>
      <c r="AC38" s="1809">
        <f t="shared" si="14"/>
        <v>1</v>
      </c>
    </row>
    <row r="39" spans="1:29" ht="15">
      <c r="A39" s="472"/>
      <c r="B39" s="422" t="s">
        <v>2571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196"/>
      <c r="Q39" s="1808" t="str">
        <f t="shared" si="8"/>
        <v>市政基础设施</v>
      </c>
      <c r="R39" s="774" t="s">
        <v>21</v>
      </c>
      <c r="S39" s="775">
        <f t="shared" si="9"/>
        <v>100</v>
      </c>
      <c r="T39" s="774" t="s">
        <v>21</v>
      </c>
      <c r="U39" s="775">
        <f t="shared" si="10"/>
        <v>100</v>
      </c>
      <c r="V39" s="774" t="s">
        <v>21</v>
      </c>
      <c r="W39" s="775">
        <f t="shared" si="11"/>
        <v>100</v>
      </c>
      <c r="X39" s="1811"/>
      <c r="Y39" s="3198"/>
      <c r="Z39" s="1812" t="str">
        <f t="shared" si="15"/>
        <v>市政基础设施</v>
      </c>
      <c r="AA39" s="1809">
        <f t="shared" si="12"/>
        <v>1</v>
      </c>
      <c r="AB39" s="1809">
        <f t="shared" si="13"/>
        <v>1</v>
      </c>
      <c r="AC39" s="1809">
        <f t="shared" si="14"/>
        <v>1</v>
      </c>
    </row>
    <row r="40" spans="1:29" ht="15">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196"/>
      <c r="Q40" s="1808" t="str">
        <f t="shared" si="8"/>
        <v>房型</v>
      </c>
      <c r="R40" s="774" t="s">
        <v>21</v>
      </c>
      <c r="S40" s="775">
        <f t="shared" si="9"/>
        <v>100</v>
      </c>
      <c r="T40" s="774" t="s">
        <v>21</v>
      </c>
      <c r="U40" s="775">
        <f t="shared" si="10"/>
        <v>100</v>
      </c>
      <c r="V40" s="774" t="s">
        <v>21</v>
      </c>
      <c r="W40" s="775">
        <f t="shared" si="11"/>
        <v>100</v>
      </c>
      <c r="X40" s="1811"/>
      <c r="Y40" s="3198"/>
      <c r="Z40" s="1812" t="str">
        <f t="shared" si="15"/>
        <v>房型</v>
      </c>
      <c r="AA40" s="1809">
        <f t="shared" si="12"/>
        <v>1</v>
      </c>
      <c r="AB40" s="1809">
        <f t="shared" si="13"/>
        <v>1</v>
      </c>
      <c r="AC40" s="1809">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196"/>
      <c r="Q41" s="776" t="str">
        <f t="shared" si="8"/>
        <v>单套/主力户型建筑面积</v>
      </c>
      <c r="R41" s="777" t="s">
        <v>21</v>
      </c>
      <c r="S41" s="778">
        <f t="shared" si="9"/>
        <v>100</v>
      </c>
      <c r="T41" s="777" t="s">
        <v>21</v>
      </c>
      <c r="U41" s="778">
        <f t="shared" si="10"/>
        <v>100</v>
      </c>
      <c r="V41" s="777" t="s">
        <v>21</v>
      </c>
      <c r="W41" s="778">
        <f t="shared" si="11"/>
        <v>100</v>
      </c>
      <c r="X41" s="779"/>
      <c r="Y41" s="3198"/>
      <c r="Z41" s="780" t="str">
        <f t="shared" si="15"/>
        <v>单套/主力户型建筑面积</v>
      </c>
      <c r="AA41" s="1809">
        <f t="shared" si="12"/>
        <v>1</v>
      </c>
      <c r="AB41" s="1809">
        <f t="shared" si="13"/>
        <v>1</v>
      </c>
      <c r="AC41" s="1809">
        <f t="shared" si="14"/>
        <v>1</v>
      </c>
    </row>
    <row r="42" spans="1:29" ht="15">
      <c r="A42" s="472"/>
      <c r="B42" s="422" t="s">
        <v>2574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196"/>
      <c r="Q42" s="1808" t="str">
        <f t="shared" si="8"/>
        <v>内部装修</v>
      </c>
      <c r="R42" s="774" t="s">
        <v>21</v>
      </c>
      <c r="S42" s="775">
        <f t="shared" si="9"/>
        <v>100</v>
      </c>
      <c r="T42" s="774" t="s">
        <v>21</v>
      </c>
      <c r="U42" s="775">
        <f t="shared" si="10"/>
        <v>100</v>
      </c>
      <c r="V42" s="774" t="s">
        <v>21</v>
      </c>
      <c r="W42" s="775">
        <f t="shared" si="11"/>
        <v>100</v>
      </c>
      <c r="X42" s="1811"/>
      <c r="Y42" s="3198"/>
      <c r="Z42" s="1812" t="str">
        <f t="shared" si="15"/>
        <v>内部装修</v>
      </c>
      <c r="AA42" s="1809">
        <f t="shared" si="12"/>
        <v>1</v>
      </c>
      <c r="AB42" s="1809">
        <f t="shared" si="13"/>
        <v>1</v>
      </c>
      <c r="AC42" s="1809">
        <f t="shared" si="14"/>
        <v>1</v>
      </c>
    </row>
    <row r="43" spans="1:29" ht="15">
      <c r="A43" s="472"/>
      <c r="B43" s="422" t="s">
        <v>2575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196"/>
      <c r="Q43" s="1808" t="str">
        <f t="shared" si="8"/>
        <v>内部装修维护情况</v>
      </c>
      <c r="R43" s="774" t="s">
        <v>21</v>
      </c>
      <c r="S43" s="775">
        <f t="shared" si="9"/>
        <v>100</v>
      </c>
      <c r="T43" s="774" t="s">
        <v>21</v>
      </c>
      <c r="U43" s="775">
        <f t="shared" si="10"/>
        <v>100</v>
      </c>
      <c r="V43" s="774" t="s">
        <v>21</v>
      </c>
      <c r="W43" s="775">
        <f t="shared" si="11"/>
        <v>100</v>
      </c>
      <c r="X43" s="1811"/>
      <c r="Y43" s="3198"/>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96"/>
      <c r="Q44" s="1793">
        <f t="shared" si="8"/>
        <v>111</v>
      </c>
      <c r="R44" s="770" t="s">
        <v>21</v>
      </c>
      <c r="S44" s="771">
        <f t="shared" si="9"/>
        <v>100</v>
      </c>
      <c r="T44" s="770" t="s">
        <v>21</v>
      </c>
      <c r="U44" s="771">
        <f t="shared" si="10"/>
        <v>100</v>
      </c>
      <c r="V44" s="770" t="s">
        <v>21</v>
      </c>
      <c r="W44" s="771">
        <f t="shared" si="11"/>
        <v>100</v>
      </c>
      <c r="X44" s="772"/>
      <c r="Y44" s="3198"/>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96"/>
      <c r="Q45" s="1808">
        <f t="shared" si="8"/>
        <v>111</v>
      </c>
      <c r="R45" s="774" t="s">
        <v>21</v>
      </c>
      <c r="S45" s="775">
        <f t="shared" si="9"/>
        <v>100</v>
      </c>
      <c r="T45" s="774" t="s">
        <v>21</v>
      </c>
      <c r="U45" s="775">
        <f t="shared" si="10"/>
        <v>100</v>
      </c>
      <c r="V45" s="774" t="s">
        <v>21</v>
      </c>
      <c r="W45" s="775">
        <f t="shared" si="11"/>
        <v>100</v>
      </c>
      <c r="X45" s="1811"/>
      <c r="Y45" s="3198"/>
      <c r="Z45" s="1812">
        <f t="shared" si="15"/>
        <v>111</v>
      </c>
      <c r="AA45" s="1809">
        <f t="shared" si="12"/>
        <v>1</v>
      </c>
      <c r="AB45" s="1809">
        <f t="shared" si="13"/>
        <v>1</v>
      </c>
      <c r="AC45" s="1809">
        <f t="shared" si="14"/>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97"/>
      <c r="Q46" s="1808">
        <f t="shared" si="8"/>
        <v>111</v>
      </c>
      <c r="R46" s="774" t="s">
        <v>20</v>
      </c>
      <c r="S46" s="775">
        <f t="shared" si="9"/>
        <v>100</v>
      </c>
      <c r="T46" s="774" t="s">
        <v>20</v>
      </c>
      <c r="U46" s="775">
        <f t="shared" si="10"/>
        <v>100</v>
      </c>
      <c r="V46" s="774" t="s">
        <v>20</v>
      </c>
      <c r="W46" s="775">
        <f t="shared" si="11"/>
        <v>100</v>
      </c>
      <c r="X46" s="1811"/>
      <c r="Y46" s="3199"/>
      <c r="Z46" s="1812">
        <f t="shared" si="15"/>
        <v>111</v>
      </c>
      <c r="AA46" s="1809">
        <f t="shared" si="12"/>
        <v>1</v>
      </c>
      <c r="AB46" s="1809">
        <f t="shared" si="13"/>
        <v>1</v>
      </c>
      <c r="AC46" s="1809">
        <f t="shared" si="14"/>
        <v>1</v>
      </c>
    </row>
    <row r="47" spans="1:29" ht="15">
      <c r="A47" s="479" t="s">
        <v>2576</v>
      </c>
      <c r="B47" s="480"/>
      <c r="C47" s="1410" t="s">
        <v>19</v>
      </c>
      <c r="D47" s="1411"/>
      <c r="E47" s="1412"/>
      <c r="F47" s="1413"/>
      <c r="G47" s="1414"/>
      <c r="H47" s="1415"/>
      <c r="I47" s="1412"/>
      <c r="J47" s="1415"/>
      <c r="K47" s="2621"/>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2"/>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3"/>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6"/>
      <c r="Q57" s="504"/>
    </row>
    <row r="58" spans="1:29" s="508" customFormat="1" ht="15">
      <c r="A58" s="505" t="s">
        <v>2583</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0"/>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2609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
        <v>2610</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2562</v>
      </c>
      <c r="B100" s="528" t="s">
        <v>2611</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0"/>
      <c r="Q106" s="504"/>
    </row>
    <row r="107" spans="1:17" ht="15" thickTop="1">
      <c r="A107" s="599"/>
      <c r="B107" s="538" t="s">
        <v>2614</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0"/>
      <c r="Q108" s="504"/>
    </row>
    <row r="109" spans="1:17" ht="15" thickTop="1">
      <c r="A109" s="599"/>
      <c r="B109" s="538" t="s">
        <v>2615</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2616</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0"/>
      <c r="Q115" s="504"/>
    </row>
    <row r="116" spans="1:17" ht="15" thickTop="1">
      <c r="A116" s="599"/>
      <c r="B116" s="538" t="s">
        <v>2617</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2618</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0"/>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7">
        <v>6</v>
      </c>
      <c r="C139" s="1088">
        <v>96</v>
      </c>
      <c r="D139" s="2648" t="s">
        <v>2630</v>
      </c>
      <c r="E139" s="1089">
        <v>100</v>
      </c>
      <c r="F139" s="1090">
        <v>102.5</v>
      </c>
      <c r="G139" s="2648" t="s">
        <v>2630</v>
      </c>
      <c r="H139" s="1091">
        <v>105</v>
      </c>
      <c r="I139" s="2649" t="s">
        <v>2631</v>
      </c>
      <c r="J139" s="1088">
        <v>20</v>
      </c>
      <c r="K139" s="1092">
        <f>C145/(J139-2)</f>
        <v>4.0555555555555553E-3</v>
      </c>
    </row>
    <row r="140" spans="1:17" ht="15">
      <c r="B140" s="1093">
        <v>5</v>
      </c>
      <c r="C140" s="1094">
        <v>100</v>
      </c>
      <c r="D140" s="1094"/>
      <c r="E140" s="1095"/>
      <c r="F140" s="1096">
        <v>102</v>
      </c>
      <c r="G140" s="1094"/>
      <c r="H140" s="1097"/>
      <c r="I140" s="2650" t="s">
        <v>2632</v>
      </c>
      <c r="J140" s="315">
        <f>ROUNDUP((J139-1)/2,0)</f>
        <v>10</v>
      </c>
      <c r="K140" s="1098">
        <v>100</v>
      </c>
    </row>
    <row r="141" spans="1:17" ht="15">
      <c r="B141" s="1093">
        <v>4</v>
      </c>
      <c r="C141" s="1094">
        <v>102</v>
      </c>
      <c r="D141" s="1094"/>
      <c r="E141" s="1095"/>
      <c r="F141" s="1096">
        <v>101.5</v>
      </c>
      <c r="G141" s="1094"/>
      <c r="H141" s="1097"/>
      <c r="I141" s="2650" t="s">
        <v>2633</v>
      </c>
      <c r="J141" s="315">
        <v>1</v>
      </c>
      <c r="K141" s="1099">
        <f>ROUND(100+(J141-J140)*K139*100,1)</f>
        <v>96.4</v>
      </c>
    </row>
    <row r="142" spans="1:17" ht="15">
      <c r="B142" s="1093">
        <v>3</v>
      </c>
      <c r="C142" s="1094">
        <v>103</v>
      </c>
      <c r="D142" s="1094"/>
      <c r="E142" s="1095"/>
      <c r="F142" s="1096">
        <v>101</v>
      </c>
      <c r="G142" s="1094"/>
      <c r="H142" s="1097"/>
      <c r="I142" s="2650" t="s">
        <v>2634</v>
      </c>
      <c r="J142" s="315">
        <f>J139</f>
        <v>20</v>
      </c>
      <c r="K142" s="1100">
        <v>95</v>
      </c>
    </row>
    <row r="143" spans="1:17" ht="15">
      <c r="B143" s="1093">
        <v>2</v>
      </c>
      <c r="C143" s="1094">
        <v>100</v>
      </c>
      <c r="D143" s="1094"/>
      <c r="E143" s="1095"/>
      <c r="F143" s="1096">
        <v>100.5</v>
      </c>
      <c r="G143" s="1094"/>
      <c r="H143" s="1097"/>
      <c r="I143" s="2650" t="s">
        <v>2635</v>
      </c>
      <c r="J143" s="1094">
        <v>15</v>
      </c>
      <c r="K143" s="1099">
        <f>ROUND(100+(J143-J140)*K139*100,1)</f>
        <v>102</v>
      </c>
    </row>
    <row r="144" spans="1:17" ht="15">
      <c r="B144" s="1093">
        <v>1</v>
      </c>
      <c r="C144" s="1094">
        <v>98</v>
      </c>
      <c r="D144" s="2651" t="s">
        <v>2636</v>
      </c>
      <c r="E144" s="1095">
        <v>102</v>
      </c>
      <c r="F144" s="1101">
        <v>100</v>
      </c>
      <c r="G144" s="2651" t="s">
        <v>2636</v>
      </c>
      <c r="H144" s="1097">
        <v>105</v>
      </c>
      <c r="I144" s="2650" t="s">
        <v>2635</v>
      </c>
      <c r="J144" s="1094">
        <v>18</v>
      </c>
      <c r="K144" s="1099">
        <f>ROUND(100+(J144-J140)*K139*100,1)</f>
        <v>103.2</v>
      </c>
    </row>
    <row r="145" spans="2:11" ht="15.75" thickBot="1">
      <c r="B145" s="2652" t="s">
        <v>2637</v>
      </c>
      <c r="C145" s="1102">
        <f>ROUND(MAX(C139:C144)/MIN(C139:C144)-1,3)</f>
        <v>7.2999999999999995E-2</v>
      </c>
      <c r="D145" s="1103"/>
      <c r="E145" s="1103"/>
      <c r="F145" s="2653" t="s">
        <v>2638</v>
      </c>
      <c r="G145" s="2654"/>
      <c r="H145" s="2655"/>
      <c r="I145" s="2656" t="s">
        <v>2635</v>
      </c>
      <c r="J145" s="1104">
        <v>8</v>
      </c>
      <c r="K145" s="1105">
        <f>ROUND(100+(J145-J140)*K139*100,1)</f>
        <v>99.2</v>
      </c>
    </row>
    <row r="147" spans="2:11">
      <c r="B147" s="2637" t="s">
        <v>2639</v>
      </c>
    </row>
    <row r="148" spans="2:11">
      <c r="B148" s="263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82" t="s">
        <v>2641</v>
      </c>
      <c r="C1" s="1632" t="s">
        <v>2529</v>
      </c>
      <c r="D1" s="1619"/>
      <c r="E1" s="2657"/>
      <c r="F1" s="2584"/>
      <c r="G1" s="1629" t="s">
        <v>2642</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2326</v>
      </c>
      <c r="B2" s="1421" t="e">
        <f ca="1">IF(C2="——",ROUND(C49*D3/10000,0),ROUND(C49*D3/10000,0)-D2)</f>
        <v>#DIV/0!</v>
      </c>
      <c r="C2" s="2586"/>
      <c r="D2" s="1368" t="e">
        <f ca="1">SUMIF(INDIRECT("'"&amp;F2&amp;"'"&amp;"!A:A"),"承租人权益价值",INDIRECT("'"&amp;F2&amp;"'"&amp;"!c:c"))</f>
        <v>#REF!</v>
      </c>
      <c r="E2" s="2587" t="s">
        <v>2327</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2328</v>
      </c>
      <c r="B3" s="609" t="e">
        <f ca="1">IF(C2="——",C49,ROUND(B2*10000/D3,0))</f>
        <v>#DIV/0!</v>
      </c>
      <c r="C3" s="400" t="s">
        <v>2643</v>
      </c>
      <c r="D3" s="399">
        <f>IF(D1="",'数据-汇总表'!E3,SUMIF('数据-汇总表'!$C19:$C33,D1,'数据-汇总表'!$E19:$E33))</f>
        <v>4096.63</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22" t="s">
        <v>2647</v>
      </c>
      <c r="AC4" s="3203" t="s">
        <v>2648</v>
      </c>
    </row>
    <row r="5" spans="1:29"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22"/>
      <c r="AC5" s="3204"/>
    </row>
    <row r="6" spans="1:29" ht="15.75" thickBot="1">
      <c r="A6" s="406"/>
      <c r="B6" s="407"/>
      <c r="C6" s="3223" t="s">
        <v>2545</v>
      </c>
      <c r="D6" s="3224"/>
      <c r="E6" s="3230" t="s">
        <v>2545</v>
      </c>
      <c r="F6" s="3231"/>
      <c r="G6" s="3223" t="s">
        <v>2545</v>
      </c>
      <c r="H6" s="3224"/>
      <c r="I6" s="3223" t="s">
        <v>2545</v>
      </c>
      <c r="J6" s="3224"/>
      <c r="K6" s="610" t="s">
        <v>2546</v>
      </c>
      <c r="L6" s="1133"/>
      <c r="M6" s="1134"/>
      <c r="N6" s="1134"/>
      <c r="O6" s="1134"/>
      <c r="P6" s="3214"/>
      <c r="Q6" s="3215"/>
      <c r="R6" s="3218"/>
      <c r="S6" s="3219"/>
      <c r="T6" s="3220"/>
      <c r="U6" s="3221"/>
      <c r="V6" s="3222"/>
      <c r="W6" s="3222"/>
      <c r="X6" s="1811"/>
      <c r="Y6" s="3220"/>
      <c r="Z6" s="3221"/>
      <c r="AA6" s="3205"/>
      <c r="AB6" s="3222"/>
      <c r="AC6" s="3205"/>
    </row>
    <row r="7" spans="1:29" s="117" customFormat="1" ht="15.75" thickBot="1">
      <c r="A7" s="408" t="s">
        <v>2547</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2548</v>
      </c>
      <c r="Q7" s="3229"/>
      <c r="R7" s="770" t="s">
        <v>17</v>
      </c>
      <c r="S7" s="771">
        <f t="shared" ref="S7:S15" si="0">F7</f>
        <v>0</v>
      </c>
      <c r="T7" s="770" t="s">
        <v>17</v>
      </c>
      <c r="U7" s="771">
        <f t="shared" ref="U7:U15" si="1">H7</f>
        <v>0</v>
      </c>
      <c r="V7" s="770" t="s">
        <v>17</v>
      </c>
      <c r="W7" s="771">
        <f t="shared" ref="W7:W15" si="2">J7</f>
        <v>0</v>
      </c>
      <c r="X7" s="772"/>
      <c r="Y7" s="3227" t="s">
        <v>2548</v>
      </c>
      <c r="Z7" s="322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3"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3">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2559</v>
      </c>
      <c r="Q15" s="1808" t="str">
        <f t="shared" si="6"/>
        <v>商业繁华度</v>
      </c>
      <c r="R15" s="774" t="s">
        <v>17</v>
      </c>
      <c r="S15" s="775">
        <f t="shared" si="0"/>
        <v>100</v>
      </c>
      <c r="T15" s="774" t="s">
        <v>17</v>
      </c>
      <c r="U15" s="775">
        <f t="shared" si="1"/>
        <v>100</v>
      </c>
      <c r="V15" s="774" t="s">
        <v>17</v>
      </c>
      <c r="W15" s="775">
        <f t="shared" si="2"/>
        <v>100</v>
      </c>
      <c r="X15" s="1811"/>
      <c r="Y15" s="3193" t="s">
        <v>2559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01"/>
      <c r="Q16" s="1808"/>
      <c r="R16" s="774"/>
      <c r="S16" s="775"/>
      <c r="T16" s="774"/>
      <c r="U16" s="775"/>
      <c r="V16" s="774"/>
      <c r="W16" s="775"/>
      <c r="X16" s="1811"/>
      <c r="Y16" s="3194"/>
      <c r="Z16" s="1812"/>
      <c r="AA16" s="1809">
        <v>1</v>
      </c>
      <c r="AB16" s="1809">
        <v>1</v>
      </c>
      <c r="AC16" s="1809">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08" t="str">
        <f>B17</f>
        <v>交通便捷度</v>
      </c>
      <c r="R17" s="774" t="s">
        <v>17</v>
      </c>
      <c r="S17" s="775">
        <f>F17</f>
        <v>100</v>
      </c>
      <c r="T17" s="774" t="s">
        <v>17</v>
      </c>
      <c r="U17" s="775">
        <f>H17</f>
        <v>100</v>
      </c>
      <c r="V17" s="774" t="s">
        <v>17</v>
      </c>
      <c r="W17" s="775">
        <f>J17</f>
        <v>100</v>
      </c>
      <c r="X17" s="1811"/>
      <c r="Y17" s="3194"/>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43"/>
      <c r="M18" s="1134"/>
      <c r="N18" s="1134"/>
      <c r="O18" s="1134"/>
      <c r="P18" s="3201"/>
      <c r="Q18" s="1808"/>
      <c r="R18" s="774"/>
      <c r="S18" s="775"/>
      <c r="T18" s="774"/>
      <c r="U18" s="775"/>
      <c r="V18" s="774"/>
      <c r="W18" s="775"/>
      <c r="X18" s="1811"/>
      <c r="Y18" s="3194"/>
      <c r="Z18" s="1812"/>
      <c r="AA18" s="1809">
        <v>1</v>
      </c>
      <c r="AB18" s="1809">
        <v>1</v>
      </c>
      <c r="AC18" s="1809">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08" t="str">
        <f>B19</f>
        <v>公共配套设施</v>
      </c>
      <c r="R19" s="774" t="s">
        <v>17</v>
      </c>
      <c r="S19" s="775">
        <f>F19</f>
        <v>100</v>
      </c>
      <c r="T19" s="774" t="s">
        <v>17</v>
      </c>
      <c r="U19" s="775">
        <f>H19</f>
        <v>100</v>
      </c>
      <c r="V19" s="774" t="s">
        <v>17</v>
      </c>
      <c r="W19" s="775">
        <f>J19</f>
        <v>100</v>
      </c>
      <c r="X19" s="1811"/>
      <c r="Y19" s="3194"/>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43"/>
      <c r="M20" s="1134"/>
      <c r="N20" s="1134"/>
      <c r="O20" s="1134"/>
      <c r="P20" s="3201"/>
      <c r="Q20" s="1808"/>
      <c r="R20" s="774"/>
      <c r="S20" s="775"/>
      <c r="T20" s="774"/>
      <c r="U20" s="775"/>
      <c r="V20" s="774"/>
      <c r="W20" s="775"/>
      <c r="X20" s="1811"/>
      <c r="Y20" s="3194"/>
      <c r="Z20" s="1812"/>
      <c r="AA20" s="1809">
        <v>1</v>
      </c>
      <c r="AB20" s="1809">
        <v>1</v>
      </c>
      <c r="AC20" s="1809">
        <v>1</v>
      </c>
    </row>
    <row r="21" spans="1:29" ht="28.5">
      <c r="A21" s="428"/>
      <c r="B21" s="1387"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08" t="str">
        <f>B21</f>
        <v>基础设施水平</v>
      </c>
      <c r="R21" s="774" t="s">
        <v>17</v>
      </c>
      <c r="S21" s="775">
        <f>F21</f>
        <v>100</v>
      </c>
      <c r="T21" s="774" t="s">
        <v>17</v>
      </c>
      <c r="U21" s="775">
        <f>H21</f>
        <v>100</v>
      </c>
      <c r="V21" s="774" t="s">
        <v>17</v>
      </c>
      <c r="W21" s="775">
        <f>J21</f>
        <v>100</v>
      </c>
      <c r="X21" s="1811"/>
      <c r="Y21" s="3194"/>
      <c r="Z21" s="1812" t="str">
        <f>Q21</f>
        <v>基础设施水平</v>
      </c>
      <c r="AA21" s="1809">
        <f>D21/F21</f>
        <v>1</v>
      </c>
      <c r="AB21" s="1809">
        <f>D21/H21</f>
        <v>1</v>
      </c>
      <c r="AC21" s="1809">
        <f>D21/J21</f>
        <v>1</v>
      </c>
    </row>
    <row r="22" spans="1:29" ht="15">
      <c r="A22" s="428"/>
      <c r="B22" s="1387"/>
      <c r="C22" s="2608"/>
      <c r="D22" s="448"/>
      <c r="E22" s="447"/>
      <c r="F22" s="449"/>
      <c r="G22" s="447"/>
      <c r="H22" s="448"/>
      <c r="I22" s="447"/>
      <c r="J22" s="448"/>
      <c r="K22" s="1386"/>
      <c r="L22" s="1143"/>
      <c r="M22" s="1134"/>
      <c r="N22" s="1134"/>
      <c r="O22" s="1134"/>
      <c r="P22" s="3201"/>
      <c r="Q22" s="1808"/>
      <c r="R22" s="774"/>
      <c r="S22" s="775"/>
      <c r="T22" s="774"/>
      <c r="U22" s="775"/>
      <c r="V22" s="774"/>
      <c r="W22" s="775"/>
      <c r="X22" s="1811"/>
      <c r="Y22" s="3194"/>
      <c r="Z22" s="1812"/>
      <c r="AA22" s="1809">
        <v>1</v>
      </c>
      <c r="AB22" s="1809">
        <v>1</v>
      </c>
      <c r="AC22" s="1809">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08" t="str">
        <f>B23</f>
        <v>自然及人文环境</v>
      </c>
      <c r="R23" s="774" t="s">
        <v>17</v>
      </c>
      <c r="S23" s="775">
        <f>F23</f>
        <v>100</v>
      </c>
      <c r="T23" s="774" t="s">
        <v>17</v>
      </c>
      <c r="U23" s="775">
        <f>H23</f>
        <v>100</v>
      </c>
      <c r="V23" s="774" t="s">
        <v>17</v>
      </c>
      <c r="W23" s="775">
        <f>J23</f>
        <v>100</v>
      </c>
      <c r="X23" s="1811"/>
      <c r="Y23" s="3194"/>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43"/>
      <c r="M24" s="1134"/>
      <c r="N24" s="1134"/>
      <c r="O24" s="1134"/>
      <c r="P24" s="3201"/>
      <c r="Q24" s="1808"/>
      <c r="R24" s="774"/>
      <c r="S24" s="775"/>
      <c r="T24" s="774"/>
      <c r="U24" s="775"/>
      <c r="V24" s="774"/>
      <c r="W24" s="775"/>
      <c r="X24" s="1811"/>
      <c r="Y24" s="3194"/>
      <c r="Z24" s="1812"/>
      <c r="AA24" s="1809">
        <v>1</v>
      </c>
      <c r="AB24" s="1809">
        <v>1</v>
      </c>
      <c r="AC24" s="1809">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08" t="str">
        <f t="shared" ref="Q25:Q46" si="8">B25</f>
        <v>临街状况</v>
      </c>
      <c r="R25" s="774" t="s">
        <v>17</v>
      </c>
      <c r="S25" s="775">
        <f>F25</f>
        <v>100</v>
      </c>
      <c r="T25" s="774" t="s">
        <v>17</v>
      </c>
      <c r="U25" s="775">
        <f>H25</f>
        <v>100</v>
      </c>
      <c r="V25" s="774" t="s">
        <v>17</v>
      </c>
      <c r="W25" s="775">
        <f>J25</f>
        <v>100</v>
      </c>
      <c r="X25" s="1811"/>
      <c r="Y25" s="3194"/>
      <c r="Z25" s="1812" t="str">
        <f>Q25</f>
        <v>临街状况</v>
      </c>
      <c r="AA25" s="1809">
        <f t="shared" si="3"/>
        <v>1</v>
      </c>
      <c r="AB25" s="1809">
        <f t="shared" si="4"/>
        <v>1</v>
      </c>
      <c r="AC25" s="1809">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08" t="str">
        <f t="shared" si="8"/>
        <v>平面位置/可视性</v>
      </c>
      <c r="R26" s="774" t="s">
        <v>17</v>
      </c>
      <c r="S26" s="775">
        <f>F26</f>
        <v>100</v>
      </c>
      <c r="T26" s="774" t="s">
        <v>17</v>
      </c>
      <c r="U26" s="775">
        <f>H26</f>
        <v>100</v>
      </c>
      <c r="V26" s="774" t="s">
        <v>17</v>
      </c>
      <c r="W26" s="775">
        <f>J26</f>
        <v>100</v>
      </c>
      <c r="X26" s="1811"/>
      <c r="Y26" s="3194"/>
      <c r="Z26" s="1812" t="str">
        <f>Q26</f>
        <v>平面位置/可视性</v>
      </c>
      <c r="AA26" s="1809">
        <f t="shared" si="3"/>
        <v>1</v>
      </c>
      <c r="AB26" s="1809">
        <f t="shared" si="4"/>
        <v>1</v>
      </c>
      <c r="AC26" s="1809">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01"/>
      <c r="Q27" s="1793" t="str">
        <f t="shared" si="8"/>
        <v>人流量</v>
      </c>
      <c r="R27" s="770" t="s">
        <v>17</v>
      </c>
      <c r="S27" s="771">
        <f>F27</f>
        <v>100</v>
      </c>
      <c r="T27" s="770" t="s">
        <v>17</v>
      </c>
      <c r="U27" s="771">
        <f>H27</f>
        <v>100</v>
      </c>
      <c r="V27" s="770" t="s">
        <v>17</v>
      </c>
      <c r="W27" s="771">
        <f>J27</f>
        <v>100</v>
      </c>
      <c r="X27" s="772"/>
      <c r="Y27" s="3194"/>
      <c r="Z27" s="55" t="str">
        <f>Q27</f>
        <v>人流量</v>
      </c>
      <c r="AA27" s="1809">
        <f>D27/F27</f>
        <v>1</v>
      </c>
      <c r="AB27" s="1809">
        <f>D27/H27</f>
        <v>1</v>
      </c>
      <c r="AC27" s="1809">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08" t="str">
        <f t="shared" si="8"/>
        <v>楼层</v>
      </c>
      <c r="R28" s="774" t="s">
        <v>17</v>
      </c>
      <c r="S28" s="775">
        <f t="shared" ref="S28:S46" si="9">F28</f>
        <v>100</v>
      </c>
      <c r="T28" s="774" t="s">
        <v>17</v>
      </c>
      <c r="U28" s="775">
        <f t="shared" ref="U28:U46" si="10">H28</f>
        <v>100</v>
      </c>
      <c r="V28" s="774" t="s">
        <v>17</v>
      </c>
      <c r="W28" s="775">
        <f t="shared" ref="W28:W46" si="11">J28</f>
        <v>100</v>
      </c>
      <c r="X28" s="1811"/>
      <c r="Y28" s="3194"/>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08">
        <f t="shared" si="8"/>
        <v>111</v>
      </c>
      <c r="R29" s="774" t="s">
        <v>17</v>
      </c>
      <c r="S29" s="775">
        <f t="shared" si="9"/>
        <v>100</v>
      </c>
      <c r="T29" s="774" t="s">
        <v>17</v>
      </c>
      <c r="U29" s="775">
        <f t="shared" si="10"/>
        <v>100</v>
      </c>
      <c r="V29" s="774" t="s">
        <v>17</v>
      </c>
      <c r="W29" s="775">
        <f t="shared" si="11"/>
        <v>100</v>
      </c>
      <c r="X29" s="1811"/>
      <c r="Y29" s="3194"/>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08">
        <f t="shared" si="8"/>
        <v>111</v>
      </c>
      <c r="R30" s="774" t="s">
        <v>17</v>
      </c>
      <c r="S30" s="775">
        <f t="shared" si="9"/>
        <v>100</v>
      </c>
      <c r="T30" s="774" t="s">
        <v>17</v>
      </c>
      <c r="U30" s="775">
        <f t="shared" si="10"/>
        <v>100</v>
      </c>
      <c r="V30" s="774" t="s">
        <v>17</v>
      </c>
      <c r="W30" s="775">
        <f t="shared" si="11"/>
        <v>100</v>
      </c>
      <c r="X30" s="1811"/>
      <c r="Y30" s="3194"/>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08">
        <f t="shared" si="8"/>
        <v>111</v>
      </c>
      <c r="R31" s="774" t="s">
        <v>17</v>
      </c>
      <c r="S31" s="775">
        <f t="shared" si="9"/>
        <v>100</v>
      </c>
      <c r="T31" s="774" t="s">
        <v>17</v>
      </c>
      <c r="U31" s="775">
        <f t="shared" si="10"/>
        <v>100</v>
      </c>
      <c r="V31" s="774" t="s">
        <v>17</v>
      </c>
      <c r="W31" s="775">
        <f t="shared" si="11"/>
        <v>100</v>
      </c>
      <c r="X31" s="1811"/>
      <c r="Y31" s="3194"/>
      <c r="Z31" s="1812">
        <f t="shared" si="12"/>
        <v>111</v>
      </c>
      <c r="AA31" s="1809">
        <f t="shared" si="3"/>
        <v>1</v>
      </c>
      <c r="AB31" s="1809">
        <f t="shared" si="4"/>
        <v>1</v>
      </c>
      <c r="AC31" s="1809">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95" t="s">
        <v>2564</v>
      </c>
      <c r="Q32" s="1808" t="str">
        <f t="shared" si="8"/>
        <v>商业类型</v>
      </c>
      <c r="R32" s="774" t="s">
        <v>17</v>
      </c>
      <c r="S32" s="775">
        <f t="shared" si="9"/>
        <v>100</v>
      </c>
      <c r="T32" s="774" t="s">
        <v>17</v>
      </c>
      <c r="U32" s="775">
        <f t="shared" si="10"/>
        <v>100</v>
      </c>
      <c r="V32" s="774" t="s">
        <v>17</v>
      </c>
      <c r="W32" s="775">
        <f t="shared" si="11"/>
        <v>100</v>
      </c>
      <c r="X32" s="1811"/>
      <c r="Y32" s="3198" t="s">
        <v>2564</v>
      </c>
      <c r="Z32" s="1812" t="str">
        <f t="shared" si="12"/>
        <v>商业类型</v>
      </c>
      <c r="AA32" s="1809">
        <f t="shared" si="3"/>
        <v>1</v>
      </c>
      <c r="AB32" s="1809">
        <f t="shared" si="4"/>
        <v>1</v>
      </c>
      <c r="AC32" s="1809">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8"/>
        <v>项目建筑规模</v>
      </c>
      <c r="R33" s="777" t="s">
        <v>17</v>
      </c>
      <c r="S33" s="778" t="e">
        <f t="shared" si="9"/>
        <v>#N/A</v>
      </c>
      <c r="T33" s="777" t="s">
        <v>17</v>
      </c>
      <c r="U33" s="778" t="e">
        <f t="shared" si="10"/>
        <v>#N/A</v>
      </c>
      <c r="V33" s="777" t="s">
        <v>17</v>
      </c>
      <c r="W33" s="778" t="e">
        <f t="shared" si="11"/>
        <v>#N/A</v>
      </c>
      <c r="X33" s="779"/>
      <c r="Y33" s="3198"/>
      <c r="Z33" s="780" t="str">
        <f t="shared" si="12"/>
        <v>项目建筑规模</v>
      </c>
      <c r="AA33" s="1809" t="e">
        <f t="shared" si="3"/>
        <v>#N/A</v>
      </c>
      <c r="AB33" s="1809" t="e">
        <f t="shared" si="4"/>
        <v>#N/A</v>
      </c>
      <c r="AC33" s="1809"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196"/>
      <c r="Q34" s="1808" t="str">
        <f t="shared" si="8"/>
        <v>建筑结构</v>
      </c>
      <c r="R34" s="774" t="s">
        <v>17</v>
      </c>
      <c r="S34" s="775">
        <f t="shared" si="9"/>
        <v>100</v>
      </c>
      <c r="T34" s="774" t="s">
        <v>17</v>
      </c>
      <c r="U34" s="775">
        <f t="shared" si="10"/>
        <v>100</v>
      </c>
      <c r="V34" s="774" t="s">
        <v>17</v>
      </c>
      <c r="W34" s="775">
        <f t="shared" si="11"/>
        <v>100</v>
      </c>
      <c r="X34" s="1811"/>
      <c r="Y34" s="3198"/>
      <c r="Z34" s="1812" t="str">
        <f t="shared" si="12"/>
        <v>建筑结构</v>
      </c>
      <c r="AA34" s="1809">
        <f t="shared" si="3"/>
        <v>1</v>
      </c>
      <c r="AB34" s="1809">
        <f t="shared" si="4"/>
        <v>1</v>
      </c>
      <c r="AC34" s="1809">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96"/>
      <c r="Q35" s="1808" t="str">
        <f t="shared" si="8"/>
        <v>公共部分装修</v>
      </c>
      <c r="R35" s="774" t="s">
        <v>17</v>
      </c>
      <c r="S35" s="775">
        <f t="shared" si="9"/>
        <v>100</v>
      </c>
      <c r="T35" s="774" t="s">
        <v>17</v>
      </c>
      <c r="U35" s="775">
        <f t="shared" si="10"/>
        <v>100</v>
      </c>
      <c r="V35" s="774" t="s">
        <v>17</v>
      </c>
      <c r="W35" s="775">
        <f t="shared" si="11"/>
        <v>100</v>
      </c>
      <c r="X35" s="1811"/>
      <c r="Y35" s="3198"/>
      <c r="Z35" s="1812" t="str">
        <f t="shared" si="12"/>
        <v>公共部分装修</v>
      </c>
      <c r="AA35" s="1809">
        <f t="shared" si="3"/>
        <v>1</v>
      </c>
      <c r="AB35" s="1809">
        <f t="shared" si="4"/>
        <v>1</v>
      </c>
      <c r="AC35" s="1809">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08" t="str">
        <f t="shared" si="8"/>
        <v>成新度</v>
      </c>
      <c r="R36" s="774" t="s">
        <v>17</v>
      </c>
      <c r="S36" s="775" t="e">
        <f t="shared" si="9"/>
        <v>#N/A</v>
      </c>
      <c r="T36" s="774" t="s">
        <v>17</v>
      </c>
      <c r="U36" s="775" t="e">
        <f t="shared" si="10"/>
        <v>#N/A</v>
      </c>
      <c r="V36" s="774" t="s">
        <v>17</v>
      </c>
      <c r="W36" s="775" t="e">
        <f t="shared" si="11"/>
        <v>#N/A</v>
      </c>
      <c r="X36" s="1811"/>
      <c r="Y36" s="3198"/>
      <c r="Z36" s="1812" t="str">
        <f t="shared" si="12"/>
        <v>成新度</v>
      </c>
      <c r="AA36" s="1809" t="e">
        <f t="shared" si="3"/>
        <v>#N/A</v>
      </c>
      <c r="AB36" s="1809" t="e">
        <f t="shared" si="4"/>
        <v>#N/A</v>
      </c>
      <c r="AC36" s="1809"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96"/>
      <c r="Q37" s="1793" t="str">
        <f t="shared" si="8"/>
        <v>市政基础设施</v>
      </c>
      <c r="R37" s="770" t="s">
        <v>17</v>
      </c>
      <c r="S37" s="771">
        <f t="shared" si="9"/>
        <v>100</v>
      </c>
      <c r="T37" s="770" t="s">
        <v>17</v>
      </c>
      <c r="U37" s="771">
        <f t="shared" si="10"/>
        <v>100</v>
      </c>
      <c r="V37" s="770" t="s">
        <v>17</v>
      </c>
      <c r="W37" s="771">
        <f t="shared" si="11"/>
        <v>100</v>
      </c>
      <c r="X37" s="772"/>
      <c r="Y37" s="3198"/>
      <c r="Z37" s="55" t="str">
        <f t="shared" si="12"/>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96" t="s">
        <v>2564</v>
      </c>
      <c r="Q38" s="1808" t="str">
        <f t="shared" si="8"/>
        <v>业态</v>
      </c>
      <c r="R38" s="774" t="s">
        <v>17</v>
      </c>
      <c r="S38" s="775">
        <f t="shared" si="9"/>
        <v>100</v>
      </c>
      <c r="T38" s="774" t="s">
        <v>17</v>
      </c>
      <c r="U38" s="775">
        <f t="shared" si="10"/>
        <v>100</v>
      </c>
      <c r="V38" s="774" t="s">
        <v>17</v>
      </c>
      <c r="W38" s="775">
        <f t="shared" si="11"/>
        <v>100</v>
      </c>
      <c r="X38" s="1811"/>
      <c r="Y38" s="3198" t="s">
        <v>2564</v>
      </c>
      <c r="Z38" s="1812" t="str">
        <f t="shared" si="12"/>
        <v>业态</v>
      </c>
      <c r="AA38" s="1809">
        <f t="shared" si="3"/>
        <v>1</v>
      </c>
      <c r="AB38" s="1809">
        <f t="shared" si="4"/>
        <v>1</v>
      </c>
      <c r="AC38" s="1809">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96"/>
      <c r="Q39" s="1808" t="str">
        <f t="shared" si="8"/>
        <v>层高</v>
      </c>
      <c r="R39" s="774" t="s">
        <v>17</v>
      </c>
      <c r="S39" s="775">
        <f t="shared" si="9"/>
        <v>100</v>
      </c>
      <c r="T39" s="774" t="s">
        <v>17</v>
      </c>
      <c r="U39" s="775">
        <f t="shared" si="10"/>
        <v>100</v>
      </c>
      <c r="V39" s="774" t="s">
        <v>17</v>
      </c>
      <c r="W39" s="775">
        <f t="shared" si="11"/>
        <v>100</v>
      </c>
      <c r="X39" s="1811"/>
      <c r="Y39" s="3198"/>
      <c r="Z39" s="1812" t="str">
        <f t="shared" si="12"/>
        <v>层高</v>
      </c>
      <c r="AA39" s="1809">
        <f t="shared" si="3"/>
        <v>1</v>
      </c>
      <c r="AB39" s="1809">
        <f t="shared" si="4"/>
        <v>1</v>
      </c>
      <c r="AC39" s="1809">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08" t="str">
        <f t="shared" si="8"/>
        <v>单套建筑面积</v>
      </c>
      <c r="R40" s="774" t="s">
        <v>17</v>
      </c>
      <c r="S40" s="775">
        <f t="shared" si="9"/>
        <v>100</v>
      </c>
      <c r="T40" s="774" t="s">
        <v>17</v>
      </c>
      <c r="U40" s="775">
        <f t="shared" si="10"/>
        <v>100</v>
      </c>
      <c r="V40" s="774" t="s">
        <v>17</v>
      </c>
      <c r="W40" s="775">
        <f t="shared" si="11"/>
        <v>100</v>
      </c>
      <c r="X40" s="1811"/>
      <c r="Y40" s="3198"/>
      <c r="Z40" s="1812" t="str">
        <f t="shared" si="12"/>
        <v>单套建筑面积</v>
      </c>
      <c r="AA40" s="1809">
        <f t="shared" si="3"/>
        <v>1</v>
      </c>
      <c r="AB40" s="1809">
        <f t="shared" si="4"/>
        <v>1</v>
      </c>
      <c r="AC40" s="1809">
        <f t="shared" si="5"/>
        <v>1</v>
      </c>
    </row>
    <row r="41" spans="1:29" s="471" customFormat="1" ht="15">
      <c r="A41" s="468"/>
      <c r="B41" s="1810"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8"/>
        <v>进深比</v>
      </c>
      <c r="R41" s="777" t="s">
        <v>17</v>
      </c>
      <c r="S41" s="778">
        <f t="shared" si="9"/>
        <v>100</v>
      </c>
      <c r="T41" s="777" t="s">
        <v>17</v>
      </c>
      <c r="U41" s="778">
        <f t="shared" si="10"/>
        <v>100</v>
      </c>
      <c r="V41" s="777" t="s">
        <v>17</v>
      </c>
      <c r="W41" s="778">
        <f t="shared" si="11"/>
        <v>100</v>
      </c>
      <c r="X41" s="779"/>
      <c r="Y41" s="3198"/>
      <c r="Z41" s="780" t="str">
        <f t="shared" si="12"/>
        <v>进深比</v>
      </c>
      <c r="AA41" s="1809">
        <f t="shared" si="3"/>
        <v>1</v>
      </c>
      <c r="AB41" s="1809">
        <f t="shared" si="4"/>
        <v>1</v>
      </c>
      <c r="AC41" s="1809">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96"/>
      <c r="Q42" s="1808" t="str">
        <f t="shared" si="8"/>
        <v>内部装修</v>
      </c>
      <c r="R42" s="774" t="s">
        <v>17</v>
      </c>
      <c r="S42" s="775">
        <f t="shared" si="9"/>
        <v>100</v>
      </c>
      <c r="T42" s="774" t="s">
        <v>17</v>
      </c>
      <c r="U42" s="775">
        <f t="shared" si="10"/>
        <v>100</v>
      </c>
      <c r="V42" s="774" t="s">
        <v>17</v>
      </c>
      <c r="W42" s="775">
        <f t="shared" si="11"/>
        <v>100</v>
      </c>
      <c r="X42" s="1811"/>
      <c r="Y42" s="3198"/>
      <c r="Z42" s="1812" t="str">
        <f t="shared" si="12"/>
        <v>内部装修</v>
      </c>
      <c r="AA42" s="1809">
        <f t="shared" si="3"/>
        <v>1</v>
      </c>
      <c r="AB42" s="1809">
        <f t="shared" si="4"/>
        <v>1</v>
      </c>
      <c r="AC42" s="1809">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96"/>
      <c r="Q43" s="1808" t="str">
        <f t="shared" si="8"/>
        <v>内部装修维护情况</v>
      </c>
      <c r="R43" s="774" t="s">
        <v>17</v>
      </c>
      <c r="S43" s="775">
        <f t="shared" si="9"/>
        <v>100</v>
      </c>
      <c r="T43" s="774" t="s">
        <v>17</v>
      </c>
      <c r="U43" s="775">
        <f t="shared" si="10"/>
        <v>100</v>
      </c>
      <c r="V43" s="774" t="s">
        <v>17</v>
      </c>
      <c r="W43" s="775">
        <f t="shared" si="11"/>
        <v>100</v>
      </c>
      <c r="X43" s="1811"/>
      <c r="Y43" s="3198"/>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3">
        <f t="shared" si="8"/>
        <v>111</v>
      </c>
      <c r="R44" s="770" t="s">
        <v>17</v>
      </c>
      <c r="S44" s="771">
        <f t="shared" si="9"/>
        <v>100</v>
      </c>
      <c r="T44" s="770" t="s">
        <v>17</v>
      </c>
      <c r="U44" s="771">
        <f t="shared" si="10"/>
        <v>100</v>
      </c>
      <c r="V44" s="770" t="s">
        <v>17</v>
      </c>
      <c r="W44" s="771">
        <f t="shared" si="11"/>
        <v>100</v>
      </c>
      <c r="X44" s="772"/>
      <c r="Y44" s="3198"/>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08">
        <f t="shared" si="8"/>
        <v>111</v>
      </c>
      <c r="R45" s="774" t="s">
        <v>17</v>
      </c>
      <c r="S45" s="775">
        <f t="shared" si="9"/>
        <v>100</v>
      </c>
      <c r="T45" s="774" t="s">
        <v>17</v>
      </c>
      <c r="U45" s="775">
        <f t="shared" si="10"/>
        <v>100</v>
      </c>
      <c r="V45" s="774" t="s">
        <v>17</v>
      </c>
      <c r="W45" s="775">
        <f t="shared" si="11"/>
        <v>100</v>
      </c>
      <c r="X45" s="1811"/>
      <c r="Y45" s="3198"/>
      <c r="Z45" s="1812">
        <f t="shared" si="12"/>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08">
        <f t="shared" si="8"/>
        <v>111</v>
      </c>
      <c r="R46" s="774" t="s">
        <v>17</v>
      </c>
      <c r="S46" s="775">
        <f t="shared" si="9"/>
        <v>100</v>
      </c>
      <c r="T46" s="774" t="s">
        <v>17</v>
      </c>
      <c r="U46" s="775">
        <f t="shared" si="10"/>
        <v>100</v>
      </c>
      <c r="V46" s="774" t="s">
        <v>17</v>
      </c>
      <c r="W46" s="775">
        <f t="shared" si="11"/>
        <v>100</v>
      </c>
      <c r="X46" s="1811"/>
      <c r="Y46" s="3199"/>
      <c r="Z46" s="1812">
        <f t="shared" si="12"/>
        <v>111</v>
      </c>
      <c r="AA46" s="1809">
        <f t="shared" si="3"/>
        <v>1</v>
      </c>
      <c r="AB46" s="1809">
        <f t="shared" si="4"/>
        <v>1</v>
      </c>
      <c r="AC46" s="1809">
        <f t="shared" si="5"/>
        <v>1</v>
      </c>
    </row>
    <row r="47" spans="1:29" ht="15">
      <c r="A47" s="479" t="s">
        <v>2576</v>
      </c>
      <c r="B47" s="480"/>
      <c r="C47" s="1410" t="s">
        <v>1</v>
      </c>
      <c r="D47" s="1411"/>
      <c r="E47" s="1412"/>
      <c r="F47" s="1413"/>
      <c r="G47" s="1414"/>
      <c r="H47" s="1415"/>
      <c r="I47" s="1412"/>
      <c r="J47" s="1415"/>
      <c r="K47" s="783"/>
      <c r="L47" s="1146"/>
      <c r="M47" s="1147"/>
      <c r="N47" s="1134"/>
      <c r="O47" s="1147"/>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2547</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2562</v>
      </c>
      <c r="B100" s="528" t="s">
        <v>2680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0"/>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0"/>
      <c r="Q106" s="504"/>
    </row>
    <row r="107" spans="1:17" ht="15" thickTop="1">
      <c r="A107" s="599"/>
      <c r="B107" s="538" t="s">
        <v>2615</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0"/>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1"/>
      <c r="Q113" s="559"/>
    </row>
    <row r="114" spans="1:17" ht="15" thickTop="1">
      <c r="A114" s="599"/>
      <c r="B114" s="538" t="s">
        <v>2681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0"/>
      <c r="Q115" s="504"/>
    </row>
    <row r="116" spans="1:17" ht="15" thickTop="1">
      <c r="A116" s="599"/>
      <c r="B116" s="538" t="s">
        <v>2682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2683</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69" t="s">
        <v>2685</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IF(C2="——",ROUND(C50*D3/10000,0),ROUND(C50*D3/10000,0)-D2)</f>
        <v>#DIV/0!</v>
      </c>
      <c r="C2" s="2586"/>
      <c r="D2" s="1368" t="e">
        <f ca="1">SUMIF(INDIRECT("'"&amp;F2&amp;"'"&amp;"!A:A"),"承租人权益价值",INDIRECT("'"&amp;F2&amp;"'"&amp;"!c:c"))</f>
        <v>#REF!</v>
      </c>
      <c r="E2" s="2587" t="s">
        <v>2327</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4096.63</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40" t="s">
        <v>2650</v>
      </c>
      <c r="Q4" s="3241"/>
      <c r="R4" s="3244" t="s">
        <v>2646</v>
      </c>
      <c r="S4" s="3245"/>
      <c r="T4" s="3244" t="s">
        <v>2647</v>
      </c>
      <c r="U4" s="3245"/>
      <c r="V4" s="3246" t="s">
        <v>2648</v>
      </c>
      <c r="W4" s="3246"/>
      <c r="X4" s="2670"/>
      <c r="Y4" s="3244" t="s">
        <v>2650</v>
      </c>
      <c r="Z4" s="3245"/>
      <c r="AA4" s="3248" t="s">
        <v>2646</v>
      </c>
      <c r="AB4" s="3248" t="s">
        <v>2647</v>
      </c>
      <c r="AC4" s="3237" t="s">
        <v>2648</v>
      </c>
    </row>
    <row r="5" spans="1:29" ht="15">
      <c r="A5" s="404"/>
      <c r="B5" s="405"/>
      <c r="C5" s="3225" t="s">
        <v>2541</v>
      </c>
      <c r="D5" s="3226"/>
      <c r="E5" s="3232" t="s">
        <v>2542</v>
      </c>
      <c r="F5" s="3233"/>
      <c r="G5" s="3225" t="s">
        <v>2543</v>
      </c>
      <c r="H5" s="3226"/>
      <c r="I5" s="3225" t="s">
        <v>2544</v>
      </c>
      <c r="J5" s="3226"/>
      <c r="K5" s="610"/>
      <c r="L5" s="1133"/>
      <c r="M5" s="1134"/>
      <c r="N5" s="1134"/>
      <c r="O5" s="1134"/>
      <c r="P5" s="3242"/>
      <c r="Q5" s="3213"/>
      <c r="R5" s="3218"/>
      <c r="S5" s="3219"/>
      <c r="T5" s="3218"/>
      <c r="U5" s="3219"/>
      <c r="V5" s="3222"/>
      <c r="W5" s="3222"/>
      <c r="X5" s="1811"/>
      <c r="Y5" s="3218"/>
      <c r="Z5" s="3219"/>
      <c r="AA5" s="3204"/>
      <c r="AB5" s="3204"/>
      <c r="AC5" s="3238"/>
    </row>
    <row r="6" spans="1:29" ht="15.75" thickBot="1">
      <c r="A6" s="406"/>
      <c r="B6" s="407"/>
      <c r="C6" s="3223" t="s">
        <v>2545</v>
      </c>
      <c r="D6" s="3224"/>
      <c r="E6" s="3230" t="s">
        <v>2545</v>
      </c>
      <c r="F6" s="3231"/>
      <c r="G6" s="3223" t="s">
        <v>2545</v>
      </c>
      <c r="H6" s="3224"/>
      <c r="I6" s="3223" t="s">
        <v>2545</v>
      </c>
      <c r="J6" s="3224"/>
      <c r="K6" s="610" t="s">
        <v>2546</v>
      </c>
      <c r="L6" s="1133"/>
      <c r="M6" s="1134"/>
      <c r="N6" s="1134"/>
      <c r="O6" s="1134"/>
      <c r="P6" s="3243"/>
      <c r="Q6" s="3215"/>
      <c r="R6" s="3218"/>
      <c r="S6" s="3219"/>
      <c r="T6" s="3220"/>
      <c r="U6" s="3221"/>
      <c r="V6" s="3222"/>
      <c r="W6" s="3222"/>
      <c r="X6" s="1811"/>
      <c r="Y6" s="3220"/>
      <c r="Z6" s="3221"/>
      <c r="AA6" s="3205"/>
      <c r="AB6" s="3205"/>
      <c r="AC6" s="3239"/>
    </row>
    <row r="7" spans="1:29" s="117" customFormat="1" ht="15.75" thickBot="1">
      <c r="A7" s="408" t="s">
        <v>2547</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2548</v>
      </c>
      <c r="Q7" s="3229"/>
      <c r="R7" s="770" t="s">
        <v>17</v>
      </c>
      <c r="S7" s="771">
        <f t="shared" ref="S7:S15" si="0">F7</f>
        <v>0</v>
      </c>
      <c r="T7" s="770" t="s">
        <v>17</v>
      </c>
      <c r="U7" s="771">
        <f t="shared" ref="U7:U15" si="1">H7</f>
        <v>0</v>
      </c>
      <c r="V7" s="770" t="s">
        <v>17</v>
      </c>
      <c r="W7" s="771">
        <f t="shared" ref="W7:W15" si="2">J7</f>
        <v>0</v>
      </c>
      <c r="X7" s="772"/>
      <c r="Y7" s="3227" t="s">
        <v>2548</v>
      </c>
      <c r="Z7" s="3228"/>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2551</v>
      </c>
      <c r="Q8" s="3228"/>
      <c r="R8" s="770" t="s">
        <v>17</v>
      </c>
      <c r="S8" s="771">
        <f t="shared" si="0"/>
        <v>0</v>
      </c>
      <c r="T8" s="770" t="s">
        <v>17</v>
      </c>
      <c r="U8" s="771">
        <f t="shared" si="1"/>
        <v>0</v>
      </c>
      <c r="V8" s="770" t="s">
        <v>17</v>
      </c>
      <c r="W8" s="771">
        <f t="shared" si="2"/>
        <v>0</v>
      </c>
      <c r="X8" s="772"/>
      <c r="Y8" s="3227" t="s">
        <v>2551</v>
      </c>
      <c r="Z8" s="3228"/>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3"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2"/>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2"/>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2"/>
      <c r="Q14" s="1793">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0" t="s">
        <v>2559</v>
      </c>
      <c r="Q15" s="1808" t="str">
        <f t="shared" si="6"/>
        <v>办公集聚程度</v>
      </c>
      <c r="R15" s="774" t="s">
        <v>17</v>
      </c>
      <c r="S15" s="775">
        <f t="shared" si="0"/>
        <v>100</v>
      </c>
      <c r="T15" s="774" t="s">
        <v>17</v>
      </c>
      <c r="U15" s="775">
        <f t="shared" si="1"/>
        <v>100</v>
      </c>
      <c r="V15" s="774" t="s">
        <v>17</v>
      </c>
      <c r="W15" s="775">
        <f t="shared" si="2"/>
        <v>100</v>
      </c>
      <c r="X15" s="1811"/>
      <c r="Y15" s="3193" t="s">
        <v>2559</v>
      </c>
      <c r="Z15" s="1812" t="str">
        <f t="shared" si="7"/>
        <v>办公集聚程度</v>
      </c>
      <c r="AA15" s="1809">
        <f t="shared" si="3"/>
        <v>1</v>
      </c>
      <c r="AB15" s="1809">
        <f t="shared" si="4"/>
        <v>1</v>
      </c>
      <c r="AC15" s="2674">
        <f t="shared" si="5"/>
        <v>1</v>
      </c>
    </row>
    <row r="16" spans="1:29" ht="15">
      <c r="A16" s="428"/>
      <c r="B16" s="630"/>
      <c r="C16" s="2611"/>
      <c r="D16" s="448"/>
      <c r="E16" s="447"/>
      <c r="F16" s="448"/>
      <c r="G16" s="2611"/>
      <c r="H16" s="450"/>
      <c r="I16" s="447"/>
      <c r="J16" s="448"/>
      <c r="K16" s="615"/>
      <c r="L16" s="1143"/>
      <c r="M16" s="1134"/>
      <c r="N16" s="1134"/>
      <c r="O16" s="1134"/>
      <c r="P16" s="3201"/>
      <c r="Q16" s="1808"/>
      <c r="R16" s="774"/>
      <c r="S16" s="775"/>
      <c r="T16" s="774"/>
      <c r="U16" s="775"/>
      <c r="V16" s="774"/>
      <c r="W16" s="775"/>
      <c r="X16" s="1811"/>
      <c r="Y16" s="3194"/>
      <c r="Z16" s="1812"/>
      <c r="AA16" s="1809">
        <v>1</v>
      </c>
      <c r="AB16" s="1809">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08" t="str">
        <f>B17</f>
        <v>交通便捷度</v>
      </c>
      <c r="R17" s="774" t="s">
        <v>17</v>
      </c>
      <c r="S17" s="775">
        <f>F17</f>
        <v>100</v>
      </c>
      <c r="T17" s="774" t="s">
        <v>17</v>
      </c>
      <c r="U17" s="775">
        <f>H17</f>
        <v>100</v>
      </c>
      <c r="V17" s="774" t="s">
        <v>17</v>
      </c>
      <c r="W17" s="775">
        <f>J17</f>
        <v>100</v>
      </c>
      <c r="X17" s="1811"/>
      <c r="Y17" s="3194"/>
      <c r="Z17" s="1812" t="str">
        <f>Q17</f>
        <v>交通便捷度</v>
      </c>
      <c r="AA17" s="1809">
        <f t="shared" si="3"/>
        <v>1</v>
      </c>
      <c r="AB17" s="1809">
        <f t="shared" si="4"/>
        <v>1</v>
      </c>
      <c r="AC17" s="2674">
        <f t="shared" si="5"/>
        <v>1</v>
      </c>
    </row>
    <row r="18" spans="1:29" ht="15">
      <c r="A18" s="428"/>
      <c r="B18" s="632"/>
      <c r="C18" s="2676"/>
      <c r="D18" s="450"/>
      <c r="E18" s="2609"/>
      <c r="F18" s="450"/>
      <c r="G18" s="2610"/>
      <c r="H18" s="448"/>
      <c r="I18" s="2610"/>
      <c r="J18" s="448"/>
      <c r="K18" s="615"/>
      <c r="L18" s="1143"/>
      <c r="M18" s="1134"/>
      <c r="N18" s="1134"/>
      <c r="O18" s="1134"/>
      <c r="P18" s="3201"/>
      <c r="Q18" s="1808"/>
      <c r="R18" s="774"/>
      <c r="S18" s="775"/>
      <c r="T18" s="774"/>
      <c r="U18" s="775"/>
      <c r="V18" s="774"/>
      <c r="W18" s="775"/>
      <c r="X18" s="1811"/>
      <c r="Y18" s="3194"/>
      <c r="Z18" s="1812"/>
      <c r="AA18" s="1809">
        <v>1</v>
      </c>
      <c r="AB18" s="1809">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08" t="str">
        <f>B19</f>
        <v>公共配套设施</v>
      </c>
      <c r="R19" s="774" t="s">
        <v>17</v>
      </c>
      <c r="S19" s="775">
        <f>F19</f>
        <v>100</v>
      </c>
      <c r="T19" s="774" t="s">
        <v>17</v>
      </c>
      <c r="U19" s="775">
        <f>H19</f>
        <v>100</v>
      </c>
      <c r="V19" s="774" t="s">
        <v>17</v>
      </c>
      <c r="W19" s="775">
        <f>J19</f>
        <v>100</v>
      </c>
      <c r="X19" s="1811"/>
      <c r="Y19" s="3194"/>
      <c r="Z19" s="1812" t="str">
        <f>Q19</f>
        <v>公共配套设施</v>
      </c>
      <c r="AA19" s="1809">
        <f t="shared" si="3"/>
        <v>1</v>
      </c>
      <c r="AB19" s="1809">
        <f t="shared" si="4"/>
        <v>1</v>
      </c>
      <c r="AC19" s="2674">
        <f t="shared" si="5"/>
        <v>1</v>
      </c>
    </row>
    <row r="20" spans="1:29" ht="15">
      <c r="A20" s="428"/>
      <c r="B20" s="632"/>
      <c r="C20" s="2611"/>
      <c r="D20" s="448"/>
      <c r="E20" s="2604"/>
      <c r="F20" s="448"/>
      <c r="G20" s="2605"/>
      <c r="H20" s="448"/>
      <c r="I20" s="2605"/>
      <c r="J20" s="448"/>
      <c r="K20" s="615"/>
      <c r="L20" s="1143"/>
      <c r="M20" s="1134"/>
      <c r="N20" s="1134"/>
      <c r="O20" s="1134"/>
      <c r="P20" s="3201"/>
      <c r="Q20" s="1808"/>
      <c r="R20" s="774"/>
      <c r="S20" s="775"/>
      <c r="T20" s="774"/>
      <c r="U20" s="775"/>
      <c r="V20" s="774"/>
      <c r="W20" s="775"/>
      <c r="X20" s="1811"/>
      <c r="Y20" s="3194"/>
      <c r="Z20" s="1812"/>
      <c r="AA20" s="1809">
        <v>1</v>
      </c>
      <c r="AB20" s="1809">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08" t="str">
        <f>B21</f>
        <v>基础设施水平</v>
      </c>
      <c r="R21" s="774" t="s">
        <v>17</v>
      </c>
      <c r="S21" s="775">
        <f>F21</f>
        <v>100</v>
      </c>
      <c r="T21" s="774" t="s">
        <v>17</v>
      </c>
      <c r="U21" s="775">
        <f>H21</f>
        <v>100</v>
      </c>
      <c r="V21" s="774" t="s">
        <v>17</v>
      </c>
      <c r="W21" s="775">
        <f>J21</f>
        <v>100</v>
      </c>
      <c r="X21" s="1811"/>
      <c r="Y21" s="3194"/>
      <c r="Z21" s="1812" t="str">
        <f>Q21</f>
        <v>基础设施水平</v>
      </c>
      <c r="AA21" s="1809">
        <f>D21/F21</f>
        <v>1</v>
      </c>
      <c r="AB21" s="1809">
        <f>D21/H21</f>
        <v>1</v>
      </c>
      <c r="AC21" s="2674">
        <f>D21/J21</f>
        <v>1</v>
      </c>
    </row>
    <row r="22" spans="1:29" ht="15">
      <c r="A22" s="428"/>
      <c r="B22" s="633"/>
      <c r="C22" s="2676"/>
      <c r="D22" s="448"/>
      <c r="E22" s="447"/>
      <c r="F22" s="448"/>
      <c r="G22" s="2611"/>
      <c r="H22" s="448"/>
      <c r="I22" s="2611"/>
      <c r="J22" s="448"/>
      <c r="K22" s="1386"/>
      <c r="L22" s="1143"/>
      <c r="M22" s="1134"/>
      <c r="N22" s="1134"/>
      <c r="O22" s="1134"/>
      <c r="P22" s="3201"/>
      <c r="Q22" s="1808"/>
      <c r="R22" s="774"/>
      <c r="S22" s="775"/>
      <c r="T22" s="774"/>
      <c r="U22" s="775"/>
      <c r="V22" s="774"/>
      <c r="W22" s="775"/>
      <c r="X22" s="1811"/>
      <c r="Y22" s="3194"/>
      <c r="Z22" s="1812"/>
      <c r="AA22" s="1809">
        <v>1</v>
      </c>
      <c r="AB22" s="1809">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08" t="str">
        <f>B23</f>
        <v>环境质量</v>
      </c>
      <c r="R23" s="774" t="s">
        <v>17</v>
      </c>
      <c r="S23" s="775">
        <f>F23</f>
        <v>100</v>
      </c>
      <c r="T23" s="774" t="s">
        <v>17</v>
      </c>
      <c r="U23" s="775">
        <f>H23</f>
        <v>100</v>
      </c>
      <c r="V23" s="774" t="s">
        <v>17</v>
      </c>
      <c r="W23" s="775">
        <f>J23</f>
        <v>100</v>
      </c>
      <c r="X23" s="1811"/>
      <c r="Y23" s="3194"/>
      <c r="Z23" s="1812" t="str">
        <f>Q23</f>
        <v>环境质量</v>
      </c>
      <c r="AA23" s="1809">
        <f t="shared" si="3"/>
        <v>1</v>
      </c>
      <c r="AB23" s="1809">
        <f t="shared" si="4"/>
        <v>1</v>
      </c>
      <c r="AC23" s="2674">
        <f t="shared" si="5"/>
        <v>1</v>
      </c>
    </row>
    <row r="24" spans="1:29" ht="15">
      <c r="A24" s="428"/>
      <c r="B24" s="633"/>
      <c r="C24" s="2611"/>
      <c r="D24" s="448"/>
      <c r="E24" s="2604"/>
      <c r="F24" s="448"/>
      <c r="G24" s="2605"/>
      <c r="H24" s="448"/>
      <c r="I24" s="2605"/>
      <c r="J24" s="448"/>
      <c r="K24" s="615"/>
      <c r="L24" s="1143"/>
      <c r="M24" s="1134"/>
      <c r="N24" s="1134"/>
      <c r="O24" s="1134"/>
      <c r="P24" s="3201"/>
      <c r="Q24" s="1808"/>
      <c r="R24" s="774"/>
      <c r="S24" s="775"/>
      <c r="T24" s="774"/>
      <c r="U24" s="775"/>
      <c r="V24" s="774"/>
      <c r="W24" s="775"/>
      <c r="X24" s="1811"/>
      <c r="Y24" s="3194"/>
      <c r="Z24" s="1812"/>
      <c r="AA24" s="1809">
        <v>1</v>
      </c>
      <c r="AB24" s="1809">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1"/>
      <c r="Q25" s="1808" t="str">
        <f>B25</f>
        <v>毗邻道路的类型与等级</v>
      </c>
      <c r="R25" s="774" t="s">
        <v>17</v>
      </c>
      <c r="S25" s="775">
        <f>F25</f>
        <v>100</v>
      </c>
      <c r="T25" s="774" t="s">
        <v>17</v>
      </c>
      <c r="U25" s="775">
        <f>H25</f>
        <v>100</v>
      </c>
      <c r="V25" s="774" t="s">
        <v>17</v>
      </c>
      <c r="W25" s="775">
        <f>J25</f>
        <v>100</v>
      </c>
      <c r="X25" s="1811"/>
      <c r="Y25" s="3194"/>
      <c r="Z25" s="1812" t="str">
        <f>Q25</f>
        <v>毗邻道路的类型与等级</v>
      </c>
      <c r="AA25" s="1809">
        <f t="shared" si="3"/>
        <v>1</v>
      </c>
      <c r="AB25" s="1809">
        <f t="shared" si="4"/>
        <v>1</v>
      </c>
      <c r="AC25" s="2674">
        <f t="shared" si="5"/>
        <v>1</v>
      </c>
    </row>
    <row r="26" spans="1:29" ht="15">
      <c r="A26" s="404"/>
      <c r="B26" s="632"/>
      <c r="C26" s="634"/>
      <c r="D26" s="435"/>
      <c r="E26" s="616"/>
      <c r="F26" s="435"/>
      <c r="G26" s="634"/>
      <c r="H26" s="435"/>
      <c r="I26" s="616"/>
      <c r="J26" s="435"/>
      <c r="K26" s="615"/>
      <c r="L26" s="1143"/>
      <c r="M26" s="1134"/>
      <c r="N26" s="1134"/>
      <c r="O26" s="1134"/>
      <c r="P26" s="3201"/>
      <c r="Q26" s="1808"/>
      <c r="R26" s="774"/>
      <c r="S26" s="775"/>
      <c r="T26" s="774"/>
      <c r="U26" s="775"/>
      <c r="V26" s="774"/>
      <c r="W26" s="775"/>
      <c r="X26" s="1811"/>
      <c r="Y26" s="3194"/>
      <c r="Z26" s="1812"/>
      <c r="AA26" s="1809">
        <v>1</v>
      </c>
      <c r="AB26" s="1809">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1"/>
      <c r="Q27" s="1808" t="str">
        <f t="shared" ref="Q27:Q47" si="8">B27</f>
        <v>楼层</v>
      </c>
      <c r="R27" s="774" t="s">
        <v>17</v>
      </c>
      <c r="S27" s="775">
        <f>F27</f>
        <v>100</v>
      </c>
      <c r="T27" s="774" t="s">
        <v>17</v>
      </c>
      <c r="U27" s="775">
        <f>H27</f>
        <v>100</v>
      </c>
      <c r="V27" s="774" t="s">
        <v>17</v>
      </c>
      <c r="W27" s="775">
        <f>J27</f>
        <v>100</v>
      </c>
      <c r="X27" s="1811"/>
      <c r="Y27" s="3194"/>
      <c r="Z27" s="1812" t="str">
        <f>Q27</f>
        <v>楼层</v>
      </c>
      <c r="AA27" s="1809">
        <f t="shared" si="3"/>
        <v>1</v>
      </c>
      <c r="AB27" s="1809">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01"/>
      <c r="Q28" s="1793" t="str">
        <f t="shared" si="8"/>
        <v>朝向</v>
      </c>
      <c r="R28" s="770" t="s">
        <v>17</v>
      </c>
      <c r="S28" s="771">
        <f>F28</f>
        <v>100</v>
      </c>
      <c r="T28" s="770" t="s">
        <v>17</v>
      </c>
      <c r="U28" s="771">
        <f>H28</f>
        <v>100</v>
      </c>
      <c r="V28" s="770" t="s">
        <v>17</v>
      </c>
      <c r="W28" s="771">
        <f>J28</f>
        <v>100</v>
      </c>
      <c r="X28" s="772"/>
      <c r="Y28" s="3194"/>
      <c r="Z28" s="55" t="str">
        <f>Q28</f>
        <v>朝向</v>
      </c>
      <c r="AA28" s="1809">
        <f>D28/F28</f>
        <v>1</v>
      </c>
      <c r="AB28" s="1809">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01"/>
      <c r="Q29" s="1808">
        <f t="shared" si="8"/>
        <v>111</v>
      </c>
      <c r="R29" s="774" t="s">
        <v>17</v>
      </c>
      <c r="S29" s="775">
        <f t="shared" ref="S29:S47" si="9">F29</f>
        <v>100</v>
      </c>
      <c r="T29" s="774" t="s">
        <v>17</v>
      </c>
      <c r="U29" s="775">
        <f t="shared" ref="U29:U47" si="10">H29</f>
        <v>100</v>
      </c>
      <c r="V29" s="774" t="s">
        <v>17</v>
      </c>
      <c r="W29" s="775">
        <f t="shared" ref="W29:W47" si="11">J29</f>
        <v>100</v>
      </c>
      <c r="X29" s="1811"/>
      <c r="Y29" s="3194"/>
      <c r="Z29" s="1812">
        <f t="shared" ref="Z29:Z47" si="12">Q29</f>
        <v>111</v>
      </c>
      <c r="AA29" s="1809">
        <f t="shared" si="3"/>
        <v>1</v>
      </c>
      <c r="AB29" s="1809">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01"/>
      <c r="Q30" s="1808">
        <f t="shared" si="8"/>
        <v>111</v>
      </c>
      <c r="R30" s="774" t="s">
        <v>17</v>
      </c>
      <c r="S30" s="775">
        <f t="shared" si="9"/>
        <v>100</v>
      </c>
      <c r="T30" s="774" t="s">
        <v>17</v>
      </c>
      <c r="U30" s="775">
        <f t="shared" si="10"/>
        <v>100</v>
      </c>
      <c r="V30" s="774" t="s">
        <v>17</v>
      </c>
      <c r="W30" s="775">
        <f t="shared" si="11"/>
        <v>100</v>
      </c>
      <c r="X30" s="1811"/>
      <c r="Y30" s="3194"/>
      <c r="Z30" s="1812">
        <f t="shared" si="12"/>
        <v>111</v>
      </c>
      <c r="AA30" s="1809">
        <f t="shared" si="3"/>
        <v>1</v>
      </c>
      <c r="AB30" s="1809">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01"/>
      <c r="Q31" s="1808">
        <f t="shared" si="8"/>
        <v>111</v>
      </c>
      <c r="R31" s="774" t="s">
        <v>17</v>
      </c>
      <c r="S31" s="775">
        <f t="shared" si="9"/>
        <v>100</v>
      </c>
      <c r="T31" s="774" t="s">
        <v>17</v>
      </c>
      <c r="U31" s="775">
        <f t="shared" si="10"/>
        <v>100</v>
      </c>
      <c r="V31" s="774" t="s">
        <v>17</v>
      </c>
      <c r="W31" s="775">
        <f t="shared" si="11"/>
        <v>100</v>
      </c>
      <c r="X31" s="1811"/>
      <c r="Y31" s="3194"/>
      <c r="Z31" s="1812">
        <f t="shared" si="12"/>
        <v>111</v>
      </c>
      <c r="AA31" s="1809">
        <f t="shared" si="3"/>
        <v>1</v>
      </c>
      <c r="AB31" s="1809">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01"/>
      <c r="Q32" s="1808">
        <f t="shared" si="8"/>
        <v>111</v>
      </c>
      <c r="R32" s="774" t="s">
        <v>17</v>
      </c>
      <c r="S32" s="775">
        <f t="shared" si="9"/>
        <v>100</v>
      </c>
      <c r="T32" s="774" t="s">
        <v>17</v>
      </c>
      <c r="U32" s="775">
        <f t="shared" si="10"/>
        <v>100</v>
      </c>
      <c r="V32" s="774" t="s">
        <v>17</v>
      </c>
      <c r="W32" s="775">
        <f t="shared" si="11"/>
        <v>100</v>
      </c>
      <c r="X32" s="1811"/>
      <c r="Y32" s="3194"/>
      <c r="Z32" s="1812">
        <f t="shared" si="12"/>
        <v>111</v>
      </c>
      <c r="AA32" s="1809">
        <f t="shared" si="3"/>
        <v>1</v>
      </c>
      <c r="AB32" s="1809">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195" t="s">
        <v>2564</v>
      </c>
      <c r="Q33" s="1808" t="str">
        <f t="shared" si="8"/>
        <v>建筑类型</v>
      </c>
      <c r="R33" s="774" t="s">
        <v>17</v>
      </c>
      <c r="S33" s="775">
        <f t="shared" si="9"/>
        <v>100</v>
      </c>
      <c r="T33" s="774" t="s">
        <v>17</v>
      </c>
      <c r="U33" s="775">
        <f t="shared" si="10"/>
        <v>100</v>
      </c>
      <c r="V33" s="774" t="s">
        <v>17</v>
      </c>
      <c r="W33" s="775">
        <f t="shared" si="11"/>
        <v>100</v>
      </c>
      <c r="X33" s="1811"/>
      <c r="Y33" s="3198" t="s">
        <v>2564</v>
      </c>
      <c r="Z33" s="1812" t="str">
        <f t="shared" si="12"/>
        <v>建筑类型</v>
      </c>
      <c r="AA33" s="1809">
        <f t="shared" si="3"/>
        <v>1</v>
      </c>
      <c r="AB33" s="1809">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6"/>
      <c r="Q34" s="776" t="str">
        <f t="shared" si="8"/>
        <v>项目建筑规模</v>
      </c>
      <c r="R34" s="777" t="s">
        <v>17</v>
      </c>
      <c r="S34" s="778" t="e">
        <f t="shared" si="9"/>
        <v>#N/A</v>
      </c>
      <c r="T34" s="777" t="s">
        <v>17</v>
      </c>
      <c r="U34" s="778" t="e">
        <f t="shared" si="10"/>
        <v>#N/A</v>
      </c>
      <c r="V34" s="777" t="s">
        <v>17</v>
      </c>
      <c r="W34" s="778" t="e">
        <f t="shared" si="11"/>
        <v>#N/A</v>
      </c>
      <c r="X34" s="779"/>
      <c r="Y34" s="3198"/>
      <c r="Z34" s="780" t="str">
        <f t="shared" si="12"/>
        <v>项目建筑规模</v>
      </c>
      <c r="AA34" s="1809" t="e">
        <f t="shared" si="3"/>
        <v>#N/A</v>
      </c>
      <c r="AB34" s="1809"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08" t="str">
        <f t="shared" si="8"/>
        <v>建筑结构</v>
      </c>
      <c r="R35" s="774" t="s">
        <v>17</v>
      </c>
      <c r="S35" s="775">
        <f t="shared" si="9"/>
        <v>100</v>
      </c>
      <c r="T35" s="774" t="s">
        <v>17</v>
      </c>
      <c r="U35" s="775">
        <f t="shared" si="10"/>
        <v>100</v>
      </c>
      <c r="V35" s="774" t="s">
        <v>17</v>
      </c>
      <c r="W35" s="775">
        <f t="shared" si="11"/>
        <v>100</v>
      </c>
      <c r="X35" s="1811"/>
      <c r="Y35" s="3198"/>
      <c r="Z35" s="1812" t="str">
        <f t="shared" si="12"/>
        <v>建筑结构</v>
      </c>
      <c r="AA35" s="1809">
        <f t="shared" si="3"/>
        <v>1</v>
      </c>
      <c r="AB35" s="1809">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08" t="str">
        <f t="shared" si="8"/>
        <v>公共部分装修</v>
      </c>
      <c r="R36" s="774" t="s">
        <v>17</v>
      </c>
      <c r="S36" s="775">
        <f t="shared" si="9"/>
        <v>100</v>
      </c>
      <c r="T36" s="774" t="s">
        <v>17</v>
      </c>
      <c r="U36" s="775">
        <f t="shared" si="10"/>
        <v>100</v>
      </c>
      <c r="V36" s="774" t="s">
        <v>17</v>
      </c>
      <c r="W36" s="775">
        <f t="shared" si="11"/>
        <v>100</v>
      </c>
      <c r="X36" s="1811"/>
      <c r="Y36" s="3198"/>
      <c r="Z36" s="1812" t="str">
        <f t="shared" si="12"/>
        <v>公共部分装修</v>
      </c>
      <c r="AA36" s="1809">
        <f t="shared" si="3"/>
        <v>1</v>
      </c>
      <c r="AB36" s="1809">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6"/>
      <c r="Q37" s="1808" t="str">
        <f t="shared" si="8"/>
        <v>成新度</v>
      </c>
      <c r="R37" s="774" t="s">
        <v>17</v>
      </c>
      <c r="S37" s="775" t="e">
        <f t="shared" si="9"/>
        <v>#N/A</v>
      </c>
      <c r="T37" s="774" t="s">
        <v>17</v>
      </c>
      <c r="U37" s="775" t="e">
        <f t="shared" si="10"/>
        <v>#N/A</v>
      </c>
      <c r="V37" s="774" t="s">
        <v>17</v>
      </c>
      <c r="W37" s="775" t="e">
        <f t="shared" si="11"/>
        <v>#N/A</v>
      </c>
      <c r="X37" s="1811"/>
      <c r="Y37" s="3198"/>
      <c r="Z37" s="1812" t="str">
        <f t="shared" si="12"/>
        <v>成新度</v>
      </c>
      <c r="AA37" s="1809" t="e">
        <f t="shared" si="3"/>
        <v>#N/A</v>
      </c>
      <c r="AB37" s="1809"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3" t="str">
        <f t="shared" si="8"/>
        <v>写字楼等级</v>
      </c>
      <c r="R38" s="770" t="s">
        <v>17</v>
      </c>
      <c r="S38" s="771">
        <f t="shared" si="9"/>
        <v>100</v>
      </c>
      <c r="T38" s="770" t="s">
        <v>17</v>
      </c>
      <c r="U38" s="771">
        <f t="shared" si="10"/>
        <v>100</v>
      </c>
      <c r="V38" s="770" t="s">
        <v>17</v>
      </c>
      <c r="W38" s="771">
        <f t="shared" si="11"/>
        <v>100</v>
      </c>
      <c r="X38" s="772"/>
      <c r="Y38" s="3198"/>
      <c r="Z38" s="55" t="str">
        <f t="shared" si="12"/>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2564</v>
      </c>
      <c r="Q39" s="1808" t="str">
        <f t="shared" si="8"/>
        <v>物业管理</v>
      </c>
      <c r="R39" s="774" t="s">
        <v>17</v>
      </c>
      <c r="S39" s="775">
        <f t="shared" si="9"/>
        <v>100</v>
      </c>
      <c r="T39" s="774" t="s">
        <v>17</v>
      </c>
      <c r="U39" s="775">
        <f t="shared" si="10"/>
        <v>100</v>
      </c>
      <c r="V39" s="774" t="s">
        <v>17</v>
      </c>
      <c r="W39" s="775">
        <f t="shared" si="11"/>
        <v>100</v>
      </c>
      <c r="X39" s="1811"/>
      <c r="Y39" s="3198" t="s">
        <v>2564</v>
      </c>
      <c r="Z39" s="1812" t="str">
        <f t="shared" si="12"/>
        <v>物业管理</v>
      </c>
      <c r="AA39" s="1809">
        <f t="shared" si="3"/>
        <v>1</v>
      </c>
      <c r="AB39" s="1809">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08" t="str">
        <f t="shared" si="8"/>
        <v>市政基础设施</v>
      </c>
      <c r="R40" s="774" t="s">
        <v>17</v>
      </c>
      <c r="S40" s="775">
        <f t="shared" si="9"/>
        <v>100</v>
      </c>
      <c r="T40" s="774" t="s">
        <v>17</v>
      </c>
      <c r="U40" s="775">
        <f t="shared" si="10"/>
        <v>100</v>
      </c>
      <c r="V40" s="774" t="s">
        <v>17</v>
      </c>
      <c r="W40" s="775">
        <f t="shared" si="11"/>
        <v>100</v>
      </c>
      <c r="X40" s="1811"/>
      <c r="Y40" s="3198"/>
      <c r="Z40" s="1812" t="str">
        <f t="shared" si="12"/>
        <v>市政基础设施</v>
      </c>
      <c r="AA40" s="1809">
        <f t="shared" si="3"/>
        <v>1</v>
      </c>
      <c r="AB40" s="1809">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08" t="str">
        <f t="shared" si="8"/>
        <v>层高</v>
      </c>
      <c r="R41" s="774" t="s">
        <v>17</v>
      </c>
      <c r="S41" s="775">
        <f t="shared" si="9"/>
        <v>100</v>
      </c>
      <c r="T41" s="774" t="s">
        <v>17</v>
      </c>
      <c r="U41" s="775">
        <f t="shared" si="10"/>
        <v>100</v>
      </c>
      <c r="V41" s="774" t="s">
        <v>17</v>
      </c>
      <c r="W41" s="775">
        <f t="shared" si="11"/>
        <v>100</v>
      </c>
      <c r="X41" s="1811"/>
      <c r="Y41" s="3198"/>
      <c r="Z41" s="1812" t="str">
        <f t="shared" si="12"/>
        <v>层高</v>
      </c>
      <c r="AA41" s="1809">
        <f t="shared" si="3"/>
        <v>1</v>
      </c>
      <c r="AB41" s="1809">
        <f t="shared" si="4"/>
        <v>1</v>
      </c>
      <c r="AC41" s="2674">
        <f t="shared" si="5"/>
        <v>1</v>
      </c>
    </row>
    <row r="42" spans="1:29" s="471" customFormat="1" ht="15">
      <c r="A42" s="468"/>
      <c r="B42" s="1810"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8"/>
        <v>单套建筑面积</v>
      </c>
      <c r="R42" s="777" t="s">
        <v>17</v>
      </c>
      <c r="S42" s="778">
        <f t="shared" si="9"/>
        <v>100</v>
      </c>
      <c r="T42" s="777" t="s">
        <v>17</v>
      </c>
      <c r="U42" s="778">
        <f t="shared" si="10"/>
        <v>100</v>
      </c>
      <c r="V42" s="777" t="s">
        <v>17</v>
      </c>
      <c r="W42" s="778">
        <f t="shared" si="11"/>
        <v>100</v>
      </c>
      <c r="X42" s="779"/>
      <c r="Y42" s="3198"/>
      <c r="Z42" s="780" t="str">
        <f t="shared" si="12"/>
        <v>单套建筑面积</v>
      </c>
      <c r="AA42" s="1809">
        <f t="shared" si="3"/>
        <v>1</v>
      </c>
      <c r="AB42" s="1809">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08" t="str">
        <f t="shared" si="8"/>
        <v>内部装修</v>
      </c>
      <c r="R43" s="774" t="s">
        <v>17</v>
      </c>
      <c r="S43" s="775">
        <f t="shared" si="9"/>
        <v>100</v>
      </c>
      <c r="T43" s="774" t="s">
        <v>17</v>
      </c>
      <c r="U43" s="775">
        <f t="shared" si="10"/>
        <v>100</v>
      </c>
      <c r="V43" s="774" t="s">
        <v>17</v>
      </c>
      <c r="W43" s="775">
        <f t="shared" si="11"/>
        <v>100</v>
      </c>
      <c r="X43" s="1811"/>
      <c r="Y43" s="3198"/>
      <c r="Z43" s="1812" t="str">
        <f t="shared" si="12"/>
        <v>内部装修</v>
      </c>
      <c r="AA43" s="1809">
        <f t="shared" si="3"/>
        <v>1</v>
      </c>
      <c r="AB43" s="1809">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96"/>
      <c r="Q44" s="1808" t="str">
        <f t="shared" si="8"/>
        <v>内部装修维护情况</v>
      </c>
      <c r="R44" s="774" t="s">
        <v>17</v>
      </c>
      <c r="S44" s="775">
        <f t="shared" si="9"/>
        <v>100</v>
      </c>
      <c r="T44" s="774" t="s">
        <v>17</v>
      </c>
      <c r="U44" s="775">
        <f t="shared" si="10"/>
        <v>100</v>
      </c>
      <c r="V44" s="774" t="s">
        <v>17</v>
      </c>
      <c r="W44" s="775">
        <f t="shared" si="11"/>
        <v>100</v>
      </c>
      <c r="X44" s="1811"/>
      <c r="Y44" s="3198"/>
      <c r="Z44" s="1812" t="str">
        <f t="shared" si="12"/>
        <v>内部装修维护情况</v>
      </c>
      <c r="AA44" s="1809">
        <f t="shared" si="3"/>
        <v>1</v>
      </c>
      <c r="AB44" s="1809">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3">
        <f t="shared" si="8"/>
        <v>111</v>
      </c>
      <c r="R45" s="770" t="s">
        <v>17</v>
      </c>
      <c r="S45" s="771">
        <f t="shared" si="9"/>
        <v>100</v>
      </c>
      <c r="T45" s="770" t="s">
        <v>17</v>
      </c>
      <c r="U45" s="771">
        <f t="shared" si="10"/>
        <v>100</v>
      </c>
      <c r="V45" s="770" t="s">
        <v>17</v>
      </c>
      <c r="W45" s="771">
        <f t="shared" si="11"/>
        <v>100</v>
      </c>
      <c r="X45" s="772"/>
      <c r="Y45" s="3198"/>
      <c r="Z45" s="55">
        <f t="shared" si="12"/>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08">
        <f t="shared" si="8"/>
        <v>111</v>
      </c>
      <c r="R46" s="774" t="s">
        <v>17</v>
      </c>
      <c r="S46" s="775">
        <f t="shared" si="9"/>
        <v>100</v>
      </c>
      <c r="T46" s="774" t="s">
        <v>17</v>
      </c>
      <c r="U46" s="775">
        <f t="shared" si="10"/>
        <v>100</v>
      </c>
      <c r="V46" s="774" t="s">
        <v>17</v>
      </c>
      <c r="W46" s="775">
        <f t="shared" si="11"/>
        <v>100</v>
      </c>
      <c r="X46" s="1811"/>
      <c r="Y46" s="3198"/>
      <c r="Z46" s="1812">
        <f t="shared" si="12"/>
        <v>111</v>
      </c>
      <c r="AA46" s="1809">
        <f t="shared" si="3"/>
        <v>1</v>
      </c>
      <c r="AB46" s="1809">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08">
        <f t="shared" si="8"/>
        <v>111</v>
      </c>
      <c r="R47" s="774" t="s">
        <v>17</v>
      </c>
      <c r="S47" s="775">
        <f t="shared" si="9"/>
        <v>100</v>
      </c>
      <c r="T47" s="774" t="s">
        <v>17</v>
      </c>
      <c r="U47" s="775">
        <f t="shared" si="10"/>
        <v>100</v>
      </c>
      <c r="V47" s="774" t="s">
        <v>17</v>
      </c>
      <c r="W47" s="775">
        <f t="shared" si="11"/>
        <v>100</v>
      </c>
      <c r="X47" s="1811"/>
      <c r="Y47" s="3199"/>
      <c r="Z47" s="1812">
        <f t="shared" si="12"/>
        <v>111</v>
      </c>
      <c r="AA47" s="1809">
        <f t="shared" si="3"/>
        <v>1</v>
      </c>
      <c r="AB47" s="1809">
        <f t="shared" si="4"/>
        <v>1</v>
      </c>
      <c r="AC47" s="2674">
        <f t="shared" si="5"/>
        <v>1</v>
      </c>
    </row>
    <row r="48" spans="1:29" ht="15">
      <c r="A48" s="479" t="s">
        <v>2576</v>
      </c>
      <c r="B48" s="480"/>
      <c r="C48" s="1410" t="s">
        <v>1</v>
      </c>
      <c r="D48" s="1411"/>
      <c r="E48" s="1412"/>
      <c r="F48" s="1413"/>
      <c r="G48" s="1414"/>
      <c r="H48" s="1415"/>
      <c r="I48" s="1412"/>
      <c r="J48" s="485"/>
      <c r="K48" s="783"/>
      <c r="L48" s="1146"/>
      <c r="M48" s="1134"/>
      <c r="N48" s="1134"/>
      <c r="O48" s="1134"/>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1"/>
      <c r="Q58" s="504"/>
    </row>
    <row r="59" spans="1:29" s="508" customFormat="1" ht="15">
      <c r="A59" s="505" t="s">
        <v>2547</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2587</v>
      </c>
      <c r="B64" s="528" t="s">
        <v>2553</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2698</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2562</v>
      </c>
      <c r="B101" s="528" t="s">
        <v>2611</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4"/>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2613</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4"/>
      <c r="Q107" s="504"/>
    </row>
    <row r="108" spans="1:17" ht="15" thickTop="1">
      <c r="A108" s="599"/>
      <c r="B108" s="538" t="s">
        <v>2615</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4"/>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5"/>
      <c r="Q114" s="559"/>
    </row>
    <row r="115" spans="1:17" ht="15" thickTop="1">
      <c r="A115" s="599"/>
      <c r="B115" s="538" t="s">
        <v>2616</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4"/>
      <c r="Q116" s="504"/>
    </row>
    <row r="117" spans="1:17" ht="15" thickTop="1">
      <c r="A117" s="599"/>
      <c r="B117" s="538" t="s">
        <v>2617</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2700</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4"/>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2619</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69" t="s">
        <v>2701</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IF(C2="——",ROUND(C43*D3/10000,0),ROUND(C43*D3/10000,0)-D2)</f>
        <v>#DIV/0!</v>
      </c>
      <c r="C2" s="2586"/>
      <c r="D2" s="1127" t="e">
        <f ca="1">SUMIF(INDIRECT("'"&amp;F2&amp;"'"&amp;"!A:A"),"承租人权益价值",INDIRECT("'"&amp;F2&amp;"'"&amp;"!c:c"))</f>
        <v>#REF!</v>
      </c>
      <c r="E2" s="2587" t="s">
        <v>2327</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04" t="s">
        <v>2647</v>
      </c>
      <c r="AC4" s="3203" t="s">
        <v>2648</v>
      </c>
    </row>
    <row r="5" spans="1:29"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04"/>
      <c r="AC5" s="3204"/>
    </row>
    <row r="6" spans="1:29" ht="15.75" thickBot="1">
      <c r="A6" s="406"/>
      <c r="B6" s="407"/>
      <c r="C6" s="3223" t="s">
        <v>2545</v>
      </c>
      <c r="D6" s="3224"/>
      <c r="E6" s="3230" t="s">
        <v>2545</v>
      </c>
      <c r="F6" s="3231"/>
      <c r="G6" s="3223" t="s">
        <v>2545</v>
      </c>
      <c r="H6" s="3224"/>
      <c r="I6" s="3223" t="s">
        <v>2545</v>
      </c>
      <c r="J6" s="3224"/>
      <c r="K6" s="610" t="s">
        <v>2546</v>
      </c>
      <c r="L6" s="1133"/>
      <c r="M6" s="1134"/>
      <c r="N6" s="1134"/>
      <c r="O6" s="1134"/>
      <c r="P6" s="3214"/>
      <c r="Q6" s="3215"/>
      <c r="R6" s="3218"/>
      <c r="S6" s="3219"/>
      <c r="T6" s="3220"/>
      <c r="U6" s="3221"/>
      <c r="V6" s="3222"/>
      <c r="W6" s="3222"/>
      <c r="X6" s="1811"/>
      <c r="Y6" s="3220"/>
      <c r="Z6" s="3221"/>
      <c r="AA6" s="3205"/>
      <c r="AB6" s="3205"/>
      <c r="AC6" s="3205"/>
    </row>
    <row r="7" spans="1:29" s="117" customFormat="1" ht="15.75" thickBot="1">
      <c r="A7" s="408" t="s">
        <v>2547</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2548</v>
      </c>
      <c r="Q7" s="3229"/>
      <c r="R7" s="770" t="s">
        <v>17</v>
      </c>
      <c r="S7" s="771">
        <f t="shared" ref="S7:S15" si="0">F7</f>
        <v>0</v>
      </c>
      <c r="T7" s="770" t="s">
        <v>17</v>
      </c>
      <c r="U7" s="771">
        <f t="shared" ref="U7:U15" si="1">H7</f>
        <v>0</v>
      </c>
      <c r="V7" s="770" t="s">
        <v>17</v>
      </c>
      <c r="W7" s="771">
        <f t="shared" ref="W7:W15" si="2">J7</f>
        <v>0</v>
      </c>
      <c r="X7" s="772"/>
      <c r="Y7" s="3227" t="s">
        <v>2548</v>
      </c>
      <c r="Z7" s="322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3"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1"/>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1"/>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1"/>
      <c r="Q14" s="1793">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2558</v>
      </c>
      <c r="B15" s="69" t="s">
        <v>2702</v>
      </c>
      <c r="C15" s="2693" t="str">
        <f>估价对象房地状况!G3</f>
        <v>估价对象位密云科技开发区，园区建设成熟度较高，产业集聚程度较好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2559</v>
      </c>
      <c r="Q15" s="1808" t="str">
        <f t="shared" si="6"/>
        <v>产业集聚程度</v>
      </c>
      <c r="R15" s="774" t="s">
        <v>17</v>
      </c>
      <c r="S15" s="775">
        <f t="shared" si="0"/>
        <v>100</v>
      </c>
      <c r="T15" s="774" t="s">
        <v>17</v>
      </c>
      <c r="U15" s="775">
        <f t="shared" si="1"/>
        <v>100</v>
      </c>
      <c r="V15" s="774" t="s">
        <v>17</v>
      </c>
      <c r="W15" s="775">
        <f t="shared" si="2"/>
        <v>100</v>
      </c>
      <c r="X15" s="1811"/>
      <c r="Y15" s="3193" t="s">
        <v>2559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194"/>
      <c r="Q16" s="1808"/>
      <c r="R16" s="774"/>
      <c r="S16" s="775"/>
      <c r="T16" s="774"/>
      <c r="U16" s="775"/>
      <c r="V16" s="774"/>
      <c r="W16" s="775"/>
      <c r="X16" s="1811"/>
      <c r="Y16" s="3194"/>
      <c r="Z16" s="1812"/>
      <c r="AA16" s="1809">
        <v>1</v>
      </c>
      <c r="AB16" s="1809">
        <v>1</v>
      </c>
      <c r="AC16" s="1809">
        <v>1</v>
      </c>
    </row>
    <row r="17" spans="1:29" ht="99.75">
      <c r="A17" s="428"/>
      <c r="B17" s="451" t="s">
        <v>2096</v>
      </c>
      <c r="C17" s="2607"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08" t="str">
        <f>B17</f>
        <v>交通便捷度</v>
      </c>
      <c r="R17" s="774" t="s">
        <v>17</v>
      </c>
      <c r="S17" s="775">
        <f>F17</f>
        <v>100</v>
      </c>
      <c r="T17" s="774" t="s">
        <v>17</v>
      </c>
      <c r="U17" s="775">
        <f>H17</f>
        <v>100</v>
      </c>
      <c r="V17" s="774" t="s">
        <v>17</v>
      </c>
      <c r="W17" s="775">
        <f>J17</f>
        <v>100</v>
      </c>
      <c r="X17" s="1811"/>
      <c r="Y17" s="3194"/>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43"/>
      <c r="M18" s="1134"/>
      <c r="N18" s="1134"/>
      <c r="O18" s="1142"/>
      <c r="P18" s="3194"/>
      <c r="Q18" s="1808"/>
      <c r="R18" s="774"/>
      <c r="S18" s="775"/>
      <c r="T18" s="774"/>
      <c r="U18" s="775"/>
      <c r="V18" s="774"/>
      <c r="W18" s="775"/>
      <c r="X18" s="1811"/>
      <c r="Y18" s="3194"/>
      <c r="Z18" s="1812"/>
      <c r="AA18" s="1809">
        <v>1</v>
      </c>
      <c r="AB18" s="1809">
        <v>1</v>
      </c>
      <c r="AC18" s="1809">
        <v>1</v>
      </c>
    </row>
    <row r="19" spans="1:29" ht="42.75">
      <c r="A19" s="428"/>
      <c r="B19" s="451" t="s">
        <v>2687</v>
      </c>
      <c r="C19" s="2607"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08" t="str">
        <f>B19</f>
        <v>公共配套设施</v>
      </c>
      <c r="R19" s="774" t="s">
        <v>17</v>
      </c>
      <c r="S19" s="775">
        <f>F19</f>
        <v>100</v>
      </c>
      <c r="T19" s="774" t="s">
        <v>17</v>
      </c>
      <c r="U19" s="775">
        <f>H19</f>
        <v>100</v>
      </c>
      <c r="V19" s="774" t="s">
        <v>17</v>
      </c>
      <c r="W19" s="775">
        <f>J19</f>
        <v>100</v>
      </c>
      <c r="X19" s="1811"/>
      <c r="Y19" s="3194"/>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43"/>
      <c r="M20" s="1134"/>
      <c r="N20" s="1134"/>
      <c r="O20" s="1142"/>
      <c r="P20" s="3194"/>
      <c r="Q20" s="1808"/>
      <c r="R20" s="774"/>
      <c r="S20" s="775"/>
      <c r="T20" s="774"/>
      <c r="U20" s="775"/>
      <c r="V20" s="774"/>
      <c r="W20" s="775"/>
      <c r="X20" s="1811"/>
      <c r="Y20" s="3194"/>
      <c r="Z20" s="1812"/>
      <c r="AA20" s="1809">
        <v>1</v>
      </c>
      <c r="AB20" s="1809">
        <v>1</v>
      </c>
      <c r="AC20" s="1809">
        <v>1</v>
      </c>
    </row>
    <row r="21" spans="1:29" ht="42.75">
      <c r="A21" s="428"/>
      <c r="B21" s="1387" t="s">
        <v>2688</v>
      </c>
      <c r="C21" s="2607" t="str">
        <f>估价对象房地状况!G6</f>
        <v>估价对象所在区域基础设施水平-六通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08" t="str">
        <f>B21</f>
        <v>基础设施水平</v>
      </c>
      <c r="R21" s="774" t="s">
        <v>17</v>
      </c>
      <c r="S21" s="775">
        <f>F21</f>
        <v>100</v>
      </c>
      <c r="T21" s="774" t="s">
        <v>17</v>
      </c>
      <c r="U21" s="775">
        <f>H21</f>
        <v>100</v>
      </c>
      <c r="V21" s="774" t="s">
        <v>17</v>
      </c>
      <c r="W21" s="775">
        <f>J21</f>
        <v>100</v>
      </c>
      <c r="X21" s="1811"/>
      <c r="Y21" s="3194"/>
      <c r="Z21" s="1812" t="str">
        <f>Q21</f>
        <v>基础设施水平</v>
      </c>
      <c r="AA21" s="1809">
        <f>D21/F21</f>
        <v>1</v>
      </c>
      <c r="AB21" s="1809">
        <f>D21/H21</f>
        <v>1</v>
      </c>
      <c r="AC21" s="1809">
        <f>D21/J21</f>
        <v>1</v>
      </c>
    </row>
    <row r="22" spans="1:29" ht="15">
      <c r="A22" s="428"/>
      <c r="B22" s="1387"/>
      <c r="C22" s="2608"/>
      <c r="D22" s="448"/>
      <c r="E22" s="447"/>
      <c r="F22" s="449"/>
      <c r="G22" s="447"/>
      <c r="H22" s="448"/>
      <c r="I22" s="447"/>
      <c r="J22" s="448"/>
      <c r="K22" s="1386"/>
      <c r="L22" s="1143"/>
      <c r="M22" s="1134"/>
      <c r="N22" s="1134"/>
      <c r="O22" s="1142"/>
      <c r="P22" s="3194"/>
      <c r="Q22" s="1808"/>
      <c r="R22" s="774"/>
      <c r="S22" s="775"/>
      <c r="T22" s="774"/>
      <c r="U22" s="775"/>
      <c r="V22" s="774"/>
      <c r="W22" s="775"/>
      <c r="X22" s="1811"/>
      <c r="Y22" s="3194"/>
      <c r="Z22" s="1812"/>
      <c r="AA22" s="1809">
        <v>1</v>
      </c>
      <c r="AB22" s="1809">
        <v>1</v>
      </c>
      <c r="AC22" s="1809">
        <v>1</v>
      </c>
    </row>
    <row r="23" spans="1:29" ht="71.25">
      <c r="A23" s="428"/>
      <c r="B23" s="451" t="s">
        <v>2689</v>
      </c>
      <c r="C23" s="2607" t="str">
        <f>估价对象房地状况!G7</f>
        <v>该园区内没有污染型企业，绿化情况较好，卫生条件较好，整体环境状况较好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08" t="str">
        <f>B23</f>
        <v>环境质量</v>
      </c>
      <c r="R23" s="774" t="s">
        <v>17</v>
      </c>
      <c r="S23" s="775">
        <f>F23</f>
        <v>100</v>
      </c>
      <c r="T23" s="774" t="s">
        <v>17</v>
      </c>
      <c r="U23" s="775">
        <f>H23</f>
        <v>100</v>
      </c>
      <c r="V23" s="774" t="s">
        <v>17</v>
      </c>
      <c r="W23" s="775">
        <f>J23</f>
        <v>100</v>
      </c>
      <c r="X23" s="1811"/>
      <c r="Y23" s="3194"/>
      <c r="Z23" s="1812" t="str">
        <f>Q23</f>
        <v>环境质量</v>
      </c>
      <c r="AA23" s="1809">
        <f t="shared" si="3"/>
        <v>1</v>
      </c>
      <c r="AB23" s="1809">
        <f t="shared" si="4"/>
        <v>1</v>
      </c>
      <c r="AC23" s="1809">
        <f t="shared" si="5"/>
        <v>1</v>
      </c>
    </row>
    <row r="24" spans="1:29" ht="15">
      <c r="A24" s="428"/>
      <c r="B24" s="1387"/>
      <c r="C24" s="447"/>
      <c r="D24" s="448"/>
      <c r="E24" s="2605"/>
      <c r="F24" s="449"/>
      <c r="G24" s="2604"/>
      <c r="H24" s="448"/>
      <c r="I24" s="2605"/>
      <c r="J24" s="448"/>
      <c r="K24" s="615"/>
      <c r="L24" s="1143"/>
      <c r="M24" s="1134"/>
      <c r="N24" s="1134"/>
      <c r="O24" s="1142"/>
      <c r="P24" s="3194"/>
      <c r="Q24" s="1808"/>
      <c r="R24" s="774"/>
      <c r="S24" s="775"/>
      <c r="T24" s="774"/>
      <c r="U24" s="775"/>
      <c r="V24" s="774"/>
      <c r="W24" s="775"/>
      <c r="X24" s="1811"/>
      <c r="Y24" s="3194"/>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08">
        <f>B25</f>
        <v>111</v>
      </c>
      <c r="R25" s="774" t="s">
        <v>17</v>
      </c>
      <c r="S25" s="775">
        <f>F25</f>
        <v>100</v>
      </c>
      <c r="T25" s="774" t="s">
        <v>17</v>
      </c>
      <c r="U25" s="775">
        <f>H25</f>
        <v>100</v>
      </c>
      <c r="V25" s="774" t="s">
        <v>17</v>
      </c>
      <c r="W25" s="775">
        <f>J25</f>
        <v>100</v>
      </c>
      <c r="X25" s="1811"/>
      <c r="Y25" s="3194"/>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08">
        <f t="shared" ref="Q26:Q40" si="8">B26</f>
        <v>111</v>
      </c>
      <c r="R26" s="774" t="s">
        <v>17</v>
      </c>
      <c r="S26" s="775">
        <f>F26</f>
        <v>100</v>
      </c>
      <c r="T26" s="774" t="s">
        <v>17</v>
      </c>
      <c r="U26" s="775">
        <f>H26</f>
        <v>100</v>
      </c>
      <c r="V26" s="774" t="s">
        <v>17</v>
      </c>
      <c r="W26" s="775">
        <f>J26</f>
        <v>100</v>
      </c>
      <c r="X26" s="1811"/>
      <c r="Y26" s="3194"/>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3">
        <f t="shared" si="8"/>
        <v>111</v>
      </c>
      <c r="R27" s="770" t="s">
        <v>17</v>
      </c>
      <c r="S27" s="771">
        <f>F27</f>
        <v>100</v>
      </c>
      <c r="T27" s="770" t="s">
        <v>17</v>
      </c>
      <c r="U27" s="771">
        <f>H27</f>
        <v>100</v>
      </c>
      <c r="V27" s="770" t="s">
        <v>17</v>
      </c>
      <c r="W27" s="771">
        <f>J27</f>
        <v>100</v>
      </c>
      <c r="X27" s="772"/>
      <c r="Y27" s="3194"/>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08">
        <f t="shared" si="8"/>
        <v>111</v>
      </c>
      <c r="R28" s="774" t="s">
        <v>17</v>
      </c>
      <c r="S28" s="775">
        <f t="shared" ref="S28:S40" si="9">F28</f>
        <v>100</v>
      </c>
      <c r="T28" s="774" t="s">
        <v>17</v>
      </c>
      <c r="U28" s="775">
        <f t="shared" ref="U28:U40" si="10">H28</f>
        <v>100</v>
      </c>
      <c r="V28" s="774" t="s">
        <v>17</v>
      </c>
      <c r="W28" s="775">
        <f t="shared" ref="W28:W40" si="11">J28</f>
        <v>100</v>
      </c>
      <c r="X28" s="1811"/>
      <c r="Y28" s="3194"/>
      <c r="Z28" s="1812">
        <f t="shared" ref="Z28:Z40" si="12">Q28</f>
        <v>111</v>
      </c>
      <c r="AA28" s="1809">
        <f t="shared" si="3"/>
        <v>1</v>
      </c>
      <c r="AB28" s="1809">
        <f t="shared" si="4"/>
        <v>1</v>
      </c>
      <c r="AC28" s="1809">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49" t="s">
        <v>2564</v>
      </c>
      <c r="Q29" s="1808" t="str">
        <f t="shared" si="8"/>
        <v>建筑类型</v>
      </c>
      <c r="R29" s="774" t="s">
        <v>17</v>
      </c>
      <c r="S29" s="775">
        <f t="shared" si="9"/>
        <v>100</v>
      </c>
      <c r="T29" s="774" t="s">
        <v>17</v>
      </c>
      <c r="U29" s="775">
        <f t="shared" si="10"/>
        <v>100</v>
      </c>
      <c r="V29" s="774" t="s">
        <v>17</v>
      </c>
      <c r="W29" s="775">
        <f t="shared" si="11"/>
        <v>100</v>
      </c>
      <c r="X29" s="1811"/>
      <c r="Y29" s="3198" t="s">
        <v>2564</v>
      </c>
      <c r="Z29" s="1812" t="str">
        <f t="shared" si="12"/>
        <v>建筑类型</v>
      </c>
      <c r="AA29" s="1809">
        <f t="shared" si="3"/>
        <v>1</v>
      </c>
      <c r="AB29" s="1809">
        <f t="shared" si="4"/>
        <v>1</v>
      </c>
      <c r="AC29" s="1809">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8"/>
        <v>项目建筑规模</v>
      </c>
      <c r="R30" s="777" t="s">
        <v>17</v>
      </c>
      <c r="S30" s="778" t="e">
        <f t="shared" si="9"/>
        <v>#N/A</v>
      </c>
      <c r="T30" s="777" t="s">
        <v>17</v>
      </c>
      <c r="U30" s="778" t="e">
        <f t="shared" si="10"/>
        <v>#N/A</v>
      </c>
      <c r="V30" s="777" t="s">
        <v>17</v>
      </c>
      <c r="W30" s="778" t="e">
        <f t="shared" si="11"/>
        <v>#N/A</v>
      </c>
      <c r="X30" s="779"/>
      <c r="Y30" s="3198"/>
      <c r="Z30" s="780" t="str">
        <f t="shared" si="12"/>
        <v>项目建筑规模</v>
      </c>
      <c r="AA30" s="1809" t="e">
        <f t="shared" si="3"/>
        <v>#N/A</v>
      </c>
      <c r="AB30" s="1809" t="e">
        <f t="shared" si="4"/>
        <v>#N/A</v>
      </c>
      <c r="AC30" s="1809"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08" t="str">
        <f t="shared" si="8"/>
        <v>建筑结构</v>
      </c>
      <c r="R31" s="774" t="s">
        <v>17</v>
      </c>
      <c r="S31" s="775">
        <f t="shared" si="9"/>
        <v>100</v>
      </c>
      <c r="T31" s="774" t="s">
        <v>17</v>
      </c>
      <c r="U31" s="775">
        <f t="shared" si="10"/>
        <v>100</v>
      </c>
      <c r="V31" s="774" t="s">
        <v>17</v>
      </c>
      <c r="W31" s="775">
        <f t="shared" si="11"/>
        <v>100</v>
      </c>
      <c r="X31" s="1811"/>
      <c r="Y31" s="3198"/>
      <c r="Z31" s="1812" t="str">
        <f t="shared" si="12"/>
        <v>建筑结构</v>
      </c>
      <c r="AA31" s="1809">
        <f t="shared" si="3"/>
        <v>1</v>
      </c>
      <c r="AB31" s="1809">
        <f t="shared" si="4"/>
        <v>1</v>
      </c>
      <c r="AC31" s="1809">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08" t="str">
        <f t="shared" si="8"/>
        <v>公共部分装修</v>
      </c>
      <c r="R32" s="774" t="s">
        <v>17</v>
      </c>
      <c r="S32" s="775">
        <f t="shared" si="9"/>
        <v>100</v>
      </c>
      <c r="T32" s="774" t="s">
        <v>17</v>
      </c>
      <c r="U32" s="775">
        <f t="shared" si="10"/>
        <v>100</v>
      </c>
      <c r="V32" s="774" t="s">
        <v>17</v>
      </c>
      <c r="W32" s="775">
        <f t="shared" si="11"/>
        <v>100</v>
      </c>
      <c r="X32" s="1811"/>
      <c r="Y32" s="3198"/>
      <c r="Z32" s="1812" t="str">
        <f t="shared" si="12"/>
        <v>公共部分装修</v>
      </c>
      <c r="AA32" s="1809">
        <f t="shared" si="3"/>
        <v>1</v>
      </c>
      <c r="AB32" s="1809">
        <f t="shared" si="4"/>
        <v>1</v>
      </c>
      <c r="AC32" s="1809">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08" t="str">
        <f t="shared" si="8"/>
        <v>成新度</v>
      </c>
      <c r="R33" s="774" t="s">
        <v>17</v>
      </c>
      <c r="S33" s="775" t="e">
        <f t="shared" si="9"/>
        <v>#N/A</v>
      </c>
      <c r="T33" s="774" t="s">
        <v>17</v>
      </c>
      <c r="U33" s="775" t="e">
        <f t="shared" si="10"/>
        <v>#N/A</v>
      </c>
      <c r="V33" s="774" t="s">
        <v>17</v>
      </c>
      <c r="W33" s="775" t="e">
        <f t="shared" si="11"/>
        <v>#N/A</v>
      </c>
      <c r="X33" s="1811"/>
      <c r="Y33" s="3198"/>
      <c r="Z33" s="1812" t="str">
        <f t="shared" si="12"/>
        <v>成新度</v>
      </c>
      <c r="AA33" s="1809" t="e">
        <f t="shared" si="3"/>
        <v>#N/A</v>
      </c>
      <c r="AB33" s="1809" t="e">
        <f t="shared" si="4"/>
        <v>#N/A</v>
      </c>
      <c r="AC33" s="1809"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3" t="str">
        <f t="shared" si="8"/>
        <v>物业管理</v>
      </c>
      <c r="R34" s="770" t="s">
        <v>17</v>
      </c>
      <c r="S34" s="771">
        <f t="shared" si="9"/>
        <v>100</v>
      </c>
      <c r="T34" s="770" t="s">
        <v>17</v>
      </c>
      <c r="U34" s="771">
        <f t="shared" si="10"/>
        <v>100</v>
      </c>
      <c r="V34" s="770" t="s">
        <v>17</v>
      </c>
      <c r="W34" s="771">
        <f t="shared" si="11"/>
        <v>100</v>
      </c>
      <c r="X34" s="772"/>
      <c r="Y34" s="3198"/>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2564</v>
      </c>
      <c r="Q35" s="1808" t="str">
        <f t="shared" si="8"/>
        <v>市政基础设施</v>
      </c>
      <c r="R35" s="774" t="s">
        <v>17</v>
      </c>
      <c r="S35" s="775">
        <f t="shared" si="9"/>
        <v>100</v>
      </c>
      <c r="T35" s="774" t="s">
        <v>17</v>
      </c>
      <c r="U35" s="775">
        <f t="shared" si="10"/>
        <v>100</v>
      </c>
      <c r="V35" s="774" t="s">
        <v>17</v>
      </c>
      <c r="W35" s="775">
        <f t="shared" si="11"/>
        <v>100</v>
      </c>
      <c r="X35" s="1811"/>
      <c r="Y35" s="3198" t="s">
        <v>2564</v>
      </c>
      <c r="Z35" s="1812" t="str">
        <f t="shared" si="12"/>
        <v>市政基础设施</v>
      </c>
      <c r="AA35" s="1809">
        <f t="shared" si="3"/>
        <v>1</v>
      </c>
      <c r="AB35" s="1809">
        <f t="shared" si="4"/>
        <v>1</v>
      </c>
      <c r="AC35" s="1809">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08" t="str">
        <f t="shared" si="8"/>
        <v>内部装修</v>
      </c>
      <c r="R36" s="774" t="s">
        <v>17</v>
      </c>
      <c r="S36" s="775">
        <f t="shared" si="9"/>
        <v>100</v>
      </c>
      <c r="T36" s="774" t="s">
        <v>17</v>
      </c>
      <c r="U36" s="775">
        <f t="shared" si="10"/>
        <v>100</v>
      </c>
      <c r="V36" s="774" t="s">
        <v>17</v>
      </c>
      <c r="W36" s="775">
        <f t="shared" si="11"/>
        <v>100</v>
      </c>
      <c r="X36" s="1811"/>
      <c r="Y36" s="3198"/>
      <c r="Z36" s="1812" t="str">
        <f t="shared" si="12"/>
        <v>内部装修</v>
      </c>
      <c r="AA36" s="1809">
        <f t="shared" si="3"/>
        <v>1</v>
      </c>
      <c r="AB36" s="1809">
        <f t="shared" si="4"/>
        <v>1</v>
      </c>
      <c r="AC36" s="1809">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08" t="str">
        <f t="shared" si="8"/>
        <v>内部装修状况</v>
      </c>
      <c r="R37" s="774" t="s">
        <v>17</v>
      </c>
      <c r="S37" s="775">
        <f t="shared" si="9"/>
        <v>100</v>
      </c>
      <c r="T37" s="774" t="s">
        <v>17</v>
      </c>
      <c r="U37" s="775">
        <f t="shared" si="10"/>
        <v>100</v>
      </c>
      <c r="V37" s="774" t="s">
        <v>17</v>
      </c>
      <c r="W37" s="775">
        <f t="shared" si="11"/>
        <v>100</v>
      </c>
      <c r="X37" s="1811"/>
      <c r="Y37" s="3198"/>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8"/>
        <v>111</v>
      </c>
      <c r="R38" s="777" t="s">
        <v>17</v>
      </c>
      <c r="S38" s="778">
        <f t="shared" si="9"/>
        <v>100</v>
      </c>
      <c r="T38" s="777" t="s">
        <v>17</v>
      </c>
      <c r="U38" s="778">
        <f t="shared" si="10"/>
        <v>100</v>
      </c>
      <c r="V38" s="777" t="s">
        <v>17</v>
      </c>
      <c r="W38" s="778">
        <f t="shared" si="11"/>
        <v>100</v>
      </c>
      <c r="X38" s="779"/>
      <c r="Y38" s="3198"/>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08">
        <f t="shared" si="8"/>
        <v>111</v>
      </c>
      <c r="R39" s="774" t="s">
        <v>17</v>
      </c>
      <c r="S39" s="775">
        <f t="shared" si="9"/>
        <v>100</v>
      </c>
      <c r="T39" s="774" t="s">
        <v>17</v>
      </c>
      <c r="U39" s="775">
        <f t="shared" si="10"/>
        <v>100</v>
      </c>
      <c r="V39" s="774" t="s">
        <v>17</v>
      </c>
      <c r="W39" s="775">
        <f t="shared" si="11"/>
        <v>100</v>
      </c>
      <c r="X39" s="1811"/>
      <c r="Y39" s="3198"/>
      <c r="Z39" s="1812">
        <f t="shared" si="12"/>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08">
        <f t="shared" si="8"/>
        <v>111</v>
      </c>
      <c r="R40" s="774" t="s">
        <v>17</v>
      </c>
      <c r="S40" s="775">
        <f t="shared" si="9"/>
        <v>100</v>
      </c>
      <c r="T40" s="774" t="s">
        <v>17</v>
      </c>
      <c r="U40" s="775">
        <f t="shared" si="10"/>
        <v>100</v>
      </c>
      <c r="V40" s="774" t="s">
        <v>17</v>
      </c>
      <c r="W40" s="775">
        <f t="shared" si="11"/>
        <v>100</v>
      </c>
      <c r="X40" s="1811"/>
      <c r="Y40" s="3199"/>
      <c r="Z40" s="1812">
        <f t="shared" si="12"/>
        <v>111</v>
      </c>
      <c r="AA40" s="1809">
        <f t="shared" si="3"/>
        <v>1</v>
      </c>
      <c r="AB40" s="1809">
        <f t="shared" si="4"/>
        <v>1</v>
      </c>
      <c r="AC40" s="1809">
        <f t="shared" si="5"/>
        <v>1</v>
      </c>
    </row>
    <row r="41" spans="1:29" ht="15">
      <c r="A41" s="479" t="s">
        <v>2576</v>
      </c>
      <c r="B41" s="480"/>
      <c r="C41" s="1410" t="s">
        <v>1</v>
      </c>
      <c r="D41" s="1411"/>
      <c r="E41" s="1412"/>
      <c r="F41" s="1413"/>
      <c r="G41" s="1414"/>
      <c r="H41" s="1415"/>
      <c r="I41" s="1412"/>
      <c r="J41" s="1415"/>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0"/>
      <c r="F1" s="2584"/>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2326</v>
      </c>
      <c r="B2" s="1421" t="e">
        <f ca="1">IF(C2="——",IF(B37="元/平方米",ROUND(C39*D3/10000,0),ROUND(F3*C39/10000,0)),IF(B37="元/平方米",ROUND(C39*D3/10000,0),ROUND(F3*C39/10000,0))-D2)</f>
        <v>#DIV/0!</v>
      </c>
      <c r="C2" s="2586"/>
      <c r="D2" s="1127" t="e">
        <f ca="1">SUMIF(INDIRECT("'"&amp;F2&amp;"'"&amp;"!A:A"),"承租人权益价值",INDIRECT("'"&amp;F2&amp;"'"&amp;"!c:c"))</f>
        <v>#REF!</v>
      </c>
      <c r="E2" s="2587" t="s">
        <v>2327</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04" t="s">
        <v>2647</v>
      </c>
      <c r="AC4" s="3203" t="s">
        <v>2648</v>
      </c>
    </row>
    <row r="5" spans="1:29"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04"/>
      <c r="AC5" s="3204"/>
    </row>
    <row r="6" spans="1:29" ht="15.75" thickBot="1">
      <c r="A6" s="406"/>
      <c r="B6" s="407"/>
      <c r="C6" s="3223" t="s">
        <v>2545</v>
      </c>
      <c r="D6" s="3224"/>
      <c r="E6" s="3230" t="s">
        <v>2545</v>
      </c>
      <c r="F6" s="3231"/>
      <c r="G6" s="3223" t="s">
        <v>2545</v>
      </c>
      <c r="H6" s="3224"/>
      <c r="I6" s="3223" t="s">
        <v>2545</v>
      </c>
      <c r="J6" s="3224"/>
      <c r="K6" s="610" t="s">
        <v>2546</v>
      </c>
      <c r="L6" s="1133"/>
      <c r="M6" s="1134"/>
      <c r="N6" s="1134"/>
      <c r="O6" s="1134"/>
      <c r="P6" s="3214"/>
      <c r="Q6" s="3215"/>
      <c r="R6" s="3218"/>
      <c r="S6" s="3219"/>
      <c r="T6" s="3220"/>
      <c r="U6" s="3221"/>
      <c r="V6" s="3222"/>
      <c r="W6" s="3222"/>
      <c r="X6" s="1811"/>
      <c r="Y6" s="3220"/>
      <c r="Z6" s="3221"/>
      <c r="AA6" s="3205"/>
      <c r="AB6" s="3205"/>
      <c r="AC6" s="3205"/>
    </row>
    <row r="7" spans="1:29" s="117" customFormat="1" ht="15.75" thickBot="1">
      <c r="A7" s="408" t="s">
        <v>2547</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2548</v>
      </c>
      <c r="Q7" s="3229"/>
      <c r="R7" s="770" t="s">
        <v>17</v>
      </c>
      <c r="S7" s="771">
        <f t="shared" ref="S7:S14" si="0">F7</f>
        <v>0</v>
      </c>
      <c r="T7" s="770" t="s">
        <v>17</v>
      </c>
      <c r="U7" s="771">
        <f t="shared" ref="U7:U14" si="1">H7</f>
        <v>0</v>
      </c>
      <c r="V7" s="770" t="s">
        <v>17</v>
      </c>
      <c r="W7" s="771">
        <f t="shared" ref="W7:W14" si="2">J7</f>
        <v>0</v>
      </c>
      <c r="X7" s="772"/>
      <c r="Y7" s="3227" t="s">
        <v>2548</v>
      </c>
      <c r="Z7" s="322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2554</v>
      </c>
      <c r="Q9" s="1793" t="str">
        <f t="shared" ref="Q9:Q14" si="6">B9</f>
        <v>用途</v>
      </c>
      <c r="R9" s="770" t="s">
        <v>17</v>
      </c>
      <c r="S9" s="771">
        <f t="shared" si="0"/>
        <v>100</v>
      </c>
      <c r="T9" s="770" t="s">
        <v>17</v>
      </c>
      <c r="U9" s="771">
        <f t="shared" si="1"/>
        <v>100</v>
      </c>
      <c r="V9" s="770" t="s">
        <v>17</v>
      </c>
      <c r="W9" s="771">
        <f t="shared" si="2"/>
        <v>100</v>
      </c>
      <c r="X9" s="772"/>
      <c r="Y9" s="301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3">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2559</v>
      </c>
      <c r="Q14" s="1808" t="str">
        <f t="shared" si="6"/>
        <v>交通便捷度</v>
      </c>
      <c r="R14" s="774" t="s">
        <v>17</v>
      </c>
      <c r="S14" s="775">
        <f t="shared" si="0"/>
        <v>100</v>
      </c>
      <c r="T14" s="774" t="s">
        <v>17</v>
      </c>
      <c r="U14" s="775">
        <f t="shared" si="1"/>
        <v>100</v>
      </c>
      <c r="V14" s="774" t="s">
        <v>17</v>
      </c>
      <c r="W14" s="775">
        <f t="shared" si="2"/>
        <v>100</v>
      </c>
      <c r="X14" s="1811"/>
      <c r="Y14" s="3193" t="s">
        <v>2559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194"/>
      <c r="Q15" s="1808"/>
      <c r="R15" s="774"/>
      <c r="S15" s="775"/>
      <c r="T15" s="774"/>
      <c r="U15" s="775"/>
      <c r="V15" s="774"/>
      <c r="W15" s="775"/>
      <c r="X15" s="1811"/>
      <c r="Y15" s="3194"/>
      <c r="Z15" s="1812"/>
      <c r="AA15" s="1809">
        <v>1</v>
      </c>
      <c r="AB15" s="1809">
        <v>1</v>
      </c>
      <c r="AC15" s="1809">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08" t="str">
        <f>B16</f>
        <v>公共配套设施</v>
      </c>
      <c r="R16" s="774" t="s">
        <v>17</v>
      </c>
      <c r="S16" s="775">
        <f>F16</f>
        <v>100</v>
      </c>
      <c r="T16" s="774" t="s">
        <v>17</v>
      </c>
      <c r="U16" s="775">
        <f>H16</f>
        <v>100</v>
      </c>
      <c r="V16" s="774" t="s">
        <v>17</v>
      </c>
      <c r="W16" s="775">
        <f>J16</f>
        <v>100</v>
      </c>
      <c r="X16" s="1811"/>
      <c r="Y16" s="3194"/>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43"/>
      <c r="M17" s="1134"/>
      <c r="N17" s="1134"/>
      <c r="O17" s="1134"/>
      <c r="P17" s="3194"/>
      <c r="Q17" s="1808"/>
      <c r="R17" s="774"/>
      <c r="S17" s="775"/>
      <c r="T17" s="774"/>
      <c r="U17" s="775"/>
      <c r="V17" s="774"/>
      <c r="W17" s="775"/>
      <c r="X17" s="1811"/>
      <c r="Y17" s="3194"/>
      <c r="Z17" s="1812"/>
      <c r="AA17" s="1809">
        <v>1</v>
      </c>
      <c r="AB17" s="1809">
        <v>1</v>
      </c>
      <c r="AC17" s="1809">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08" t="str">
        <f>B18</f>
        <v>基础设施水平</v>
      </c>
      <c r="R18" s="774" t="s">
        <v>17</v>
      </c>
      <c r="S18" s="775">
        <f>F18</f>
        <v>100</v>
      </c>
      <c r="T18" s="774" t="s">
        <v>17</v>
      </c>
      <c r="U18" s="775">
        <f>H18</f>
        <v>100</v>
      </c>
      <c r="V18" s="774" t="s">
        <v>17</v>
      </c>
      <c r="W18" s="775">
        <f>J18</f>
        <v>100</v>
      </c>
      <c r="X18" s="1811"/>
      <c r="Y18" s="3194"/>
      <c r="Z18" s="1812" t="str">
        <f>Q18</f>
        <v>基础设施水平</v>
      </c>
      <c r="AA18" s="1809">
        <f>D18/F18</f>
        <v>1</v>
      </c>
      <c r="AB18" s="1809">
        <f>D18/H18</f>
        <v>1</v>
      </c>
      <c r="AC18" s="1809">
        <f>D18/J18</f>
        <v>1</v>
      </c>
    </row>
    <row r="19" spans="1:29" ht="15">
      <c r="A19" s="404"/>
      <c r="B19" s="633"/>
      <c r="C19" s="2608"/>
      <c r="D19" s="450"/>
      <c r="E19" s="2608"/>
      <c r="F19" s="453"/>
      <c r="G19" s="2608"/>
      <c r="H19" s="448"/>
      <c r="I19" s="447"/>
      <c r="J19" s="448"/>
      <c r="K19" s="1386"/>
      <c r="L19" s="1143"/>
      <c r="M19" s="1134"/>
      <c r="N19" s="1134"/>
      <c r="O19" s="1134"/>
      <c r="P19" s="3194"/>
      <c r="Q19" s="1808"/>
      <c r="R19" s="774"/>
      <c r="S19" s="775"/>
      <c r="T19" s="774"/>
      <c r="U19" s="775"/>
      <c r="V19" s="774"/>
      <c r="W19" s="775"/>
      <c r="X19" s="1811"/>
      <c r="Y19" s="3194"/>
      <c r="Z19" s="1812"/>
      <c r="AA19" s="1809">
        <v>1</v>
      </c>
      <c r="AB19" s="1809">
        <v>1</v>
      </c>
      <c r="AC19" s="1809">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08" t="str">
        <f>B20</f>
        <v>自然及人文环境</v>
      </c>
      <c r="R20" s="774" t="s">
        <v>17</v>
      </c>
      <c r="S20" s="775">
        <f>F20</f>
        <v>100</v>
      </c>
      <c r="T20" s="774" t="s">
        <v>17</v>
      </c>
      <c r="U20" s="775">
        <f>H20</f>
        <v>100</v>
      </c>
      <c r="V20" s="774" t="s">
        <v>17</v>
      </c>
      <c r="W20" s="775">
        <f>J20</f>
        <v>100</v>
      </c>
      <c r="X20" s="1811"/>
      <c r="Y20" s="319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194"/>
      <c r="Q21" s="1808"/>
      <c r="R21" s="774"/>
      <c r="S21" s="775"/>
      <c r="T21" s="774"/>
      <c r="U21" s="775"/>
      <c r="V21" s="774"/>
      <c r="W21" s="775"/>
      <c r="X21" s="1811"/>
      <c r="Y21" s="3194"/>
      <c r="Z21" s="1812"/>
      <c r="AA21" s="1809">
        <v>1</v>
      </c>
      <c r="AB21" s="1809">
        <v>1</v>
      </c>
      <c r="AC21" s="1809">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08" t="str">
        <f>B22</f>
        <v>楼层</v>
      </c>
      <c r="R22" s="774" t="s">
        <v>17</v>
      </c>
      <c r="S22" s="775">
        <f>F22</f>
        <v>100</v>
      </c>
      <c r="T22" s="774" t="s">
        <v>17</v>
      </c>
      <c r="U22" s="775">
        <f>H22</f>
        <v>100</v>
      </c>
      <c r="V22" s="774" t="s">
        <v>17</v>
      </c>
      <c r="W22" s="775">
        <f>J22</f>
        <v>100</v>
      </c>
      <c r="X22" s="1811"/>
      <c r="Y22" s="319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08">
        <f>B23</f>
        <v>111</v>
      </c>
      <c r="R23" s="774" t="s">
        <v>17</v>
      </c>
      <c r="S23" s="775">
        <f>F23</f>
        <v>100</v>
      </c>
      <c r="T23" s="774" t="s">
        <v>17</v>
      </c>
      <c r="U23" s="775">
        <f>H23</f>
        <v>100</v>
      </c>
      <c r="V23" s="774" t="s">
        <v>17</v>
      </c>
      <c r="W23" s="775">
        <f>J23</f>
        <v>100</v>
      </c>
      <c r="X23" s="1811"/>
      <c r="Y23" s="319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08">
        <f t="shared" ref="Q24:Q36" si="8">B24</f>
        <v>111</v>
      </c>
      <c r="R24" s="774" t="s">
        <v>17</v>
      </c>
      <c r="S24" s="775">
        <f>F24</f>
        <v>100</v>
      </c>
      <c r="T24" s="774" t="s">
        <v>17</v>
      </c>
      <c r="U24" s="775">
        <f>H24</f>
        <v>100</v>
      </c>
      <c r="V24" s="774" t="s">
        <v>17</v>
      </c>
      <c r="W24" s="775">
        <f>J24</f>
        <v>100</v>
      </c>
      <c r="X24" s="1811"/>
      <c r="Y24" s="319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3">
        <f t="shared" si="8"/>
        <v>111</v>
      </c>
      <c r="R25" s="770" t="s">
        <v>17</v>
      </c>
      <c r="S25" s="771">
        <f>F25</f>
        <v>100</v>
      </c>
      <c r="T25" s="770" t="s">
        <v>17</v>
      </c>
      <c r="U25" s="771">
        <f>H25</f>
        <v>100</v>
      </c>
      <c r="V25" s="770" t="s">
        <v>17</v>
      </c>
      <c r="W25" s="771">
        <f>J25</f>
        <v>100</v>
      </c>
      <c r="X25" s="772"/>
      <c r="Y25" s="3194"/>
      <c r="Z25" s="55">
        <f>Q25</f>
        <v>111</v>
      </c>
      <c r="AA25" s="1809">
        <f>D25/F25</f>
        <v>1</v>
      </c>
      <c r="AB25" s="1809">
        <f>D25/H25</f>
        <v>1</v>
      </c>
      <c r="AC25" s="1809">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2564</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198" t="s">
        <v>2564</v>
      </c>
      <c r="Z26" s="1812" t="str">
        <f t="shared" ref="Z26:Z36" si="12">Q26</f>
        <v>配套类型</v>
      </c>
      <c r="AA26" s="1809">
        <f t="shared" si="3"/>
        <v>1</v>
      </c>
      <c r="AB26" s="1809">
        <f t="shared" si="4"/>
        <v>1</v>
      </c>
      <c r="AC26" s="1809">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8"/>
        <v>项目停车位配比</v>
      </c>
      <c r="R27" s="777" t="s">
        <v>17</v>
      </c>
      <c r="S27" s="778">
        <f t="shared" si="9"/>
        <v>100</v>
      </c>
      <c r="T27" s="777" t="s">
        <v>17</v>
      </c>
      <c r="U27" s="778">
        <f t="shared" si="10"/>
        <v>100</v>
      </c>
      <c r="V27" s="777" t="s">
        <v>17</v>
      </c>
      <c r="W27" s="778">
        <f t="shared" si="11"/>
        <v>100</v>
      </c>
      <c r="X27" s="779"/>
      <c r="Y27" s="3198"/>
      <c r="Z27" s="780" t="str">
        <f t="shared" si="12"/>
        <v>项目停车位配比</v>
      </c>
      <c r="AA27" s="1809">
        <f t="shared" si="3"/>
        <v>1</v>
      </c>
      <c r="AB27" s="1809">
        <f t="shared" si="4"/>
        <v>1</v>
      </c>
      <c r="AC27" s="1809">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08" t="str">
        <f t="shared" si="8"/>
        <v>公共部分装修</v>
      </c>
      <c r="R28" s="774" t="s">
        <v>17</v>
      </c>
      <c r="S28" s="775">
        <f t="shared" si="9"/>
        <v>100</v>
      </c>
      <c r="T28" s="774" t="s">
        <v>17</v>
      </c>
      <c r="U28" s="775">
        <f t="shared" si="10"/>
        <v>100</v>
      </c>
      <c r="V28" s="774" t="s">
        <v>17</v>
      </c>
      <c r="W28" s="775">
        <f t="shared" si="11"/>
        <v>100</v>
      </c>
      <c r="X28" s="1811"/>
      <c r="Y28" s="3198"/>
      <c r="Z28" s="1812" t="str">
        <f t="shared" si="12"/>
        <v>公共部分装修</v>
      </c>
      <c r="AA28" s="1809">
        <f t="shared" si="3"/>
        <v>1</v>
      </c>
      <c r="AB28" s="1809">
        <f t="shared" si="4"/>
        <v>1</v>
      </c>
      <c r="AC28" s="1809">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08" t="str">
        <f t="shared" si="8"/>
        <v>成新率</v>
      </c>
      <c r="R29" s="774" t="s">
        <v>17</v>
      </c>
      <c r="S29" s="775" t="e">
        <f t="shared" si="9"/>
        <v>#N/A</v>
      </c>
      <c r="T29" s="774" t="s">
        <v>17</v>
      </c>
      <c r="U29" s="775" t="e">
        <f t="shared" si="10"/>
        <v>#N/A</v>
      </c>
      <c r="V29" s="774" t="s">
        <v>17</v>
      </c>
      <c r="W29" s="775" t="e">
        <f t="shared" si="11"/>
        <v>#N/A</v>
      </c>
      <c r="X29" s="1811"/>
      <c r="Y29" s="3198"/>
      <c r="Z29" s="1812" t="str">
        <f t="shared" si="12"/>
        <v>成新率</v>
      </c>
      <c r="AA29" s="1809" t="e">
        <f t="shared" si="3"/>
        <v>#N/A</v>
      </c>
      <c r="AB29" s="1809" t="e">
        <f t="shared" si="4"/>
        <v>#N/A</v>
      </c>
      <c r="AC29" s="1809"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08" t="str">
        <f t="shared" si="8"/>
        <v>物业等级</v>
      </c>
      <c r="R30" s="774" t="s">
        <v>17</v>
      </c>
      <c r="S30" s="775">
        <f t="shared" si="9"/>
        <v>100</v>
      </c>
      <c r="T30" s="774" t="s">
        <v>17</v>
      </c>
      <c r="U30" s="775">
        <f t="shared" si="10"/>
        <v>100</v>
      </c>
      <c r="V30" s="774" t="s">
        <v>17</v>
      </c>
      <c r="W30" s="775">
        <f t="shared" si="11"/>
        <v>100</v>
      </c>
      <c r="X30" s="1811"/>
      <c r="Y30" s="3198"/>
      <c r="Z30" s="1812" t="str">
        <f t="shared" si="12"/>
        <v>物业等级</v>
      </c>
      <c r="AA30" s="1809">
        <f t="shared" si="3"/>
        <v>1</v>
      </c>
      <c r="AB30" s="1809">
        <f t="shared" si="4"/>
        <v>1</v>
      </c>
      <c r="AC30" s="1809">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3" t="str">
        <f t="shared" si="8"/>
        <v>停车位面积</v>
      </c>
      <c r="R31" s="770" t="s">
        <v>17</v>
      </c>
      <c r="S31" s="771" t="e">
        <f t="shared" si="9"/>
        <v>#N/A</v>
      </c>
      <c r="T31" s="770" t="s">
        <v>17</v>
      </c>
      <c r="U31" s="771" t="e">
        <f t="shared" si="10"/>
        <v>#N/A</v>
      </c>
      <c r="V31" s="770" t="s">
        <v>17</v>
      </c>
      <c r="W31" s="771" t="e">
        <f t="shared" si="11"/>
        <v>#N/A</v>
      </c>
      <c r="X31" s="772"/>
      <c r="Y31" s="3198"/>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2564</v>
      </c>
      <c r="Q32" s="1808" t="str">
        <f t="shared" si="8"/>
        <v>车位类型</v>
      </c>
      <c r="R32" s="774" t="s">
        <v>17</v>
      </c>
      <c r="S32" s="775">
        <f t="shared" si="9"/>
        <v>100</v>
      </c>
      <c r="T32" s="774" t="s">
        <v>17</v>
      </c>
      <c r="U32" s="775">
        <f t="shared" si="10"/>
        <v>100</v>
      </c>
      <c r="V32" s="774" t="s">
        <v>17</v>
      </c>
      <c r="W32" s="775">
        <f t="shared" si="11"/>
        <v>100</v>
      </c>
      <c r="X32" s="1811"/>
      <c r="Y32" s="3198" t="s">
        <v>2564</v>
      </c>
      <c r="Z32" s="1812" t="str">
        <f t="shared" si="12"/>
        <v>车位类型</v>
      </c>
      <c r="AA32" s="1809">
        <f t="shared" si="3"/>
        <v>1</v>
      </c>
      <c r="AB32" s="1809">
        <f t="shared" si="4"/>
        <v>1</v>
      </c>
      <c r="AC32" s="1809">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08" t="str">
        <f t="shared" si="8"/>
        <v>是否直接入户</v>
      </c>
      <c r="R33" s="774" t="s">
        <v>17</v>
      </c>
      <c r="S33" s="775">
        <f t="shared" si="9"/>
        <v>100</v>
      </c>
      <c r="T33" s="774" t="s">
        <v>17</v>
      </c>
      <c r="U33" s="775">
        <f t="shared" si="10"/>
        <v>100</v>
      </c>
      <c r="V33" s="774" t="s">
        <v>17</v>
      </c>
      <c r="W33" s="775">
        <f t="shared" si="11"/>
        <v>100</v>
      </c>
      <c r="X33" s="1811"/>
      <c r="Y33" s="3198"/>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08">
        <f t="shared" si="8"/>
        <v>111</v>
      </c>
      <c r="R34" s="774" t="s">
        <v>17</v>
      </c>
      <c r="S34" s="775">
        <f t="shared" si="9"/>
        <v>100</v>
      </c>
      <c r="T34" s="774" t="s">
        <v>17</v>
      </c>
      <c r="U34" s="775">
        <f t="shared" si="10"/>
        <v>100</v>
      </c>
      <c r="V34" s="774" t="s">
        <v>17</v>
      </c>
      <c r="W34" s="775">
        <f t="shared" si="11"/>
        <v>100</v>
      </c>
      <c r="X34" s="1811"/>
      <c r="Y34" s="3198"/>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8"/>
        <v>111</v>
      </c>
      <c r="R35" s="777" t="s">
        <v>17</v>
      </c>
      <c r="S35" s="778">
        <f t="shared" si="9"/>
        <v>100</v>
      </c>
      <c r="T35" s="777" t="s">
        <v>17</v>
      </c>
      <c r="U35" s="778">
        <f t="shared" si="10"/>
        <v>100</v>
      </c>
      <c r="V35" s="777" t="s">
        <v>17</v>
      </c>
      <c r="W35" s="778">
        <f t="shared" si="11"/>
        <v>100</v>
      </c>
      <c r="X35" s="779"/>
      <c r="Y35" s="3198"/>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08">
        <f t="shared" si="8"/>
        <v>111</v>
      </c>
      <c r="R36" s="774" t="s">
        <v>17</v>
      </c>
      <c r="S36" s="775">
        <f t="shared" si="9"/>
        <v>100</v>
      </c>
      <c r="T36" s="774" t="s">
        <v>17</v>
      </c>
      <c r="U36" s="775">
        <f t="shared" si="10"/>
        <v>100</v>
      </c>
      <c r="V36" s="774" t="s">
        <v>17</v>
      </c>
      <c r="W36" s="775">
        <f t="shared" si="11"/>
        <v>100</v>
      </c>
      <c r="X36" s="1811"/>
      <c r="Y36" s="3198"/>
      <c r="Z36" s="1812">
        <f t="shared" si="12"/>
        <v>111</v>
      </c>
      <c r="AA36" s="1809">
        <f t="shared" si="3"/>
        <v>1</v>
      </c>
      <c r="AB36" s="1809">
        <f t="shared" si="4"/>
        <v>1</v>
      </c>
      <c r="AC36" s="1809">
        <f t="shared" si="5"/>
        <v>1</v>
      </c>
    </row>
    <row r="37" spans="1:29" ht="15">
      <c r="A37" s="479" t="s">
        <v>2719</v>
      </c>
      <c r="B37" s="2695" t="s">
        <v>2720</v>
      </c>
      <c r="C37" s="1410" t="s">
        <v>1</v>
      </c>
      <c r="D37" s="1411"/>
      <c r="E37" s="1412"/>
      <c r="F37" s="1413"/>
      <c r="G37" s="1414"/>
      <c r="H37" s="1415"/>
      <c r="I37" s="1412"/>
      <c r="J37" s="1415"/>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IF(C2="——",ROUND(C37*D3/10000,0),ROUND(C37*D3/10000,0)-D2)</f>
        <v>#DIV/0!</v>
      </c>
      <c r="C2" s="2586"/>
      <c r="D2" s="1127" t="e">
        <f ca="1">SUMIF(INDIRECT("'"&amp;F2&amp;"'"&amp;"!A:A"),"承租人权益价值",INDIRECT("'"&amp;F2&amp;"'"&amp;"!c:c"))</f>
        <v>#REF!</v>
      </c>
      <c r="E2" s="2587" t="s">
        <v>2327</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04" t="s">
        <v>2647</v>
      </c>
      <c r="AC4" s="3203" t="s">
        <v>2648</v>
      </c>
    </row>
    <row r="5" spans="1:29"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04"/>
      <c r="AC5" s="3204"/>
    </row>
    <row r="6" spans="1:29" ht="15.75" thickBot="1">
      <c r="A6" s="406"/>
      <c r="B6" s="407"/>
      <c r="C6" s="3223" t="s">
        <v>2545</v>
      </c>
      <c r="D6" s="3224"/>
      <c r="E6" s="3230" t="s">
        <v>2545</v>
      </c>
      <c r="F6" s="3231"/>
      <c r="G6" s="3223" t="s">
        <v>2545</v>
      </c>
      <c r="H6" s="3224"/>
      <c r="I6" s="3223" t="s">
        <v>2545</v>
      </c>
      <c r="J6" s="3224"/>
      <c r="K6" s="610" t="s">
        <v>2546</v>
      </c>
      <c r="L6" s="1133"/>
      <c r="M6" s="1134"/>
      <c r="N6" s="1134"/>
      <c r="O6" s="1134"/>
      <c r="P6" s="3214"/>
      <c r="Q6" s="3215"/>
      <c r="R6" s="3218"/>
      <c r="S6" s="3219"/>
      <c r="T6" s="3220"/>
      <c r="U6" s="3221"/>
      <c r="V6" s="3222"/>
      <c r="W6" s="3222"/>
      <c r="X6" s="1811"/>
      <c r="Y6" s="3220"/>
      <c r="Z6" s="3221"/>
      <c r="AA6" s="3205"/>
      <c r="AB6" s="3205"/>
      <c r="AC6" s="3205"/>
    </row>
    <row r="7" spans="1:29" s="117" customFormat="1" ht="15.75" thickBot="1">
      <c r="A7" s="408" t="s">
        <v>2547</v>
      </c>
      <c r="B7" s="409"/>
      <c r="C7" s="410">
        <f>'数据-取费表'!B2</f>
        <v>43594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27" t="s">
        <v>2548</v>
      </c>
      <c r="Q7" s="3229"/>
      <c r="R7" s="770" t="s">
        <v>17</v>
      </c>
      <c r="S7" s="771">
        <f t="shared" ref="S7:S14" si="0">F7</f>
        <v>0</v>
      </c>
      <c r="T7" s="770" t="s">
        <v>17</v>
      </c>
      <c r="U7" s="771">
        <f t="shared" ref="U7:U14" si="1">H7</f>
        <v>0</v>
      </c>
      <c r="V7" s="770" t="s">
        <v>17</v>
      </c>
      <c r="W7" s="771">
        <f t="shared" ref="W7:W14" si="2">J7</f>
        <v>0</v>
      </c>
      <c r="X7" s="772"/>
      <c r="Y7" s="3227" t="s">
        <v>2548</v>
      </c>
      <c r="Z7" s="322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2554</v>
      </c>
      <c r="Q9" s="1793" t="str">
        <f t="shared" ref="Q9:Q14" si="6">B9</f>
        <v>用途</v>
      </c>
      <c r="R9" s="770" t="s">
        <v>17</v>
      </c>
      <c r="S9" s="771">
        <f t="shared" si="0"/>
        <v>100</v>
      </c>
      <c r="T9" s="770" t="s">
        <v>17</v>
      </c>
      <c r="U9" s="771">
        <f t="shared" si="1"/>
        <v>100</v>
      </c>
      <c r="V9" s="770" t="s">
        <v>17</v>
      </c>
      <c r="W9" s="771">
        <f t="shared" si="2"/>
        <v>100</v>
      </c>
      <c r="X9" s="772"/>
      <c r="Y9" s="301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3"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3">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1"/>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2559</v>
      </c>
      <c r="Q14" s="1808" t="str">
        <f t="shared" si="6"/>
        <v>交通便捷度</v>
      </c>
      <c r="R14" s="774" t="s">
        <v>17</v>
      </c>
      <c r="S14" s="775">
        <f t="shared" si="0"/>
        <v>100</v>
      </c>
      <c r="T14" s="774" t="s">
        <v>17</v>
      </c>
      <c r="U14" s="775">
        <f t="shared" si="1"/>
        <v>100</v>
      </c>
      <c r="V14" s="774" t="s">
        <v>17</v>
      </c>
      <c r="W14" s="775">
        <f t="shared" si="2"/>
        <v>100</v>
      </c>
      <c r="X14" s="1811"/>
      <c r="Y14" s="3193" t="s">
        <v>2559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194"/>
      <c r="Q15" s="1808"/>
      <c r="R15" s="774"/>
      <c r="S15" s="775"/>
      <c r="T15" s="774"/>
      <c r="U15" s="775"/>
      <c r="V15" s="774"/>
      <c r="W15" s="775"/>
      <c r="X15" s="1811"/>
      <c r="Y15" s="3194"/>
      <c r="Z15" s="1812"/>
      <c r="AA15" s="1809">
        <v>1</v>
      </c>
      <c r="AB15" s="1809">
        <v>1</v>
      </c>
      <c r="AC15" s="1809">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08" t="str">
        <f>B16</f>
        <v>公共配套设施</v>
      </c>
      <c r="R16" s="774" t="s">
        <v>17</v>
      </c>
      <c r="S16" s="775">
        <f>F16</f>
        <v>100</v>
      </c>
      <c r="T16" s="774" t="s">
        <v>17</v>
      </c>
      <c r="U16" s="775">
        <f>H16</f>
        <v>100</v>
      </c>
      <c r="V16" s="774" t="s">
        <v>17</v>
      </c>
      <c r="W16" s="775">
        <f>J16</f>
        <v>100</v>
      </c>
      <c r="X16" s="1811"/>
      <c r="Y16" s="3194"/>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43"/>
      <c r="M17" s="1134"/>
      <c r="N17" s="1134"/>
      <c r="O17" s="1142"/>
      <c r="P17" s="3194"/>
      <c r="Q17" s="1808"/>
      <c r="R17" s="774"/>
      <c r="S17" s="775"/>
      <c r="T17" s="774"/>
      <c r="U17" s="775"/>
      <c r="V17" s="774"/>
      <c r="W17" s="775"/>
      <c r="X17" s="1811"/>
      <c r="Y17" s="3194"/>
      <c r="Z17" s="1812"/>
      <c r="AA17" s="1809">
        <v>1</v>
      </c>
      <c r="AB17" s="1809">
        <v>1</v>
      </c>
      <c r="AC17" s="1809">
        <v>1</v>
      </c>
    </row>
    <row r="18" spans="1:29" ht="28.5">
      <c r="A18" s="428"/>
      <c r="B18" s="1387"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08" t="str">
        <f>B18</f>
        <v>基础设施水平</v>
      </c>
      <c r="R18" s="774" t="s">
        <v>17</v>
      </c>
      <c r="S18" s="775">
        <f>F18</f>
        <v>100</v>
      </c>
      <c r="T18" s="774" t="s">
        <v>17</v>
      </c>
      <c r="U18" s="775">
        <f>H18</f>
        <v>100</v>
      </c>
      <c r="V18" s="774" t="s">
        <v>17</v>
      </c>
      <c r="W18" s="775">
        <f>J18</f>
        <v>100</v>
      </c>
      <c r="X18" s="1811"/>
      <c r="Y18" s="3194"/>
      <c r="Z18" s="1812" t="str">
        <f>Q18</f>
        <v>基础设施水平</v>
      </c>
      <c r="AA18" s="1809">
        <f>D18/F18</f>
        <v>1</v>
      </c>
      <c r="AB18" s="1809">
        <f>D18/H18</f>
        <v>1</v>
      </c>
      <c r="AC18" s="1809">
        <f>D18/J18</f>
        <v>1</v>
      </c>
    </row>
    <row r="19" spans="1:29" ht="15">
      <c r="A19" s="428"/>
      <c r="B19" s="1387"/>
      <c r="C19" s="2608"/>
      <c r="D19" s="450"/>
      <c r="E19" s="2608"/>
      <c r="F19" s="453"/>
      <c r="G19" s="2608"/>
      <c r="H19" s="448"/>
      <c r="I19" s="447"/>
      <c r="J19" s="448"/>
      <c r="K19" s="1386"/>
      <c r="L19" s="1143"/>
      <c r="M19" s="1134"/>
      <c r="N19" s="1134"/>
      <c r="O19" s="1142"/>
      <c r="P19" s="3194"/>
      <c r="Q19" s="1808"/>
      <c r="R19" s="774"/>
      <c r="S19" s="775"/>
      <c r="T19" s="774"/>
      <c r="U19" s="775"/>
      <c r="V19" s="774"/>
      <c r="W19" s="775"/>
      <c r="X19" s="1811"/>
      <c r="Y19" s="3194"/>
      <c r="Z19" s="1812"/>
      <c r="AA19" s="1809">
        <v>1</v>
      </c>
      <c r="AB19" s="1809">
        <v>1</v>
      </c>
      <c r="AC19" s="1809">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08" t="str">
        <f>B20</f>
        <v>自然及人文环境</v>
      </c>
      <c r="R20" s="774" t="s">
        <v>17</v>
      </c>
      <c r="S20" s="775">
        <f>F20</f>
        <v>100</v>
      </c>
      <c r="T20" s="774" t="s">
        <v>17</v>
      </c>
      <c r="U20" s="775">
        <f>H20</f>
        <v>100</v>
      </c>
      <c r="V20" s="774" t="s">
        <v>17</v>
      </c>
      <c r="W20" s="775">
        <f>J20</f>
        <v>100</v>
      </c>
      <c r="X20" s="1811"/>
      <c r="Y20" s="319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194"/>
      <c r="Q21" s="1808"/>
      <c r="R21" s="774"/>
      <c r="S21" s="775"/>
      <c r="T21" s="774"/>
      <c r="U21" s="775"/>
      <c r="V21" s="774"/>
      <c r="W21" s="775"/>
      <c r="X21" s="1811"/>
      <c r="Y21" s="3194"/>
      <c r="Z21" s="1812"/>
      <c r="AA21" s="1809">
        <v>1</v>
      </c>
      <c r="AB21" s="1809">
        <v>1</v>
      </c>
      <c r="AC21" s="1809">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08" t="str">
        <f>B22</f>
        <v>楼层</v>
      </c>
      <c r="R22" s="774" t="s">
        <v>17</v>
      </c>
      <c r="S22" s="775">
        <f>F22</f>
        <v>100</v>
      </c>
      <c r="T22" s="774" t="s">
        <v>17</v>
      </c>
      <c r="U22" s="775">
        <f>H22</f>
        <v>100</v>
      </c>
      <c r="V22" s="774" t="s">
        <v>17</v>
      </c>
      <c r="W22" s="775">
        <f>J22</f>
        <v>100</v>
      </c>
      <c r="X22" s="1811"/>
      <c r="Y22" s="3194"/>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08">
        <f>B23</f>
        <v>111</v>
      </c>
      <c r="R23" s="774" t="s">
        <v>17</v>
      </c>
      <c r="S23" s="775">
        <f>F23</f>
        <v>100</v>
      </c>
      <c r="T23" s="774" t="s">
        <v>17</v>
      </c>
      <c r="U23" s="775">
        <f>H23</f>
        <v>100</v>
      </c>
      <c r="V23" s="774" t="s">
        <v>17</v>
      </c>
      <c r="W23" s="775">
        <f>J23</f>
        <v>100</v>
      </c>
      <c r="X23" s="1811"/>
      <c r="Y23" s="3194"/>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08">
        <f t="shared" ref="Q24:Q34" si="8">B24</f>
        <v>111</v>
      </c>
      <c r="R24" s="774" t="s">
        <v>17</v>
      </c>
      <c r="S24" s="775">
        <f>F24</f>
        <v>100</v>
      </c>
      <c r="T24" s="774" t="s">
        <v>17</v>
      </c>
      <c r="U24" s="775">
        <f>H24</f>
        <v>100</v>
      </c>
      <c r="V24" s="774" t="s">
        <v>17</v>
      </c>
      <c r="W24" s="775">
        <f>J24</f>
        <v>100</v>
      </c>
      <c r="X24" s="1811"/>
      <c r="Y24" s="3194"/>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4"/>
      <c r="Q25" s="1793">
        <f t="shared" si="8"/>
        <v>111</v>
      </c>
      <c r="R25" s="770" t="s">
        <v>17</v>
      </c>
      <c r="S25" s="771">
        <f>F25</f>
        <v>100</v>
      </c>
      <c r="T25" s="770" t="s">
        <v>17</v>
      </c>
      <c r="U25" s="771">
        <f>H25</f>
        <v>100</v>
      </c>
      <c r="V25" s="770" t="s">
        <v>17</v>
      </c>
      <c r="W25" s="771">
        <f>J25</f>
        <v>100</v>
      </c>
      <c r="X25" s="772"/>
      <c r="Y25" s="3194"/>
      <c r="Z25" s="55">
        <f>Q25</f>
        <v>111</v>
      </c>
      <c r="AA25" s="1809">
        <f>D25/F25</f>
        <v>1</v>
      </c>
      <c r="AB25" s="1809">
        <f>D25/H25</f>
        <v>1</v>
      </c>
      <c r="AC25" s="1809">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49" t="s">
        <v>2564</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198" t="s">
        <v>2564</v>
      </c>
      <c r="Z26" s="1812" t="str">
        <f t="shared" ref="Z26:Z34" si="12">Q26</f>
        <v>公共部分装修</v>
      </c>
      <c r="AA26" s="1809">
        <f t="shared" si="3"/>
        <v>1</v>
      </c>
      <c r="AB26" s="1809">
        <f t="shared" si="4"/>
        <v>1</v>
      </c>
      <c r="AC26" s="1809">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8"/>
        <v>成新率</v>
      </c>
      <c r="R27" s="777" t="s">
        <v>17</v>
      </c>
      <c r="S27" s="778" t="e">
        <f t="shared" si="9"/>
        <v>#N/A</v>
      </c>
      <c r="T27" s="777" t="s">
        <v>17</v>
      </c>
      <c r="U27" s="778" t="e">
        <f t="shared" si="10"/>
        <v>#N/A</v>
      </c>
      <c r="V27" s="777" t="s">
        <v>17</v>
      </c>
      <c r="W27" s="778" t="e">
        <f t="shared" si="11"/>
        <v>#N/A</v>
      </c>
      <c r="X27" s="779"/>
      <c r="Y27" s="3198"/>
      <c r="Z27" s="780" t="str">
        <f t="shared" si="12"/>
        <v>成新率</v>
      </c>
      <c r="AA27" s="1809" t="e">
        <f t="shared" si="3"/>
        <v>#N/A</v>
      </c>
      <c r="AB27" s="1809" t="e">
        <f t="shared" si="4"/>
        <v>#N/A</v>
      </c>
      <c r="AC27" s="1809"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08" t="str">
        <f t="shared" si="8"/>
        <v>物业等级</v>
      </c>
      <c r="R28" s="774" t="s">
        <v>17</v>
      </c>
      <c r="S28" s="775">
        <f t="shared" si="9"/>
        <v>100</v>
      </c>
      <c r="T28" s="774" t="s">
        <v>17</v>
      </c>
      <c r="U28" s="775">
        <f t="shared" si="10"/>
        <v>100</v>
      </c>
      <c r="V28" s="774" t="s">
        <v>17</v>
      </c>
      <c r="W28" s="775">
        <f t="shared" si="11"/>
        <v>100</v>
      </c>
      <c r="X28" s="1811"/>
      <c r="Y28" s="3198"/>
      <c r="Z28" s="1812" t="str">
        <f t="shared" si="12"/>
        <v>物业等级</v>
      </c>
      <c r="AA28" s="1809">
        <f t="shared" si="3"/>
        <v>1</v>
      </c>
      <c r="AB28" s="1809">
        <f t="shared" si="4"/>
        <v>1</v>
      </c>
      <c r="AC28" s="1809">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08" t="str">
        <f t="shared" si="8"/>
        <v>有无电梯</v>
      </c>
      <c r="R29" s="774" t="s">
        <v>17</v>
      </c>
      <c r="S29" s="775">
        <f t="shared" si="9"/>
        <v>100</v>
      </c>
      <c r="T29" s="774" t="s">
        <v>17</v>
      </c>
      <c r="U29" s="775">
        <f t="shared" si="10"/>
        <v>100</v>
      </c>
      <c r="V29" s="774" t="s">
        <v>17</v>
      </c>
      <c r="W29" s="775">
        <f t="shared" si="11"/>
        <v>100</v>
      </c>
      <c r="X29" s="1811"/>
      <c r="Y29" s="3198"/>
      <c r="Z29" s="1812" t="str">
        <f t="shared" si="12"/>
        <v>有无电梯</v>
      </c>
      <c r="AA29" s="1809">
        <f t="shared" si="3"/>
        <v>1</v>
      </c>
      <c r="AB29" s="1809">
        <f t="shared" si="4"/>
        <v>1</v>
      </c>
      <c r="AC29" s="1809">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08" t="str">
        <f t="shared" si="8"/>
        <v>建筑面积</v>
      </c>
      <c r="R30" s="774" t="s">
        <v>17</v>
      </c>
      <c r="S30" s="775" t="e">
        <f t="shared" si="9"/>
        <v>#N/A</v>
      </c>
      <c r="T30" s="774" t="s">
        <v>17</v>
      </c>
      <c r="U30" s="775" t="e">
        <f t="shared" si="10"/>
        <v>#N/A</v>
      </c>
      <c r="V30" s="774" t="s">
        <v>17</v>
      </c>
      <c r="W30" s="775" t="e">
        <f t="shared" si="11"/>
        <v>#N/A</v>
      </c>
      <c r="X30" s="1811"/>
      <c r="Y30" s="3198"/>
      <c r="Z30" s="1812" t="str">
        <f t="shared" si="12"/>
        <v>建筑面积</v>
      </c>
      <c r="AA30" s="1809" t="e">
        <f t="shared" si="3"/>
        <v>#N/A</v>
      </c>
      <c r="AB30" s="1809" t="e">
        <f t="shared" si="4"/>
        <v>#N/A</v>
      </c>
      <c r="AC30" s="1809"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3" t="str">
        <f t="shared" si="8"/>
        <v>是否封闭</v>
      </c>
      <c r="R31" s="770" t="s">
        <v>17</v>
      </c>
      <c r="S31" s="771">
        <f t="shared" si="9"/>
        <v>100</v>
      </c>
      <c r="T31" s="770" t="s">
        <v>17</v>
      </c>
      <c r="U31" s="771">
        <f t="shared" si="10"/>
        <v>100</v>
      </c>
      <c r="V31" s="770" t="s">
        <v>17</v>
      </c>
      <c r="W31" s="771">
        <f t="shared" si="11"/>
        <v>100</v>
      </c>
      <c r="X31" s="772"/>
      <c r="Y31" s="3198"/>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2564</v>
      </c>
      <c r="Q32" s="1808">
        <f t="shared" si="8"/>
        <v>111</v>
      </c>
      <c r="R32" s="774" t="s">
        <v>17</v>
      </c>
      <c r="S32" s="775">
        <f t="shared" si="9"/>
        <v>100</v>
      </c>
      <c r="T32" s="774" t="s">
        <v>17</v>
      </c>
      <c r="U32" s="775">
        <f t="shared" si="10"/>
        <v>100</v>
      </c>
      <c r="V32" s="774" t="s">
        <v>17</v>
      </c>
      <c r="W32" s="775">
        <f t="shared" si="11"/>
        <v>100</v>
      </c>
      <c r="X32" s="1811"/>
      <c r="Y32" s="3198" t="s">
        <v>2564</v>
      </c>
      <c r="Z32" s="1812">
        <f t="shared" si="12"/>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08">
        <f t="shared" si="8"/>
        <v>111</v>
      </c>
      <c r="R33" s="774" t="s">
        <v>17</v>
      </c>
      <c r="S33" s="775">
        <f t="shared" si="9"/>
        <v>100</v>
      </c>
      <c r="T33" s="774" t="s">
        <v>17</v>
      </c>
      <c r="U33" s="775">
        <f t="shared" si="10"/>
        <v>100</v>
      </c>
      <c r="V33" s="774" t="s">
        <v>17</v>
      </c>
      <c r="W33" s="775">
        <f t="shared" si="11"/>
        <v>100</v>
      </c>
      <c r="X33" s="1811"/>
      <c r="Y33" s="3198"/>
      <c r="Z33" s="1812">
        <f t="shared" si="12"/>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08">
        <f t="shared" si="8"/>
        <v>111</v>
      </c>
      <c r="R34" s="774" t="s">
        <v>17</v>
      </c>
      <c r="S34" s="775">
        <f t="shared" si="9"/>
        <v>100</v>
      </c>
      <c r="T34" s="774" t="s">
        <v>17</v>
      </c>
      <c r="U34" s="775">
        <f t="shared" si="10"/>
        <v>100</v>
      </c>
      <c r="V34" s="774" t="s">
        <v>17</v>
      </c>
      <c r="W34" s="775">
        <f t="shared" si="11"/>
        <v>100</v>
      </c>
      <c r="X34" s="1811"/>
      <c r="Y34" s="3198"/>
      <c r="Z34" s="1812">
        <f t="shared" si="12"/>
        <v>111</v>
      </c>
      <c r="AA34" s="1809">
        <f t="shared" si="3"/>
        <v>1</v>
      </c>
      <c r="AB34" s="1809">
        <f t="shared" si="4"/>
        <v>1</v>
      </c>
      <c r="AC34" s="1809">
        <f t="shared" si="5"/>
        <v>1</v>
      </c>
    </row>
    <row r="35" spans="1:29" ht="15">
      <c r="A35" s="479" t="s">
        <v>2576</v>
      </c>
      <c r="B35" s="480"/>
      <c r="C35" s="1410" t="s">
        <v>1</v>
      </c>
      <c r="D35" s="1411"/>
      <c r="E35" s="1412"/>
      <c r="F35" s="1413"/>
      <c r="G35" s="1414"/>
      <c r="H35" s="1415"/>
      <c r="I35" s="1412"/>
      <c r="J35" s="1415"/>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04" t="s">
        <v>2647</v>
      </c>
      <c r="AC4" s="3203" t="s">
        <v>2648</v>
      </c>
    </row>
    <row r="5" spans="1:30"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04"/>
      <c r="AC5" s="3204"/>
    </row>
    <row r="6" spans="1:30" ht="15.75" thickBot="1">
      <c r="A6" s="406"/>
      <c r="B6" s="407"/>
      <c r="C6" s="3223" t="s">
        <v>2545</v>
      </c>
      <c r="D6" s="3224"/>
      <c r="E6" s="3230" t="s">
        <v>2545</v>
      </c>
      <c r="F6" s="3231"/>
      <c r="G6" s="3223" t="s">
        <v>2545</v>
      </c>
      <c r="H6" s="3224"/>
      <c r="I6" s="3223" t="s">
        <v>2545</v>
      </c>
      <c r="J6" s="3224"/>
      <c r="K6" s="610" t="s">
        <v>2546</v>
      </c>
      <c r="L6" s="1133"/>
      <c r="M6" s="1134"/>
      <c r="N6" s="1134"/>
      <c r="O6" s="1134"/>
      <c r="P6" s="3214"/>
      <c r="Q6" s="3215"/>
      <c r="R6" s="3218"/>
      <c r="S6" s="3219"/>
      <c r="T6" s="3220"/>
      <c r="U6" s="3221"/>
      <c r="V6" s="3222"/>
      <c r="W6" s="3222"/>
      <c r="X6" s="1811"/>
      <c r="Y6" s="3220"/>
      <c r="Z6" s="3221"/>
      <c r="AA6" s="3205"/>
      <c r="AB6" s="3205"/>
      <c r="AC6" s="3205"/>
    </row>
    <row r="7" spans="1:30" s="117" customFormat="1" ht="15.75" thickBot="1">
      <c r="A7" s="408" t="s">
        <v>2547</v>
      </c>
      <c r="B7" s="409"/>
      <c r="C7" s="410">
        <f>'数据-取费表'!B2</f>
        <v>43594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27" t="s">
        <v>2548</v>
      </c>
      <c r="Q7" s="3229"/>
      <c r="R7" s="770" t="s">
        <v>17</v>
      </c>
      <c r="S7" s="771">
        <f t="shared" ref="S7:S15" si="0">F7</f>
        <v>0</v>
      </c>
      <c r="T7" s="770" t="s">
        <v>17</v>
      </c>
      <c r="U7" s="771">
        <f t="shared" ref="U7:U15" si="1">H7</f>
        <v>0</v>
      </c>
      <c r="V7" s="770" t="s">
        <v>17</v>
      </c>
      <c r="W7" s="771">
        <f t="shared" ref="W7:W15" si="2">J7</f>
        <v>0</v>
      </c>
      <c r="X7" s="772"/>
      <c r="Y7" s="3227" t="s">
        <v>2548</v>
      </c>
      <c r="Z7" s="322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91"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1"/>
      <c r="Q10" s="1793"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3"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3"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3">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3">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2558</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2559</v>
      </c>
      <c r="Q15" s="1808" t="str">
        <f t="shared" si="6"/>
        <v>居住社区成熟度</v>
      </c>
      <c r="R15" s="774" t="s">
        <v>17</v>
      </c>
      <c r="S15" s="775">
        <f t="shared" si="0"/>
        <v>100</v>
      </c>
      <c r="T15" s="774" t="s">
        <v>17</v>
      </c>
      <c r="U15" s="775">
        <f t="shared" si="1"/>
        <v>100</v>
      </c>
      <c r="V15" s="774" t="s">
        <v>17</v>
      </c>
      <c r="W15" s="775">
        <f t="shared" si="2"/>
        <v>100</v>
      </c>
      <c r="X15" s="1811"/>
      <c r="Y15" s="3193" t="s">
        <v>2559</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43"/>
      <c r="M16" s="1134"/>
      <c r="N16" s="1134"/>
      <c r="O16" s="1142"/>
      <c r="P16" s="3194"/>
      <c r="Q16" s="1808"/>
      <c r="R16" s="774"/>
      <c r="S16" s="775"/>
      <c r="T16" s="774"/>
      <c r="U16" s="775"/>
      <c r="V16" s="774"/>
      <c r="W16" s="775"/>
      <c r="X16" s="1811"/>
      <c r="Y16" s="3194"/>
      <c r="Z16" s="1812"/>
      <c r="AA16" s="1809">
        <v>1</v>
      </c>
      <c r="AB16" s="1809">
        <v>1</v>
      </c>
      <c r="AC16" s="1809">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08" t="str">
        <f>B17</f>
        <v>商业繁华度</v>
      </c>
      <c r="R17" s="774" t="s">
        <v>17</v>
      </c>
      <c r="S17" s="775">
        <f>F17</f>
        <v>100</v>
      </c>
      <c r="T17" s="774" t="s">
        <v>17</v>
      </c>
      <c r="U17" s="775">
        <f>H17</f>
        <v>100</v>
      </c>
      <c r="V17" s="774" t="s">
        <v>17</v>
      </c>
      <c r="W17" s="775">
        <f>J17</f>
        <v>100</v>
      </c>
      <c r="X17" s="1811"/>
      <c r="Y17" s="3194"/>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43"/>
      <c r="M18" s="1134"/>
      <c r="N18" s="1134"/>
      <c r="O18" s="1142"/>
      <c r="P18" s="3194"/>
      <c r="Q18" s="1808"/>
      <c r="R18" s="774"/>
      <c r="S18" s="775"/>
      <c r="T18" s="774"/>
      <c r="U18" s="775"/>
      <c r="V18" s="774"/>
      <c r="W18" s="775"/>
      <c r="X18" s="1811"/>
      <c r="Y18" s="3194"/>
      <c r="Z18" s="1812"/>
      <c r="AA18" s="1809">
        <v>1</v>
      </c>
      <c r="AB18" s="1809">
        <v>1</v>
      </c>
      <c r="AC18" s="1809">
        <v>1</v>
      </c>
    </row>
    <row r="19" spans="1:29" ht="71.25">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08" t="str">
        <f>B19</f>
        <v>办公集聚程度</v>
      </c>
      <c r="R19" s="774" t="s">
        <v>17</v>
      </c>
      <c r="S19" s="775">
        <f>F19</f>
        <v>100</v>
      </c>
      <c r="T19" s="774" t="s">
        <v>17</v>
      </c>
      <c r="U19" s="775">
        <f>H19</f>
        <v>100</v>
      </c>
      <c r="V19" s="774" t="s">
        <v>17</v>
      </c>
      <c r="W19" s="775">
        <f>J19</f>
        <v>100</v>
      </c>
      <c r="X19" s="1811"/>
      <c r="Y19" s="3194"/>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43"/>
      <c r="M20" s="1134"/>
      <c r="N20" s="1134"/>
      <c r="O20" s="1142"/>
      <c r="P20" s="3194"/>
      <c r="Q20" s="1808"/>
      <c r="R20" s="774"/>
      <c r="S20" s="775"/>
      <c r="T20" s="774"/>
      <c r="U20" s="775"/>
      <c r="V20" s="774"/>
      <c r="W20" s="775"/>
      <c r="X20" s="1811"/>
      <c r="Y20" s="3194"/>
      <c r="Z20" s="1812"/>
      <c r="AA20" s="1809">
        <v>1</v>
      </c>
      <c r="AB20" s="1809">
        <v>1</v>
      </c>
      <c r="AC20" s="1809">
        <v>1</v>
      </c>
    </row>
    <row r="21" spans="1:29" ht="85.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08" t="str">
        <f>B21</f>
        <v>交通便捷度</v>
      </c>
      <c r="R21" s="774" t="s">
        <v>17</v>
      </c>
      <c r="S21" s="775">
        <f>F21</f>
        <v>100</v>
      </c>
      <c r="T21" s="774" t="s">
        <v>17</v>
      </c>
      <c r="U21" s="775">
        <f>H21</f>
        <v>100</v>
      </c>
      <c r="V21" s="774" t="s">
        <v>17</v>
      </c>
      <c r="W21" s="775">
        <f>J21</f>
        <v>100</v>
      </c>
      <c r="X21" s="1811"/>
      <c r="Y21" s="3194"/>
      <c r="Z21" s="1812" t="str">
        <f>Q21</f>
        <v>交通便捷度</v>
      </c>
      <c r="AA21" s="1809">
        <f t="shared" si="3"/>
        <v>1</v>
      </c>
      <c r="AB21" s="1809">
        <f t="shared" si="4"/>
        <v>1</v>
      </c>
      <c r="AC21" s="1809">
        <f t="shared" si="5"/>
        <v>1</v>
      </c>
    </row>
    <row r="22" spans="1:29" ht="15">
      <c r="A22" s="428"/>
      <c r="B22" s="1387"/>
      <c r="C22" s="447"/>
      <c r="D22" s="450"/>
      <c r="E22" s="2605"/>
      <c r="F22" s="448"/>
      <c r="G22" s="2605"/>
      <c r="H22" s="448"/>
      <c r="I22" s="2604"/>
      <c r="J22" s="448"/>
      <c r="K22" s="672"/>
      <c r="L22" s="1143"/>
      <c r="M22" s="1134"/>
      <c r="N22" s="1134"/>
      <c r="O22" s="1142"/>
      <c r="P22" s="3194"/>
      <c r="Q22" s="1808"/>
      <c r="R22" s="774"/>
      <c r="S22" s="775"/>
      <c r="T22" s="774"/>
      <c r="U22" s="775"/>
      <c r="V22" s="774"/>
      <c r="W22" s="775"/>
      <c r="X22" s="1811"/>
      <c r="Y22" s="3194"/>
      <c r="Z22" s="1812"/>
      <c r="AA22" s="1809">
        <v>1</v>
      </c>
      <c r="AB22" s="1809">
        <v>1</v>
      </c>
      <c r="AC22" s="1809">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08" t="str">
        <f t="shared" ref="Q23:Q37" si="8">B23</f>
        <v>区域土地利用方向</v>
      </c>
      <c r="R23" s="774" t="s">
        <v>17</v>
      </c>
      <c r="S23" s="775">
        <f>F23</f>
        <v>100</v>
      </c>
      <c r="T23" s="774" t="s">
        <v>17</v>
      </c>
      <c r="U23" s="775">
        <f>H23</f>
        <v>100</v>
      </c>
      <c r="V23" s="774" t="s">
        <v>17</v>
      </c>
      <c r="W23" s="775">
        <f>J23</f>
        <v>100</v>
      </c>
      <c r="X23" s="1811"/>
      <c r="Y23" s="3194"/>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2"/>
      <c r="L24" s="1143"/>
      <c r="M24" s="1134"/>
      <c r="N24" s="1134"/>
      <c r="O24" s="1142"/>
      <c r="P24" s="3194"/>
      <c r="Q24" s="1808"/>
      <c r="R24" s="774"/>
      <c r="S24" s="775"/>
      <c r="T24" s="774"/>
      <c r="U24" s="775"/>
      <c r="V24" s="774"/>
      <c r="W24" s="775"/>
      <c r="X24" s="1811"/>
      <c r="Y24" s="3194"/>
      <c r="Z24" s="1812"/>
      <c r="AA24" s="1809"/>
      <c r="AB24" s="1809"/>
      <c r="AC24" s="1809"/>
    </row>
    <row r="25" spans="1:29" ht="57">
      <c r="A25" s="404"/>
      <c r="B25" s="1387"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08" t="str">
        <f t="shared" si="8"/>
        <v>自然及人文环境状况</v>
      </c>
      <c r="R25" s="774" t="s">
        <v>17</v>
      </c>
      <c r="S25" s="775">
        <f>F25</f>
        <v>100</v>
      </c>
      <c r="T25" s="774" t="s">
        <v>17</v>
      </c>
      <c r="U25" s="775">
        <f>H25</f>
        <v>100</v>
      </c>
      <c r="V25" s="774" t="s">
        <v>17</v>
      </c>
      <c r="W25" s="775">
        <f>J25</f>
        <v>100</v>
      </c>
      <c r="X25" s="1811"/>
      <c r="Y25" s="3194"/>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43"/>
      <c r="M26" s="1134"/>
      <c r="N26" s="1134"/>
      <c r="O26" s="1142"/>
      <c r="P26" s="3194"/>
      <c r="Q26" s="1808"/>
      <c r="R26" s="774"/>
      <c r="S26" s="775"/>
      <c r="T26" s="774"/>
      <c r="U26" s="775"/>
      <c r="V26" s="774"/>
      <c r="W26" s="775"/>
      <c r="X26" s="1811"/>
      <c r="Y26" s="3194"/>
      <c r="Z26" s="1812"/>
      <c r="AA26" s="1809">
        <v>1</v>
      </c>
      <c r="AB26" s="1809">
        <v>1</v>
      </c>
      <c r="AC26" s="1809">
        <v>1</v>
      </c>
    </row>
    <row r="27" spans="1:29" s="117" customFormat="1" ht="42.75">
      <c r="A27" s="649"/>
      <c r="B27" s="1387"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3" t="str">
        <f t="shared" si="8"/>
        <v>公共配套设施</v>
      </c>
      <c r="R27" s="770" t="s">
        <v>17</v>
      </c>
      <c r="S27" s="771">
        <f>F27</f>
        <v>100</v>
      </c>
      <c r="T27" s="770" t="s">
        <v>17</v>
      </c>
      <c r="U27" s="771">
        <f>H27</f>
        <v>100</v>
      </c>
      <c r="V27" s="770" t="s">
        <v>17</v>
      </c>
      <c r="W27" s="771">
        <f>J27</f>
        <v>100</v>
      </c>
      <c r="X27" s="772"/>
      <c r="Y27" s="3194"/>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5"/>
      <c r="M28" s="1136"/>
      <c r="N28" s="1136"/>
      <c r="O28" s="1137"/>
      <c r="P28" s="3194"/>
      <c r="Q28" s="1793"/>
      <c r="R28" s="770"/>
      <c r="S28" s="771"/>
      <c r="T28" s="770"/>
      <c r="U28" s="771"/>
      <c r="V28" s="770"/>
      <c r="W28" s="771"/>
      <c r="X28" s="772"/>
      <c r="Y28" s="3194"/>
      <c r="Z28" s="55"/>
      <c r="AA28" s="1809">
        <v>1</v>
      </c>
      <c r="AB28" s="1809">
        <v>1</v>
      </c>
      <c r="AC28" s="1809">
        <v>1</v>
      </c>
    </row>
    <row r="29" spans="1:29" s="117" customFormat="1" ht="28.5">
      <c r="A29" s="649"/>
      <c r="B29" s="1387"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3" t="str">
        <f>B29</f>
        <v>基础设施水平</v>
      </c>
      <c r="R29" s="770" t="s">
        <v>17</v>
      </c>
      <c r="S29" s="771">
        <f>F29</f>
        <v>100</v>
      </c>
      <c r="T29" s="770" t="s">
        <v>17</v>
      </c>
      <c r="U29" s="771">
        <f>H29</f>
        <v>100</v>
      </c>
      <c r="V29" s="770" t="s">
        <v>17</v>
      </c>
      <c r="W29" s="771">
        <f>J29</f>
        <v>100</v>
      </c>
      <c r="X29" s="772"/>
      <c r="Y29" s="3194"/>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5"/>
      <c r="M30" s="1136"/>
      <c r="N30" s="1136"/>
      <c r="O30" s="1137"/>
      <c r="P30" s="3194"/>
      <c r="Q30" s="1793"/>
      <c r="R30" s="770"/>
      <c r="S30" s="771"/>
      <c r="T30" s="770"/>
      <c r="U30" s="771"/>
      <c r="V30" s="770"/>
      <c r="W30" s="771"/>
      <c r="X30" s="772"/>
      <c r="Y30" s="3194"/>
      <c r="Z30" s="55"/>
      <c r="AA30" s="1809">
        <v>1</v>
      </c>
      <c r="AB30" s="1809">
        <v>1</v>
      </c>
      <c r="AC30" s="1809">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194"/>
      <c r="Z31" s="1812" t="str">
        <f t="shared" ref="Z31:Z45" si="12">Q31</f>
        <v>临街状况</v>
      </c>
      <c r="AA31" s="1809">
        <f t="shared" si="3"/>
        <v>1</v>
      </c>
      <c r="AB31" s="1809">
        <f t="shared" si="4"/>
        <v>1</v>
      </c>
      <c r="AC31" s="1809">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08" t="str">
        <f t="shared" si="8"/>
        <v>毗邻道路的类型与等级</v>
      </c>
      <c r="R32" s="774" t="s">
        <v>17</v>
      </c>
      <c r="S32" s="775">
        <f t="shared" si="9"/>
        <v>100</v>
      </c>
      <c r="T32" s="774" t="s">
        <v>17</v>
      </c>
      <c r="U32" s="775">
        <f t="shared" si="10"/>
        <v>100</v>
      </c>
      <c r="V32" s="774" t="s">
        <v>17</v>
      </c>
      <c r="W32" s="775">
        <f t="shared" si="11"/>
        <v>100</v>
      </c>
      <c r="X32" s="1811"/>
      <c r="Y32" s="3194"/>
      <c r="Z32" s="1812" t="str">
        <f t="shared" si="12"/>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43"/>
      <c r="M33" s="1134"/>
      <c r="N33" s="1134"/>
      <c r="O33" s="1142"/>
      <c r="P33" s="3194"/>
      <c r="Q33" s="1808"/>
      <c r="R33" s="774"/>
      <c r="S33" s="775"/>
      <c r="T33" s="774"/>
      <c r="U33" s="775"/>
      <c r="V33" s="774"/>
      <c r="W33" s="775"/>
      <c r="X33" s="1811"/>
      <c r="Y33" s="3194"/>
      <c r="Z33" s="1812"/>
      <c r="AA33" s="1809">
        <v>1</v>
      </c>
      <c r="AB33" s="1809">
        <v>1</v>
      </c>
      <c r="AC33" s="1809">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08" t="str">
        <f t="shared" si="8"/>
        <v>土地级别</v>
      </c>
      <c r="R34" s="774" t="s">
        <v>17</v>
      </c>
      <c r="S34" s="775">
        <f t="shared" si="9"/>
        <v>100</v>
      </c>
      <c r="T34" s="774" t="s">
        <v>17</v>
      </c>
      <c r="U34" s="775">
        <f t="shared" si="10"/>
        <v>100</v>
      </c>
      <c r="V34" s="774" t="s">
        <v>17</v>
      </c>
      <c r="W34" s="775">
        <f t="shared" si="11"/>
        <v>100</v>
      </c>
      <c r="X34" s="1811"/>
      <c r="Y34" s="3194"/>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08">
        <f t="shared" si="8"/>
        <v>111</v>
      </c>
      <c r="R35" s="774" t="s">
        <v>17</v>
      </c>
      <c r="S35" s="775">
        <f t="shared" si="9"/>
        <v>100</v>
      </c>
      <c r="T35" s="774" t="s">
        <v>17</v>
      </c>
      <c r="U35" s="775">
        <f t="shared" si="10"/>
        <v>100</v>
      </c>
      <c r="V35" s="774" t="s">
        <v>17</v>
      </c>
      <c r="W35" s="775">
        <f t="shared" si="11"/>
        <v>100</v>
      </c>
      <c r="X35" s="1811"/>
      <c r="Y35" s="3194"/>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2564</v>
      </c>
      <c r="Q36" s="1808">
        <f t="shared" si="8"/>
        <v>111</v>
      </c>
      <c r="R36" s="774" t="s">
        <v>17</v>
      </c>
      <c r="S36" s="775">
        <f t="shared" si="9"/>
        <v>100</v>
      </c>
      <c r="T36" s="774" t="s">
        <v>17</v>
      </c>
      <c r="U36" s="775">
        <f t="shared" si="10"/>
        <v>100</v>
      </c>
      <c r="V36" s="774" t="s">
        <v>17</v>
      </c>
      <c r="W36" s="775">
        <f t="shared" si="11"/>
        <v>100</v>
      </c>
      <c r="X36" s="1811"/>
      <c r="Y36" s="3198" t="s">
        <v>2564</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08">
        <f t="shared" si="8"/>
        <v>111</v>
      </c>
      <c r="R37" s="777" t="s">
        <v>17</v>
      </c>
      <c r="S37" s="778">
        <f t="shared" si="9"/>
        <v>100</v>
      </c>
      <c r="T37" s="777" t="s">
        <v>17</v>
      </c>
      <c r="U37" s="778">
        <f t="shared" si="10"/>
        <v>100</v>
      </c>
      <c r="V37" s="777" t="s">
        <v>17</v>
      </c>
      <c r="W37" s="778">
        <f t="shared" si="11"/>
        <v>100</v>
      </c>
      <c r="X37" s="779"/>
      <c r="Y37" s="3198"/>
      <c r="Z37" s="780">
        <f t="shared" si="12"/>
        <v>111</v>
      </c>
      <c r="AA37" s="1809">
        <f t="shared" si="3"/>
        <v>1</v>
      </c>
      <c r="AB37" s="1809">
        <f t="shared" si="4"/>
        <v>1</v>
      </c>
      <c r="AC37" s="1809">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08" t="str">
        <f>B38</f>
        <v>宗地面积</v>
      </c>
      <c r="R38" s="774" t="s">
        <v>17</v>
      </c>
      <c r="S38" s="775" t="e">
        <f t="shared" si="9"/>
        <v>#N/A</v>
      </c>
      <c r="T38" s="774" t="s">
        <v>17</v>
      </c>
      <c r="U38" s="775" t="e">
        <f t="shared" si="10"/>
        <v>#N/A</v>
      </c>
      <c r="V38" s="774" t="s">
        <v>17</v>
      </c>
      <c r="W38" s="775" t="e">
        <f t="shared" si="11"/>
        <v>#N/A</v>
      </c>
      <c r="X38" s="1811"/>
      <c r="Y38" s="3198"/>
      <c r="Z38" s="1812" t="str">
        <f t="shared" si="12"/>
        <v>宗地面积</v>
      </c>
      <c r="AA38" s="1809" t="e">
        <f t="shared" si="3"/>
        <v>#N/A</v>
      </c>
      <c r="AB38" s="1809" t="e">
        <f t="shared" si="4"/>
        <v>#N/A</v>
      </c>
      <c r="AC38" s="1809"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98"/>
      <c r="Q39" s="1808" t="str">
        <f t="shared" ref="Q39:Q45" si="13">B39</f>
        <v>宗地形状</v>
      </c>
      <c r="R39" s="774" t="s">
        <v>17</v>
      </c>
      <c r="S39" s="775">
        <f t="shared" si="9"/>
        <v>100</v>
      </c>
      <c r="T39" s="774" t="s">
        <v>17</v>
      </c>
      <c r="U39" s="775">
        <f t="shared" si="10"/>
        <v>100</v>
      </c>
      <c r="V39" s="774" t="s">
        <v>17</v>
      </c>
      <c r="W39" s="775">
        <f t="shared" si="11"/>
        <v>100</v>
      </c>
      <c r="X39" s="1811"/>
      <c r="Y39" s="3198"/>
      <c r="Z39" s="1812" t="str">
        <f t="shared" si="12"/>
        <v>宗地形状</v>
      </c>
      <c r="AA39" s="1809">
        <f t="shared" si="3"/>
        <v>1</v>
      </c>
      <c r="AB39" s="1809">
        <f t="shared" si="4"/>
        <v>1</v>
      </c>
      <c r="AC39" s="1809">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98"/>
      <c r="Q40" s="1808" t="str">
        <f t="shared" si="13"/>
        <v>临街宽度及深度</v>
      </c>
      <c r="R40" s="774" t="s">
        <v>17</v>
      </c>
      <c r="S40" s="775">
        <f t="shared" si="9"/>
        <v>100</v>
      </c>
      <c r="T40" s="774" t="s">
        <v>17</v>
      </c>
      <c r="U40" s="775">
        <f t="shared" si="10"/>
        <v>100</v>
      </c>
      <c r="V40" s="774" t="s">
        <v>17</v>
      </c>
      <c r="W40" s="775">
        <f t="shared" si="11"/>
        <v>100</v>
      </c>
      <c r="X40" s="1811"/>
      <c r="Y40" s="3198"/>
      <c r="Z40" s="1812" t="str">
        <f t="shared" si="12"/>
        <v>临街宽度及深度</v>
      </c>
      <c r="AA40" s="1809">
        <f t="shared" si="3"/>
        <v>1</v>
      </c>
      <c r="AB40" s="1809">
        <f t="shared" si="4"/>
        <v>1</v>
      </c>
      <c r="AC40" s="1809">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08" t="str">
        <f t="shared" si="13"/>
        <v>宗地开发程度</v>
      </c>
      <c r="R41" s="770" t="s">
        <v>17</v>
      </c>
      <c r="S41" s="771">
        <f t="shared" si="9"/>
        <v>100</v>
      </c>
      <c r="T41" s="770" t="s">
        <v>17</v>
      </c>
      <c r="U41" s="771">
        <f t="shared" si="10"/>
        <v>100</v>
      </c>
      <c r="V41" s="770" t="s">
        <v>17</v>
      </c>
      <c r="W41" s="771">
        <f t="shared" si="11"/>
        <v>100</v>
      </c>
      <c r="X41" s="772"/>
      <c r="Y41" s="3198"/>
      <c r="Z41" s="55" t="str">
        <f t="shared" si="12"/>
        <v>宗地开发程度</v>
      </c>
      <c r="AA41" s="773">
        <f t="shared" si="3"/>
        <v>1</v>
      </c>
      <c r="AB41" s="773">
        <f t="shared" si="4"/>
        <v>1</v>
      </c>
      <c r="AC41" s="773">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98" t="s">
        <v>2564</v>
      </c>
      <c r="Q42" s="1808" t="str">
        <f t="shared" si="13"/>
        <v>工程地质条件</v>
      </c>
      <c r="R42" s="774" t="s">
        <v>17</v>
      </c>
      <c r="S42" s="775">
        <f t="shared" si="9"/>
        <v>100</v>
      </c>
      <c r="T42" s="774" t="s">
        <v>17</v>
      </c>
      <c r="U42" s="775">
        <f t="shared" si="10"/>
        <v>100</v>
      </c>
      <c r="V42" s="774" t="s">
        <v>17</v>
      </c>
      <c r="W42" s="775">
        <f t="shared" si="11"/>
        <v>100</v>
      </c>
      <c r="X42" s="1811"/>
      <c r="Y42" s="3198" t="s">
        <v>2564</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08">
        <f t="shared" si="13"/>
        <v>111</v>
      </c>
      <c r="R43" s="774" t="s">
        <v>17</v>
      </c>
      <c r="S43" s="775">
        <f t="shared" si="9"/>
        <v>100</v>
      </c>
      <c r="T43" s="774" t="s">
        <v>17</v>
      </c>
      <c r="U43" s="775">
        <f t="shared" si="10"/>
        <v>100</v>
      </c>
      <c r="V43" s="774" t="s">
        <v>17</v>
      </c>
      <c r="W43" s="775">
        <f t="shared" si="11"/>
        <v>100</v>
      </c>
      <c r="X43" s="1811"/>
      <c r="Y43" s="3198"/>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08">
        <f t="shared" si="13"/>
        <v>111</v>
      </c>
      <c r="R44" s="774" t="s">
        <v>17</v>
      </c>
      <c r="S44" s="775">
        <f t="shared" si="9"/>
        <v>100</v>
      </c>
      <c r="T44" s="774" t="s">
        <v>17</v>
      </c>
      <c r="U44" s="775">
        <f t="shared" si="10"/>
        <v>100</v>
      </c>
      <c r="V44" s="774" t="s">
        <v>17</v>
      </c>
      <c r="W44" s="775">
        <f t="shared" si="11"/>
        <v>100</v>
      </c>
      <c r="X44" s="1811"/>
      <c r="Y44" s="3198"/>
      <c r="Z44" s="1812">
        <f t="shared" si="12"/>
        <v>111</v>
      </c>
      <c r="AA44" s="1809">
        <f t="shared" si="3"/>
        <v>1</v>
      </c>
      <c r="AB44" s="1809">
        <f t="shared" si="4"/>
        <v>1</v>
      </c>
      <c r="AC44" s="1809">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08">
        <f t="shared" si="13"/>
        <v>111</v>
      </c>
      <c r="R45" s="777" t="s">
        <v>17</v>
      </c>
      <c r="S45" s="778">
        <f t="shared" si="9"/>
        <v>100</v>
      </c>
      <c r="T45" s="777" t="s">
        <v>17</v>
      </c>
      <c r="U45" s="778">
        <f t="shared" si="10"/>
        <v>100</v>
      </c>
      <c r="V45" s="777" t="s">
        <v>17</v>
      </c>
      <c r="W45" s="778">
        <f t="shared" si="11"/>
        <v>100</v>
      </c>
      <c r="X45" s="779"/>
      <c r="Y45" s="3198"/>
      <c r="Z45" s="780">
        <f t="shared" si="12"/>
        <v>111</v>
      </c>
      <c r="AA45" s="1809">
        <f t="shared" si="3"/>
        <v>1</v>
      </c>
      <c r="AB45" s="1809">
        <f t="shared" si="4"/>
        <v>1</v>
      </c>
      <c r="AC45" s="1809">
        <f t="shared" si="5"/>
        <v>1</v>
      </c>
    </row>
    <row r="46" spans="1:29" ht="15">
      <c r="A46" s="479" t="s">
        <v>2719</v>
      </c>
      <c r="B46" s="2704" t="s">
        <v>2755</v>
      </c>
      <c r="C46" s="682" t="s">
        <v>1</v>
      </c>
      <c r="D46" s="481"/>
      <c r="E46" s="482"/>
      <c r="F46" s="483"/>
      <c r="G46" s="484"/>
      <c r="H46" s="485"/>
      <c r="I46" s="482"/>
      <c r="J46" s="485"/>
      <c r="K46" s="783"/>
      <c r="L46" s="1146"/>
      <c r="M46" s="1147"/>
      <c r="N46" s="1134"/>
      <c r="O46" s="1147"/>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91" t="str">
        <f>A47</f>
        <v>比较价值（元/平方米）</v>
      </c>
      <c r="Q47" s="3191"/>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5" t="s">
        <v>2759</v>
      </c>
      <c r="D55" s="2706" t="s">
        <v>2760</v>
      </c>
      <c r="E55" s="686" t="s">
        <v>2761</v>
      </c>
      <c r="F55" s="1110" t="s">
        <v>2762</v>
      </c>
      <c r="G55" s="3206" t="s">
        <v>2763</v>
      </c>
      <c r="H55" s="3252"/>
      <c r="I55" s="144" t="s">
        <v>2764</v>
      </c>
      <c r="J55" s="2707">
        <f>项目基本情况!F35</f>
        <v>0</v>
      </c>
      <c r="K55" s="2708" t="s">
        <v>2765</v>
      </c>
      <c r="L55" s="1109"/>
      <c r="M55" s="1147"/>
      <c r="N55" s="1147"/>
      <c r="O55" s="1147"/>
    </row>
    <row r="56" spans="1:15" s="692" customFormat="1">
      <c r="A56" s="688" t="s">
        <v>2766</v>
      </c>
      <c r="B56" s="689" t="e">
        <f>C48</f>
        <v>#DIV/0!</v>
      </c>
      <c r="C56" s="690">
        <v>1</v>
      </c>
      <c r="D56" s="1166">
        <v>1</v>
      </c>
      <c r="E56" s="690">
        <f>'数据-汇总表'!E8+'数据-汇总表'!E9</f>
        <v>4096.63</v>
      </c>
      <c r="F56" s="1106" t="e">
        <f t="shared" ref="F56:F65" si="14">ROUND(B56*E56/10000,0)</f>
        <v>#DIV/0!</v>
      </c>
      <c r="G56" s="3202"/>
      <c r="H56" s="3191"/>
      <c r="I56" s="1111">
        <v>1</v>
      </c>
      <c r="J56" s="1114">
        <v>1</v>
      </c>
      <c r="K56" s="1148"/>
      <c r="L56" s="944"/>
      <c r="M56" s="944"/>
      <c r="N56" s="944"/>
      <c r="O56" s="944"/>
    </row>
    <row r="57" spans="1:15" s="692" customFormat="1">
      <c r="A57" s="693" t="s">
        <v>2767</v>
      </c>
      <c r="B57" s="262" t="e">
        <f>ROUND($C$48*C57*D57,0)</f>
        <v>#DIV/0!</v>
      </c>
      <c r="C57" s="200">
        <f t="shared" ref="C57:C65" si="15">IF($C$55="北京市系数",I57,J57)</f>
        <v>0</v>
      </c>
      <c r="D57" s="1167">
        <v>0.25</v>
      </c>
      <c r="E57" s="694"/>
      <c r="F57" s="1106" t="e">
        <f t="shared" si="14"/>
        <v>#DIV/0!</v>
      </c>
      <c r="G57" s="3253"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6">ROUND($C$48*C58*D58,0)</f>
        <v>#DIV/0!</v>
      </c>
      <c r="C58" s="200">
        <f t="shared" si="15"/>
        <v>0</v>
      </c>
      <c r="D58" s="1167">
        <v>0.25</v>
      </c>
      <c r="E58" s="694"/>
      <c r="F58" s="1106" t="e">
        <f t="shared" si="14"/>
        <v>#DIV/0!</v>
      </c>
      <c r="G58" s="3253"/>
      <c r="H58" s="1107">
        <f>项目基本情况!B37</f>
        <v>0</v>
      </c>
      <c r="I58" s="1111">
        <f>SUMIF(修正!A45:A56,H58,修正!C45:C56)</f>
        <v>0</v>
      </c>
      <c r="J58" s="1115"/>
      <c r="K58" s="1148"/>
      <c r="L58" s="944"/>
      <c r="M58" s="944"/>
      <c r="N58" s="944"/>
      <c r="O58" s="944"/>
    </row>
    <row r="59" spans="1:15" s="692" customFormat="1">
      <c r="A59" s="693" t="s">
        <v>2770</v>
      </c>
      <c r="B59" s="262" t="e">
        <f t="shared" si="16"/>
        <v>#DIV/0!</v>
      </c>
      <c r="C59" s="200">
        <f t="shared" si="15"/>
        <v>0</v>
      </c>
      <c r="D59" s="1167">
        <v>0.25</v>
      </c>
      <c r="E59" s="694"/>
      <c r="F59" s="1106" t="e">
        <f t="shared" si="14"/>
        <v>#DIV/0!</v>
      </c>
      <c r="G59" s="3253"/>
      <c r="H59" s="1107">
        <f>项目基本情况!B37</f>
        <v>0</v>
      </c>
      <c r="I59" s="1111">
        <f>SUMIF(修正!A45:A56,H59,修正!D45:D56)</f>
        <v>0</v>
      </c>
      <c r="J59" s="1115"/>
      <c r="K59" s="1147"/>
      <c r="L59" s="944"/>
      <c r="M59" s="944"/>
      <c r="N59" s="944"/>
      <c r="O59" s="944"/>
    </row>
    <row r="60" spans="1:15" s="692" customFormat="1">
      <c r="A60" s="693" t="s">
        <v>2771</v>
      </c>
      <c r="B60" s="262" t="e">
        <f t="shared" si="16"/>
        <v>#DIV/0!</v>
      </c>
      <c r="C60" s="200">
        <f t="shared" si="15"/>
        <v>0</v>
      </c>
      <c r="D60" s="1167">
        <v>0.25</v>
      </c>
      <c r="E60" s="694"/>
      <c r="F60" s="1106" t="e">
        <f t="shared" si="14"/>
        <v>#DIV/0!</v>
      </c>
      <c r="G60" s="3253"/>
      <c r="H60" s="1107">
        <f>项目基本情况!B37</f>
        <v>0</v>
      </c>
      <c r="I60" s="1111">
        <f>SUMIF(修正!A45:A56,H60,修正!E45:E56)</f>
        <v>0</v>
      </c>
      <c r="J60" s="1115"/>
      <c r="K60" s="1148"/>
      <c r="L60" s="944"/>
      <c r="M60" s="944"/>
      <c r="N60" s="944"/>
      <c r="O60" s="944"/>
    </row>
    <row r="61" spans="1:15" s="692" customFormat="1">
      <c r="A61" s="693" t="s">
        <v>2772</v>
      </c>
      <c r="B61" s="262" t="e">
        <f t="shared" si="16"/>
        <v>#DIV/0!</v>
      </c>
      <c r="C61" s="200">
        <f t="shared" si="15"/>
        <v>0</v>
      </c>
      <c r="D61" s="1167">
        <v>0.25</v>
      </c>
      <c r="E61" s="261">
        <f>'数据-汇总表'!E11</f>
        <v>0</v>
      </c>
      <c r="F61" s="1106" t="e">
        <f t="shared" si="14"/>
        <v>#DIV/0!</v>
      </c>
      <c r="G61" s="2709" t="s">
        <v>2773</v>
      </c>
      <c r="H61" s="1107">
        <f>项目基本情况!C37</f>
        <v>0</v>
      </c>
      <c r="I61" s="1111">
        <f>SUMIF(修正!A45:A56,H61,修正!F45:F56)</f>
        <v>0</v>
      </c>
      <c r="J61" s="1115"/>
      <c r="K61" s="1147"/>
      <c r="L61" s="944"/>
      <c r="M61" s="944"/>
      <c r="N61" s="944"/>
      <c r="O61" s="944"/>
    </row>
    <row r="62" spans="1:15" s="692" customFormat="1">
      <c r="A62" s="693" t="s">
        <v>2774</v>
      </c>
      <c r="B62" s="262" t="e">
        <f t="shared" si="16"/>
        <v>#DIV/0!</v>
      </c>
      <c r="C62" s="200">
        <f t="shared" si="15"/>
        <v>0</v>
      </c>
      <c r="D62" s="1167">
        <v>0.25</v>
      </c>
      <c r="E62" s="261">
        <f>'数据-汇总表'!E12</f>
        <v>0</v>
      </c>
      <c r="F62" s="1106" t="e">
        <f t="shared" si="14"/>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6"/>
        <v>#DIV/0!</v>
      </c>
      <c r="C63" s="200">
        <f t="shared" si="15"/>
        <v>0</v>
      </c>
      <c r="D63" s="1167">
        <v>0.25</v>
      </c>
      <c r="E63" s="261">
        <f>'数据-汇总表'!E13</f>
        <v>0</v>
      </c>
      <c r="F63" s="1106" t="e">
        <f t="shared" si="14"/>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6"/>
        <v>#DIV/0!</v>
      </c>
      <c r="C64" s="200">
        <f t="shared" si="15"/>
        <v>0</v>
      </c>
      <c r="D64" s="1167">
        <v>0.25</v>
      </c>
      <c r="E64" s="261">
        <f>'数据-汇总表'!E14</f>
        <v>0</v>
      </c>
      <c r="F64" s="1106" t="e">
        <f t="shared" si="14"/>
        <v>#DIV/0!</v>
      </c>
      <c r="G64" s="2709"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6"/>
        <v>#DIV/0!</v>
      </c>
      <c r="C65" s="200">
        <f t="shared" si="15"/>
        <v>0</v>
      </c>
      <c r="D65" s="1167">
        <v>0.25</v>
      </c>
      <c r="E65" s="261">
        <f>'数据-汇总表'!E15</f>
        <v>0</v>
      </c>
      <c r="F65" s="1106" t="e">
        <f t="shared" si="14"/>
        <v>#DIV/0!</v>
      </c>
      <c r="G65" s="2710"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1026</v>
      </c>
      <c r="E66" s="696">
        <f>IF(B46="楼面地价",SUM(E56:E65),'数据-汇总表'!D3)</f>
        <v>4096.63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1" t="s">
        <v>2781</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2"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6" t="s">
        <v>2645</v>
      </c>
      <c r="D4" s="3207"/>
      <c r="E4" s="3208" t="s">
        <v>2646</v>
      </c>
      <c r="F4" s="3209"/>
      <c r="G4" s="3206" t="s">
        <v>2647</v>
      </c>
      <c r="H4" s="3207"/>
      <c r="I4" s="3206" t="s">
        <v>2648</v>
      </c>
      <c r="J4" s="3207"/>
      <c r="K4" s="610" t="s">
        <v>2649</v>
      </c>
      <c r="L4" s="1133"/>
      <c r="M4" s="1134"/>
      <c r="N4" s="1134"/>
      <c r="O4" s="1134"/>
      <c r="P4" s="3210" t="s">
        <v>2650</v>
      </c>
      <c r="Q4" s="3211"/>
      <c r="R4" s="3216" t="s">
        <v>2646</v>
      </c>
      <c r="S4" s="3217"/>
      <c r="T4" s="3216" t="s">
        <v>2647</v>
      </c>
      <c r="U4" s="3217"/>
      <c r="V4" s="3222" t="s">
        <v>2648</v>
      </c>
      <c r="W4" s="3222"/>
      <c r="X4" s="1811"/>
      <c r="Y4" s="3216" t="s">
        <v>2650</v>
      </c>
      <c r="Z4" s="3217"/>
      <c r="AA4" s="3203" t="s">
        <v>2646</v>
      </c>
      <c r="AB4" s="3204" t="s">
        <v>2647</v>
      </c>
      <c r="AC4" s="3203" t="s">
        <v>2648</v>
      </c>
    </row>
    <row r="5" spans="1:29" ht="15">
      <c r="A5" s="404"/>
      <c r="B5" s="405"/>
      <c r="C5" s="3225" t="s">
        <v>2541</v>
      </c>
      <c r="D5" s="3226"/>
      <c r="E5" s="3232" t="s">
        <v>2542</v>
      </c>
      <c r="F5" s="3233"/>
      <c r="G5" s="3225" t="s">
        <v>2543</v>
      </c>
      <c r="H5" s="3226"/>
      <c r="I5" s="3225" t="s">
        <v>2544</v>
      </c>
      <c r="J5" s="3226"/>
      <c r="K5" s="610"/>
      <c r="L5" s="1133"/>
      <c r="M5" s="1134"/>
      <c r="N5" s="1134"/>
      <c r="O5" s="1134"/>
      <c r="P5" s="3212"/>
      <c r="Q5" s="3213"/>
      <c r="R5" s="3218"/>
      <c r="S5" s="3219"/>
      <c r="T5" s="3218"/>
      <c r="U5" s="3219"/>
      <c r="V5" s="3222"/>
      <c r="W5" s="3222"/>
      <c r="X5" s="1811"/>
      <c r="Y5" s="3218"/>
      <c r="Z5" s="3219"/>
      <c r="AA5" s="3204"/>
      <c r="AB5" s="3204"/>
      <c r="AC5" s="3204"/>
    </row>
    <row r="6" spans="1:29" ht="15.75" thickBot="1">
      <c r="A6" s="406"/>
      <c r="B6" s="407"/>
      <c r="C6" s="3254" t="s">
        <v>2796</v>
      </c>
      <c r="D6" s="3255"/>
      <c r="E6" s="3256" t="s">
        <v>2796</v>
      </c>
      <c r="F6" s="3257"/>
      <c r="G6" s="3254" t="s">
        <v>2796</v>
      </c>
      <c r="H6" s="3255"/>
      <c r="I6" s="3254" t="s">
        <v>2796</v>
      </c>
      <c r="J6" s="3255"/>
      <c r="K6" s="610" t="s">
        <v>2546</v>
      </c>
      <c r="L6" s="1133"/>
      <c r="M6" s="1134"/>
      <c r="N6" s="1134"/>
      <c r="O6" s="1134"/>
      <c r="P6" s="3214"/>
      <c r="Q6" s="3215"/>
      <c r="R6" s="3218"/>
      <c r="S6" s="3219"/>
      <c r="T6" s="3220"/>
      <c r="U6" s="3221"/>
      <c r="V6" s="3222"/>
      <c r="W6" s="3222"/>
      <c r="X6" s="1811"/>
      <c r="Y6" s="3220"/>
      <c r="Z6" s="3221"/>
      <c r="AA6" s="3205"/>
      <c r="AB6" s="3205"/>
      <c r="AC6" s="3205"/>
    </row>
    <row r="7" spans="1:29" s="117" customFormat="1" ht="15.75" thickBot="1">
      <c r="A7" s="408" t="s">
        <v>2547</v>
      </c>
      <c r="B7" s="409"/>
      <c r="C7" s="410">
        <f>'数据-取费表'!B2</f>
        <v>43594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27" t="s">
        <v>2548</v>
      </c>
      <c r="Q7" s="3229"/>
      <c r="R7" s="770" t="s">
        <v>17</v>
      </c>
      <c r="S7" s="771">
        <f t="shared" ref="S7:S15" si="0">F7</f>
        <v>0</v>
      </c>
      <c r="T7" s="770" t="s">
        <v>17</v>
      </c>
      <c r="U7" s="771">
        <f t="shared" ref="U7:U15" si="1">H7</f>
        <v>0</v>
      </c>
      <c r="V7" s="770" t="s">
        <v>17</v>
      </c>
      <c r="W7" s="771">
        <f t="shared" ref="W7:W15" si="2">J7</f>
        <v>0</v>
      </c>
      <c r="X7" s="772"/>
      <c r="Y7" s="3227" t="s">
        <v>2548</v>
      </c>
      <c r="Z7" s="322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2551</v>
      </c>
      <c r="Q8" s="3228"/>
      <c r="R8" s="770" t="s">
        <v>17</v>
      </c>
      <c r="S8" s="771">
        <f t="shared" si="0"/>
        <v>0</v>
      </c>
      <c r="T8" s="770" t="s">
        <v>17</v>
      </c>
      <c r="U8" s="771">
        <f t="shared" si="1"/>
        <v>0</v>
      </c>
      <c r="V8" s="770" t="s">
        <v>17</v>
      </c>
      <c r="W8" s="771">
        <f t="shared" si="2"/>
        <v>0</v>
      </c>
      <c r="X8" s="772"/>
      <c r="Y8" s="3227" t="s">
        <v>2551</v>
      </c>
      <c r="Z8" s="3228"/>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1" t="s">
        <v>2554</v>
      </c>
      <c r="Q9" s="1793"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1"/>
      <c r="Q10" s="1793"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3"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3">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3">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3">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2558</v>
      </c>
      <c r="B15" s="629" t="s">
        <v>2797</v>
      </c>
      <c r="C15" s="2693" t="str">
        <f>估价对象房地状况!G15</f>
        <v>估价对象位密云科技开发区，园区建设成熟度较高，产业集聚程度较好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2559</v>
      </c>
      <c r="Q15" s="1808" t="str">
        <f t="shared" si="6"/>
        <v>产业集聚程度</v>
      </c>
      <c r="R15" s="774" t="s">
        <v>17</v>
      </c>
      <c r="S15" s="775">
        <f t="shared" si="0"/>
        <v>100</v>
      </c>
      <c r="T15" s="774" t="s">
        <v>17</v>
      </c>
      <c r="U15" s="775">
        <f t="shared" si="1"/>
        <v>100</v>
      </c>
      <c r="V15" s="774" t="s">
        <v>17</v>
      </c>
      <c r="W15" s="775">
        <f t="shared" si="2"/>
        <v>100</v>
      </c>
      <c r="X15" s="1811"/>
      <c r="Y15" s="3193" t="s">
        <v>2559</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43"/>
      <c r="M16" s="1134"/>
      <c r="N16" s="1134"/>
      <c r="O16" s="1142"/>
      <c r="P16" s="3194"/>
      <c r="Q16" s="1808"/>
      <c r="R16" s="774"/>
      <c r="S16" s="775"/>
      <c r="T16" s="774"/>
      <c r="U16" s="775"/>
      <c r="V16" s="774"/>
      <c r="W16" s="775"/>
      <c r="X16" s="1811"/>
      <c r="Y16" s="3194"/>
      <c r="Z16" s="1812"/>
      <c r="AA16" s="1809">
        <v>1</v>
      </c>
      <c r="AB16" s="1809">
        <v>1</v>
      </c>
      <c r="AC16" s="1809">
        <v>1</v>
      </c>
    </row>
    <row r="17" spans="1:29" ht="99.75">
      <c r="A17" s="428"/>
      <c r="B17" s="631" t="s">
        <v>2708</v>
      </c>
      <c r="C17" s="2607"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08" t="str">
        <f>B17</f>
        <v>交通便捷度</v>
      </c>
      <c r="R17" s="774" t="s">
        <v>17</v>
      </c>
      <c r="S17" s="775">
        <f>F17</f>
        <v>100</v>
      </c>
      <c r="T17" s="774" t="s">
        <v>17</v>
      </c>
      <c r="U17" s="775">
        <f>H17</f>
        <v>100</v>
      </c>
      <c r="V17" s="774" t="s">
        <v>17</v>
      </c>
      <c r="W17" s="775">
        <f>J17</f>
        <v>100</v>
      </c>
      <c r="X17" s="1811"/>
      <c r="Y17" s="3194"/>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43"/>
      <c r="M18" s="1134"/>
      <c r="N18" s="1134"/>
      <c r="O18" s="1142"/>
      <c r="P18" s="3194"/>
      <c r="Q18" s="1808"/>
      <c r="R18" s="774"/>
      <c r="S18" s="775"/>
      <c r="T18" s="774"/>
      <c r="U18" s="775"/>
      <c r="V18" s="774"/>
      <c r="W18" s="775"/>
      <c r="X18" s="1811"/>
      <c r="Y18" s="3194"/>
      <c r="Z18" s="1812"/>
      <c r="AA18" s="1809">
        <v>1</v>
      </c>
      <c r="AB18" s="1809">
        <v>1</v>
      </c>
      <c r="AC18" s="1809">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08" t="str">
        <f t="shared" ref="Q19:Q33" si="8">B19</f>
        <v>区域土地利用方向</v>
      </c>
      <c r="R19" s="774" t="s">
        <v>17</v>
      </c>
      <c r="S19" s="775">
        <f>F19</f>
        <v>100</v>
      </c>
      <c r="T19" s="774" t="s">
        <v>17</v>
      </c>
      <c r="U19" s="775">
        <f>H19</f>
        <v>100</v>
      </c>
      <c r="V19" s="774" t="s">
        <v>17</v>
      </c>
      <c r="W19" s="775">
        <f>J19</f>
        <v>100</v>
      </c>
      <c r="X19" s="1811"/>
      <c r="Y19" s="3194"/>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2"/>
      <c r="L20" s="1143"/>
      <c r="M20" s="1134"/>
      <c r="N20" s="1134"/>
      <c r="O20" s="1142"/>
      <c r="P20" s="3194"/>
      <c r="Q20" s="1808"/>
      <c r="R20" s="774"/>
      <c r="S20" s="775"/>
      <c r="T20" s="774"/>
      <c r="U20" s="775"/>
      <c r="V20" s="774"/>
      <c r="W20" s="775"/>
      <c r="X20" s="1811"/>
      <c r="Y20" s="3194"/>
      <c r="Z20" s="1812"/>
      <c r="AA20" s="1809"/>
      <c r="AB20" s="1809"/>
      <c r="AC20" s="1809"/>
    </row>
    <row r="21" spans="1:29" ht="71.25">
      <c r="A21" s="404"/>
      <c r="B21" s="631" t="s">
        <v>2798</v>
      </c>
      <c r="C21" s="2607" t="str">
        <f>估价对象房地状况!G18</f>
        <v>该园区内没有污染型企业，绿化情况较好，卫生条件较好，整体环境状况较好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08" t="str">
        <f t="shared" si="8"/>
        <v>环境状况</v>
      </c>
      <c r="R21" s="774" t="s">
        <v>17</v>
      </c>
      <c r="S21" s="775">
        <f>F21</f>
        <v>100</v>
      </c>
      <c r="T21" s="774" t="s">
        <v>17</v>
      </c>
      <c r="U21" s="775">
        <f>H21</f>
        <v>100</v>
      </c>
      <c r="V21" s="774" t="s">
        <v>17</v>
      </c>
      <c r="W21" s="775">
        <f>J21</f>
        <v>100</v>
      </c>
      <c r="X21" s="1811"/>
      <c r="Y21" s="3194"/>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43"/>
      <c r="M22" s="1134"/>
      <c r="N22" s="1134"/>
      <c r="O22" s="1142"/>
      <c r="P22" s="3194"/>
      <c r="Q22" s="1808"/>
      <c r="R22" s="774"/>
      <c r="S22" s="775"/>
      <c r="T22" s="774"/>
      <c r="U22" s="775"/>
      <c r="V22" s="774"/>
      <c r="W22" s="775"/>
      <c r="X22" s="1811"/>
      <c r="Y22" s="3194"/>
      <c r="Z22" s="1812"/>
      <c r="AA22" s="1809">
        <v>1</v>
      </c>
      <c r="AB22" s="1809">
        <v>1</v>
      </c>
      <c r="AC22" s="1809">
        <v>1</v>
      </c>
    </row>
    <row r="23" spans="1:29" s="117" customFormat="1" ht="42.75">
      <c r="A23" s="649"/>
      <c r="B23" s="633" t="s">
        <v>2653</v>
      </c>
      <c r="C23" s="2607"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3" t="str">
        <f t="shared" si="8"/>
        <v>公共配套设施</v>
      </c>
      <c r="R23" s="770" t="s">
        <v>17</v>
      </c>
      <c r="S23" s="771">
        <f>F23</f>
        <v>100</v>
      </c>
      <c r="T23" s="770" t="s">
        <v>17</v>
      </c>
      <c r="U23" s="771">
        <f>H23</f>
        <v>100</v>
      </c>
      <c r="V23" s="770" t="s">
        <v>17</v>
      </c>
      <c r="W23" s="771">
        <f>J23</f>
        <v>100</v>
      </c>
      <c r="X23" s="772"/>
      <c r="Y23" s="3194"/>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5"/>
      <c r="M24" s="1136"/>
      <c r="N24" s="1136"/>
      <c r="O24" s="1137"/>
      <c r="P24" s="3194"/>
      <c r="Q24" s="1793"/>
      <c r="R24" s="770"/>
      <c r="S24" s="771"/>
      <c r="T24" s="770"/>
      <c r="U24" s="771"/>
      <c r="V24" s="770"/>
      <c r="W24" s="771"/>
      <c r="X24" s="772"/>
      <c r="Y24" s="3194"/>
      <c r="Z24" s="55"/>
      <c r="AA24" s="773">
        <v>1</v>
      </c>
      <c r="AB24" s="773">
        <v>1</v>
      </c>
      <c r="AC24" s="773">
        <v>1</v>
      </c>
    </row>
    <row r="25" spans="1:29" s="117" customFormat="1" ht="42.75">
      <c r="A25" s="649"/>
      <c r="B25" s="633" t="s">
        <v>2654</v>
      </c>
      <c r="C25" s="2607" t="str">
        <f>估价对象房地状况!G20</f>
        <v>估价对象所在区域基础设施水平-六通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3" t="str">
        <f>B25</f>
        <v>基础设施水平</v>
      </c>
      <c r="R25" s="770" t="s">
        <v>17</v>
      </c>
      <c r="S25" s="771">
        <f>F25</f>
        <v>100</v>
      </c>
      <c r="T25" s="770" t="s">
        <v>17</v>
      </c>
      <c r="U25" s="771">
        <f>H25</f>
        <v>100</v>
      </c>
      <c r="V25" s="770" t="s">
        <v>17</v>
      </c>
      <c r="W25" s="771">
        <f>J25</f>
        <v>100</v>
      </c>
      <c r="X25" s="772"/>
      <c r="Y25" s="3194"/>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5"/>
      <c r="M26" s="1136"/>
      <c r="N26" s="1136"/>
      <c r="O26" s="1137"/>
      <c r="P26" s="3194"/>
      <c r="Q26" s="1793"/>
      <c r="R26" s="770"/>
      <c r="S26" s="771"/>
      <c r="T26" s="770"/>
      <c r="U26" s="771"/>
      <c r="V26" s="770"/>
      <c r="W26" s="771"/>
      <c r="X26" s="772"/>
      <c r="Y26" s="319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194"/>
      <c r="Z27" s="1812" t="str">
        <f t="shared" ref="Z27:Z40" si="12">Q27</f>
        <v>临街状况</v>
      </c>
      <c r="AA27" s="1809">
        <f t="shared" si="3"/>
        <v>1</v>
      </c>
      <c r="AB27" s="1809">
        <f t="shared" si="4"/>
        <v>1</v>
      </c>
      <c r="AC27" s="1809">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08" t="str">
        <f t="shared" si="8"/>
        <v>毗邻道路的类型与等级</v>
      </c>
      <c r="R28" s="774" t="s">
        <v>17</v>
      </c>
      <c r="S28" s="775">
        <f t="shared" si="9"/>
        <v>100</v>
      </c>
      <c r="T28" s="774" t="s">
        <v>17</v>
      </c>
      <c r="U28" s="775">
        <f t="shared" si="10"/>
        <v>100</v>
      </c>
      <c r="V28" s="774" t="s">
        <v>17</v>
      </c>
      <c r="W28" s="775">
        <f t="shared" si="11"/>
        <v>100</v>
      </c>
      <c r="X28" s="1811"/>
      <c r="Y28" s="3194"/>
      <c r="Z28" s="1812" t="str">
        <f t="shared" si="12"/>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43"/>
      <c r="M29" s="1134"/>
      <c r="N29" s="1134"/>
      <c r="O29" s="1142"/>
      <c r="P29" s="3194"/>
      <c r="Q29" s="1808"/>
      <c r="R29" s="774"/>
      <c r="S29" s="775"/>
      <c r="T29" s="774"/>
      <c r="U29" s="775"/>
      <c r="V29" s="774"/>
      <c r="W29" s="775"/>
      <c r="X29" s="1811"/>
      <c r="Y29" s="3194"/>
      <c r="Z29" s="1812"/>
      <c r="AA29" s="1809">
        <v>1</v>
      </c>
      <c r="AB29" s="1809">
        <v>1</v>
      </c>
      <c r="AC29" s="1809">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08" t="str">
        <f t="shared" si="8"/>
        <v>土地级别</v>
      </c>
      <c r="R30" s="774" t="s">
        <v>17</v>
      </c>
      <c r="S30" s="775">
        <f t="shared" si="9"/>
        <v>100</v>
      </c>
      <c r="T30" s="774" t="s">
        <v>17</v>
      </c>
      <c r="U30" s="775">
        <f t="shared" si="10"/>
        <v>100</v>
      </c>
      <c r="V30" s="774" t="s">
        <v>17</v>
      </c>
      <c r="W30" s="775">
        <f t="shared" si="11"/>
        <v>100</v>
      </c>
      <c r="X30" s="1811"/>
      <c r="Y30" s="3194"/>
      <c r="Z30" s="1812" t="str">
        <f t="shared" si="12"/>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08">
        <f t="shared" si="8"/>
        <v>111</v>
      </c>
      <c r="R31" s="774" t="s">
        <v>17</v>
      </c>
      <c r="S31" s="775">
        <f t="shared" si="9"/>
        <v>100</v>
      </c>
      <c r="T31" s="774" t="s">
        <v>17</v>
      </c>
      <c r="U31" s="775">
        <f t="shared" si="10"/>
        <v>100</v>
      </c>
      <c r="V31" s="774" t="s">
        <v>17</v>
      </c>
      <c r="W31" s="775">
        <f t="shared" si="11"/>
        <v>100</v>
      </c>
      <c r="X31" s="1811"/>
      <c r="Y31" s="3194"/>
      <c r="Z31" s="1812">
        <f t="shared" si="12"/>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2564</v>
      </c>
      <c r="Q32" s="1808">
        <f t="shared" si="8"/>
        <v>111</v>
      </c>
      <c r="R32" s="774" t="s">
        <v>17</v>
      </c>
      <c r="S32" s="775">
        <f t="shared" si="9"/>
        <v>100</v>
      </c>
      <c r="T32" s="774" t="s">
        <v>17</v>
      </c>
      <c r="U32" s="775">
        <f t="shared" si="10"/>
        <v>100</v>
      </c>
      <c r="V32" s="774" t="s">
        <v>17</v>
      </c>
      <c r="W32" s="775">
        <f t="shared" si="11"/>
        <v>100</v>
      </c>
      <c r="X32" s="1811"/>
      <c r="Y32" s="3198" t="s">
        <v>2564</v>
      </c>
      <c r="Z32" s="1812">
        <f t="shared" si="12"/>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08">
        <f t="shared" si="8"/>
        <v>111</v>
      </c>
      <c r="R33" s="777" t="s">
        <v>17</v>
      </c>
      <c r="S33" s="778">
        <f t="shared" si="9"/>
        <v>100</v>
      </c>
      <c r="T33" s="777" t="s">
        <v>17</v>
      </c>
      <c r="U33" s="778">
        <f t="shared" si="10"/>
        <v>100</v>
      </c>
      <c r="V33" s="777" t="s">
        <v>17</v>
      </c>
      <c r="W33" s="778">
        <f t="shared" si="11"/>
        <v>100</v>
      </c>
      <c r="X33" s="779"/>
      <c r="Y33" s="3198"/>
      <c r="Z33" s="780">
        <f t="shared" si="12"/>
        <v>111</v>
      </c>
      <c r="AA33" s="1809">
        <f t="shared" si="3"/>
        <v>1</v>
      </c>
      <c r="AB33" s="1809">
        <f t="shared" si="4"/>
        <v>1</v>
      </c>
      <c r="AC33" s="1809">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08" t="str">
        <f>B34</f>
        <v>宗地面积</v>
      </c>
      <c r="R34" s="774" t="s">
        <v>17</v>
      </c>
      <c r="S34" s="775" t="e">
        <f t="shared" si="9"/>
        <v>#N/A</v>
      </c>
      <c r="T34" s="774" t="s">
        <v>17</v>
      </c>
      <c r="U34" s="775" t="e">
        <f t="shared" si="10"/>
        <v>#N/A</v>
      </c>
      <c r="V34" s="774" t="s">
        <v>17</v>
      </c>
      <c r="W34" s="775" t="e">
        <f t="shared" si="11"/>
        <v>#N/A</v>
      </c>
      <c r="X34" s="1811"/>
      <c r="Y34" s="3198"/>
      <c r="Z34" s="1812" t="str">
        <f t="shared" si="12"/>
        <v>宗地面积</v>
      </c>
      <c r="AA34" s="1809" t="e">
        <f t="shared" si="3"/>
        <v>#N/A</v>
      </c>
      <c r="AB34" s="1809" t="e">
        <f t="shared" si="4"/>
        <v>#N/A</v>
      </c>
      <c r="AC34" s="1809"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98"/>
      <c r="Q35" s="1808" t="str">
        <f t="shared" ref="Q35:Q40" si="13">B35</f>
        <v>宗地形状</v>
      </c>
      <c r="R35" s="774" t="s">
        <v>17</v>
      </c>
      <c r="S35" s="775">
        <f t="shared" si="9"/>
        <v>100</v>
      </c>
      <c r="T35" s="774" t="s">
        <v>17</v>
      </c>
      <c r="U35" s="775">
        <f t="shared" si="10"/>
        <v>100</v>
      </c>
      <c r="V35" s="774" t="s">
        <v>17</v>
      </c>
      <c r="W35" s="775">
        <f t="shared" si="11"/>
        <v>100</v>
      </c>
      <c r="X35" s="1811"/>
      <c r="Y35" s="3198"/>
      <c r="Z35" s="1812" t="str">
        <f t="shared" si="12"/>
        <v>宗地形状</v>
      </c>
      <c r="AA35" s="1809">
        <f t="shared" si="3"/>
        <v>1</v>
      </c>
      <c r="AB35" s="1809">
        <f t="shared" si="4"/>
        <v>1</v>
      </c>
      <c r="AC35" s="1809">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98"/>
      <c r="Q36" s="1808" t="str">
        <f t="shared" si="13"/>
        <v>宗地开发程度</v>
      </c>
      <c r="R36" s="770" t="s">
        <v>17</v>
      </c>
      <c r="S36" s="771">
        <f t="shared" si="9"/>
        <v>100</v>
      </c>
      <c r="T36" s="770" t="s">
        <v>17</v>
      </c>
      <c r="U36" s="771">
        <f t="shared" si="10"/>
        <v>100</v>
      </c>
      <c r="V36" s="770" t="s">
        <v>17</v>
      </c>
      <c r="W36" s="771">
        <f t="shared" si="11"/>
        <v>100</v>
      </c>
      <c r="X36" s="772"/>
      <c r="Y36" s="3198"/>
      <c r="Z36" s="55" t="str">
        <f t="shared" si="12"/>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8" t="s">
        <v>2564</v>
      </c>
      <c r="Q37" s="1808" t="str">
        <f t="shared" si="13"/>
        <v>工程地质条件</v>
      </c>
      <c r="R37" s="774" t="s">
        <v>17</v>
      </c>
      <c r="S37" s="775">
        <f t="shared" si="9"/>
        <v>100</v>
      </c>
      <c r="T37" s="774" t="s">
        <v>17</v>
      </c>
      <c r="U37" s="775">
        <f t="shared" si="10"/>
        <v>100</v>
      </c>
      <c r="V37" s="774" t="s">
        <v>17</v>
      </c>
      <c r="W37" s="775">
        <f t="shared" si="11"/>
        <v>100</v>
      </c>
      <c r="X37" s="1811"/>
      <c r="Y37" s="3198" t="s">
        <v>2564</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08">
        <f t="shared" si="13"/>
        <v>111</v>
      </c>
      <c r="R38" s="774" t="s">
        <v>17</v>
      </c>
      <c r="S38" s="775">
        <f t="shared" si="9"/>
        <v>100</v>
      </c>
      <c r="T38" s="774" t="s">
        <v>17</v>
      </c>
      <c r="U38" s="775">
        <f t="shared" si="10"/>
        <v>100</v>
      </c>
      <c r="V38" s="774" t="s">
        <v>17</v>
      </c>
      <c r="W38" s="775">
        <f t="shared" si="11"/>
        <v>100</v>
      </c>
      <c r="X38" s="1811"/>
      <c r="Y38" s="3198"/>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08">
        <f t="shared" si="13"/>
        <v>111</v>
      </c>
      <c r="R39" s="774" t="s">
        <v>17</v>
      </c>
      <c r="S39" s="775">
        <f t="shared" si="9"/>
        <v>100</v>
      </c>
      <c r="T39" s="774" t="s">
        <v>17</v>
      </c>
      <c r="U39" s="775">
        <f t="shared" si="10"/>
        <v>100</v>
      </c>
      <c r="V39" s="774" t="s">
        <v>17</v>
      </c>
      <c r="W39" s="775">
        <f t="shared" si="11"/>
        <v>100</v>
      </c>
      <c r="X39" s="1811"/>
      <c r="Y39" s="3198"/>
      <c r="Z39" s="1812">
        <f t="shared" si="12"/>
        <v>111</v>
      </c>
      <c r="AA39" s="1809">
        <f t="shared" si="3"/>
        <v>1</v>
      </c>
      <c r="AB39" s="1809">
        <f t="shared" si="4"/>
        <v>1</v>
      </c>
      <c r="AC39" s="1809">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08">
        <f t="shared" si="13"/>
        <v>111</v>
      </c>
      <c r="R40" s="777" t="s">
        <v>17</v>
      </c>
      <c r="S40" s="778">
        <f t="shared" si="9"/>
        <v>100</v>
      </c>
      <c r="T40" s="777" t="s">
        <v>17</v>
      </c>
      <c r="U40" s="778">
        <f t="shared" si="10"/>
        <v>100</v>
      </c>
      <c r="V40" s="777" t="s">
        <v>17</v>
      </c>
      <c r="W40" s="778">
        <f t="shared" si="11"/>
        <v>100</v>
      </c>
      <c r="X40" s="779"/>
      <c r="Y40" s="3198"/>
      <c r="Z40" s="780">
        <f t="shared" si="12"/>
        <v>111</v>
      </c>
      <c r="AA40" s="1809">
        <f t="shared" si="3"/>
        <v>1</v>
      </c>
      <c r="AB40" s="1809">
        <f t="shared" si="4"/>
        <v>1</v>
      </c>
      <c r="AC40" s="1809">
        <f t="shared" si="5"/>
        <v>1</v>
      </c>
    </row>
    <row r="41" spans="1:29" ht="15">
      <c r="A41" s="479" t="s">
        <v>2719</v>
      </c>
      <c r="B41" s="2704" t="s">
        <v>2799</v>
      </c>
      <c r="C41" s="682" t="s">
        <v>1</v>
      </c>
      <c r="D41" s="481"/>
      <c r="E41" s="482"/>
      <c r="F41" s="483"/>
      <c r="G41" s="484"/>
      <c r="H41" s="485"/>
      <c r="I41" s="482"/>
      <c r="J41" s="485"/>
      <c r="K41" s="783"/>
      <c r="L41" s="1146"/>
      <c r="M41" s="1134"/>
      <c r="N41" s="1134"/>
      <c r="O41" s="1147"/>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5" t="s">
        <v>2759</v>
      </c>
      <c r="D50" s="2706" t="s">
        <v>2760</v>
      </c>
      <c r="E50" s="686" t="s">
        <v>2761</v>
      </c>
      <c r="F50" s="687" t="s">
        <v>2762</v>
      </c>
      <c r="G50" s="3206" t="s">
        <v>2763</v>
      </c>
      <c r="H50" s="3252"/>
      <c r="I50" s="1812" t="s">
        <v>2800</v>
      </c>
      <c r="J50" s="1812">
        <f>项目基本情况!F35</f>
        <v>0</v>
      </c>
      <c r="K50" s="2708" t="s">
        <v>2765</v>
      </c>
      <c r="L50" s="1109"/>
      <c r="M50" s="1147"/>
      <c r="N50" s="1147"/>
      <c r="O50" s="1147"/>
    </row>
    <row r="51" spans="1:17" s="692" customFormat="1">
      <c r="A51" s="688" t="s">
        <v>2766</v>
      </c>
      <c r="B51" s="689" t="e">
        <f>C43</f>
        <v>#DIV/0!</v>
      </c>
      <c r="C51" s="690">
        <v>1</v>
      </c>
      <c r="D51" s="1166">
        <v>1</v>
      </c>
      <c r="E51" s="690">
        <f>'数据-汇总表'!E8+'数据-汇总表'!E9</f>
        <v>4096.63</v>
      </c>
      <c r="F51" s="691" t="e">
        <f t="shared" ref="F51:F60" si="14">ROUND(B51*E51/10000,0)</f>
        <v>#DIV/0!</v>
      </c>
      <c r="G51" s="3202"/>
      <c r="H51" s="3191"/>
      <c r="I51" s="945">
        <v>1</v>
      </c>
      <c r="J51" s="945">
        <v>1</v>
      </c>
      <c r="K51" s="1148"/>
      <c r="L51" s="944"/>
      <c r="M51" s="944"/>
      <c r="N51" s="944"/>
      <c r="O51" s="944"/>
    </row>
    <row r="52" spans="1:17" s="692" customFormat="1">
      <c r="A52" s="693" t="s">
        <v>2767</v>
      </c>
      <c r="B52" s="262" t="e">
        <f>ROUND($C$43*C52*D52,0)</f>
        <v>#DIV/0!</v>
      </c>
      <c r="C52" s="200">
        <f t="shared" ref="C52:C60" si="15">IF($C$50="北京市系数",I52,J52)</f>
        <v>0</v>
      </c>
      <c r="D52" s="1167">
        <v>0.25</v>
      </c>
      <c r="E52" s="694"/>
      <c r="F52" s="691" t="e">
        <f t="shared" si="14"/>
        <v>#DIV/0!</v>
      </c>
      <c r="G52" s="3253"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6">ROUND($C$43*C53*D53,0)</f>
        <v>#DIV/0!</v>
      </c>
      <c r="C53" s="200">
        <f t="shared" si="15"/>
        <v>0</v>
      </c>
      <c r="D53" s="1167">
        <v>0.25</v>
      </c>
      <c r="E53" s="694"/>
      <c r="F53" s="691" t="e">
        <f t="shared" si="14"/>
        <v>#DIV/0!</v>
      </c>
      <c r="G53" s="3253"/>
      <c r="H53" s="1107">
        <f>项目基本情况!B37</f>
        <v>0</v>
      </c>
      <c r="I53" s="945">
        <f>SUMIF(修正!A45:A56,H53,修正!C45:C56)</f>
        <v>0</v>
      </c>
      <c r="J53" s="946"/>
      <c r="K53" s="1148"/>
      <c r="L53" s="944"/>
      <c r="M53" s="944"/>
      <c r="N53" s="944"/>
      <c r="O53" s="944"/>
    </row>
    <row r="54" spans="1:17" s="692" customFormat="1">
      <c r="A54" s="693" t="s">
        <v>2770</v>
      </c>
      <c r="B54" s="262" t="e">
        <f t="shared" si="16"/>
        <v>#DIV/0!</v>
      </c>
      <c r="C54" s="200">
        <f t="shared" si="15"/>
        <v>0</v>
      </c>
      <c r="D54" s="1167">
        <v>0.25</v>
      </c>
      <c r="E54" s="694"/>
      <c r="F54" s="691" t="e">
        <f t="shared" si="14"/>
        <v>#DIV/0!</v>
      </c>
      <c r="G54" s="3253"/>
      <c r="H54" s="1107">
        <f>项目基本情况!B37</f>
        <v>0</v>
      </c>
      <c r="I54" s="945">
        <f>SUMIF(修正!A45:A56,H54,修正!D45:D56)</f>
        <v>0</v>
      </c>
      <c r="J54" s="946"/>
      <c r="K54" s="1147"/>
      <c r="L54" s="944"/>
      <c r="M54" s="944"/>
      <c r="N54" s="944"/>
      <c r="O54" s="944"/>
    </row>
    <row r="55" spans="1:17" s="692" customFormat="1">
      <c r="A55" s="693" t="s">
        <v>2771</v>
      </c>
      <c r="B55" s="262" t="e">
        <f t="shared" si="16"/>
        <v>#DIV/0!</v>
      </c>
      <c r="C55" s="200">
        <f t="shared" si="15"/>
        <v>0</v>
      </c>
      <c r="D55" s="1167">
        <v>0.25</v>
      </c>
      <c r="E55" s="694"/>
      <c r="F55" s="691" t="e">
        <f t="shared" si="14"/>
        <v>#DIV/0!</v>
      </c>
      <c r="G55" s="3253"/>
      <c r="H55" s="1107">
        <f>项目基本情况!B37</f>
        <v>0</v>
      </c>
      <c r="I55" s="945">
        <f>SUMIF(修正!A45:A56,H55,修正!E45:E56)</f>
        <v>0</v>
      </c>
      <c r="J55" s="946"/>
      <c r="K55" s="1148"/>
      <c r="L55" s="944"/>
      <c r="M55" s="944"/>
      <c r="N55" s="944"/>
      <c r="O55" s="944"/>
    </row>
    <row r="56" spans="1:17" s="692" customFormat="1">
      <c r="A56" s="693" t="s">
        <v>2772</v>
      </c>
      <c r="B56" s="262" t="e">
        <f t="shared" si="16"/>
        <v>#DIV/0!</v>
      </c>
      <c r="C56" s="200">
        <f t="shared" si="15"/>
        <v>0</v>
      </c>
      <c r="D56" s="1167">
        <v>0.25</v>
      </c>
      <c r="E56" s="261">
        <f>'数据-汇总表'!E11</f>
        <v>0</v>
      </c>
      <c r="F56" s="691" t="e">
        <f t="shared" si="14"/>
        <v>#DIV/0!</v>
      </c>
      <c r="G56" s="2709" t="s">
        <v>2773</v>
      </c>
      <c r="H56" s="1107">
        <f>项目基本情况!C37</f>
        <v>0</v>
      </c>
      <c r="I56" s="945">
        <f>SUMIF(修正!A45:A56,H56,修正!F45:F56)</f>
        <v>0</v>
      </c>
      <c r="J56" s="946"/>
      <c r="K56" s="1147"/>
      <c r="L56" s="944"/>
      <c r="M56" s="944"/>
      <c r="N56" s="944"/>
      <c r="O56" s="944"/>
    </row>
    <row r="57" spans="1:17" s="692" customFormat="1">
      <c r="A57" s="693" t="s">
        <v>2774</v>
      </c>
      <c r="B57" s="262" t="e">
        <f t="shared" si="16"/>
        <v>#DIV/0!</v>
      </c>
      <c r="C57" s="200">
        <f t="shared" si="15"/>
        <v>0</v>
      </c>
      <c r="D57" s="1167">
        <v>0.25</v>
      </c>
      <c r="E57" s="261">
        <f>'数据-汇总表'!E12</f>
        <v>0</v>
      </c>
      <c r="F57" s="691" t="e">
        <f t="shared" si="14"/>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6"/>
        <v>#DIV/0!</v>
      </c>
      <c r="C58" s="200">
        <f t="shared" si="15"/>
        <v>0</v>
      </c>
      <c r="D58" s="1167">
        <v>0.25</v>
      </c>
      <c r="E58" s="261">
        <f>'数据-汇总表'!E13</f>
        <v>0</v>
      </c>
      <c r="F58" s="691" t="e">
        <f t="shared" si="14"/>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6"/>
        <v>#DIV/0!</v>
      </c>
      <c r="C59" s="200">
        <f t="shared" si="15"/>
        <v>0</v>
      </c>
      <c r="D59" s="1167">
        <v>0.25</v>
      </c>
      <c r="E59" s="261">
        <f>'数据-汇总表'!E14</f>
        <v>0</v>
      </c>
      <c r="F59" s="691" t="e">
        <f t="shared" si="14"/>
        <v>#DIV/0!</v>
      </c>
      <c r="G59" s="2709"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6"/>
        <v>#DIV/0!</v>
      </c>
      <c r="C60" s="200">
        <f t="shared" si="15"/>
        <v>0</v>
      </c>
      <c r="D60" s="1167">
        <v>0.25</v>
      </c>
      <c r="E60" s="261">
        <f>'数据-汇总表'!E15</f>
        <v>0</v>
      </c>
      <c r="F60" s="691" t="e">
        <f t="shared" si="14"/>
        <v>#DIV/0!</v>
      </c>
      <c r="G60" s="2710"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1" t="s">
        <v>2781</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6" t="s">
        <v>2801</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3063</v>
      </c>
      <c r="D1" s="1818" t="s">
        <v>70</v>
      </c>
      <c r="E1" s="1819" t="s">
        <v>1383</v>
      </c>
      <c r="F1" s="1286"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t="e">
        <f ca="1">C6+C10+C12</f>
        <v>#N/A</v>
      </c>
      <c r="D5" s="1820" t="s">
        <v>1398</v>
      </c>
      <c r="E5" s="1296"/>
      <c r="F5" s="1297"/>
      <c r="G5" s="1849"/>
      <c r="H5" s="344">
        <v>1</v>
      </c>
      <c r="I5" s="345" t="s">
        <v>1397</v>
      </c>
      <c r="J5" s="1295" t="e">
        <f ca="1">J6+J10+J12</f>
        <v>#N/A</v>
      </c>
      <c r="K5" s="1820" t="s">
        <v>1398</v>
      </c>
      <c r="L5" s="1296"/>
      <c r="M5" s="1297"/>
    </row>
    <row r="6" spans="1:37" ht="18" customHeight="1">
      <c r="A6" s="1294" t="s">
        <v>1032</v>
      </c>
      <c r="B6" s="3164" t="s">
        <v>1399</v>
      </c>
      <c r="C6" s="1299" t="e">
        <f ca="1">ROUND(F6*F8*F7*(1-F9)/10000,0)</f>
        <v>#N/A</v>
      </c>
      <c r="D6" s="164" t="s">
        <v>3031</v>
      </c>
      <c r="E6" s="347" t="s">
        <v>1401</v>
      </c>
      <c r="F6" s="348" t="e">
        <f ca="1">INDIRECT("'数据-取费表'!u"&amp;$G$1)</f>
        <v>#N/A</v>
      </c>
      <c r="G6" s="1849"/>
      <c r="H6" s="1294" t="s">
        <v>1032</v>
      </c>
      <c r="I6" s="3164" t="s">
        <v>1399</v>
      </c>
      <c r="J6" s="346" t="e">
        <f ca="1">ROUND(M6*M8*M7*(1-M9)/10000,0)</f>
        <v>#N/A</v>
      </c>
      <c r="K6" s="164" t="s">
        <v>3030</v>
      </c>
      <c r="L6" s="347" t="s">
        <v>1401</v>
      </c>
      <c r="M6" s="348" t="e">
        <f ca="1">INDIRECT("'数据-取费表'!z"&amp;$G$1)</f>
        <v>#N/A</v>
      </c>
    </row>
    <row r="7" spans="1:37" ht="18" customHeight="1">
      <c r="A7" s="1298"/>
      <c r="B7" s="3165"/>
      <c r="C7" s="1300"/>
      <c r="D7" s="352"/>
      <c r="E7" s="2942" t="s">
        <v>1402</v>
      </c>
      <c r="F7" s="348" t="e">
        <f ca="1">IF(INDIRECT("'数据-取费表'!ah"&amp;$G$1)="",INDIRECT("'数据-取费表'!k"&amp;$G$1),INDIRECT("'数据-取费表'!ah"&amp;$G$1))</f>
        <v>#N/A</v>
      </c>
      <c r="G7" s="1849"/>
      <c r="H7" s="349"/>
      <c r="I7" s="3165"/>
      <c r="J7" s="351"/>
      <c r="K7" s="352"/>
      <c r="L7" s="347" t="s">
        <v>1402</v>
      </c>
      <c r="M7" s="348" t="e">
        <f ca="1">F7</f>
        <v>#N/A</v>
      </c>
    </row>
    <row r="8" spans="1:37" ht="18" customHeight="1">
      <c r="A8" s="349"/>
      <c r="B8" s="3165"/>
      <c r="C8" s="351"/>
      <c r="D8" s="352"/>
      <c r="E8" s="347" t="s">
        <v>1403</v>
      </c>
      <c r="F8" s="348" t="e">
        <f ca="1">INDIRECT("'数据-取费表'!ai"&amp;$G$1)</f>
        <v>#N/A</v>
      </c>
      <c r="G8" s="1849"/>
      <c r="H8" s="349"/>
      <c r="I8" s="3165"/>
      <c r="J8" s="351"/>
      <c r="K8" s="352"/>
      <c r="L8" s="347" t="s">
        <v>1403</v>
      </c>
      <c r="M8" s="348" t="e">
        <f ca="1">INDIRECT("'数据-取费表'!ai"&amp;$G$1)</f>
        <v>#N/A</v>
      </c>
    </row>
    <row r="9" spans="1:37" ht="18" customHeight="1">
      <c r="A9" s="349"/>
      <c r="B9" s="3166"/>
      <c r="C9" s="351"/>
      <c r="D9" s="352"/>
      <c r="E9" s="347" t="s">
        <v>1404</v>
      </c>
      <c r="F9" s="357" t="e">
        <f ca="1">INDIRECT("'数据-取费表'!w"&amp;$G$1)</f>
        <v>#N/A</v>
      </c>
      <c r="G9" s="1849"/>
      <c r="H9" s="349"/>
      <c r="I9" s="3166"/>
      <c r="J9" s="351"/>
      <c r="K9" s="352"/>
      <c r="L9" s="358" t="s">
        <v>1404</v>
      </c>
      <c r="M9" s="359" t="e">
        <f ca="1">INDIRECT("'数据-取费表'!ab"&amp;$G$1)</f>
        <v>#N/A</v>
      </c>
    </row>
    <row r="10" spans="1:37" ht="18" customHeight="1">
      <c r="A10" s="1294" t="s">
        <v>1036</v>
      </c>
      <c r="B10" s="1821" t="s">
        <v>1405</v>
      </c>
      <c r="C10" s="361" t="e">
        <f ca="1">ROUND(IF(F10="押一",C6/12*F11,IF(F10="押二",C6/12*2*F11,IF(F10="押三",C6/12*3*F11,C11*F11))),0)</f>
        <v>#N/A</v>
      </c>
      <c r="D10" s="1822" t="s">
        <v>3039</v>
      </c>
      <c r="E10" s="358" t="s">
        <v>1406</v>
      </c>
      <c r="F10" s="1369" t="s">
        <v>3077</v>
      </c>
      <c r="G10" s="1849"/>
      <c r="H10" s="1294" t="s">
        <v>1036</v>
      </c>
      <c r="I10" s="1821" t="s">
        <v>1405</v>
      </c>
      <c r="J10" s="346" t="e">
        <f ca="1">ROUND(IF(M10="押一",J6/12*M11,IF(M10="押二",J6/12*2*M11,IF(M10="押三",J6/12*3*M11,J11*M11))),0)</f>
        <v>#N/A</v>
      </c>
      <c r="K10" s="1822" t="s">
        <v>3039</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49"/>
      <c r="H13" s="1332">
        <v>2</v>
      </c>
      <c r="I13" s="1333" t="s">
        <v>1410</v>
      </c>
      <c r="J13" s="1293" t="e">
        <f ca="1">ROUND(J14*J15,0)</f>
        <v>#N/A</v>
      </c>
      <c r="K13" s="1340" t="s">
        <v>1411</v>
      </c>
      <c r="L13" s="1850"/>
      <c r="M13" s="1851"/>
    </row>
    <row r="14" spans="1:37" ht="18" customHeight="1">
      <c r="A14" s="1204" t="s">
        <v>1031</v>
      </c>
      <c r="B14" s="347" t="s">
        <v>1413</v>
      </c>
      <c r="C14" s="363" t="e">
        <f ca="1">INDIRECT("'数据-取费表'!m"&amp;$G$1)+INDIRECT("'数据-取费表'!t"&amp;$G$1)</f>
        <v>#N/A</v>
      </c>
      <c r="D14" s="2945" t="s">
        <v>1414</v>
      </c>
      <c r="E14" s="2944"/>
      <c r="F14" s="364"/>
      <c r="G14" s="1849"/>
      <c r="H14" s="1204" t="s">
        <v>1032</v>
      </c>
      <c r="I14" s="347" t="s">
        <v>1415</v>
      </c>
      <c r="J14" s="24" t="e">
        <f ca="1">C29</f>
        <v>#N/A</v>
      </c>
      <c r="K14" s="2941"/>
      <c r="L14" s="982"/>
      <c r="M14" s="983"/>
    </row>
    <row r="15" spans="1:37" s="1856" customFormat="1" ht="18" customHeight="1" thickBot="1">
      <c r="A15" s="1204" t="s">
        <v>1033</v>
      </c>
      <c r="B15" s="347" t="s">
        <v>1416</v>
      </c>
      <c r="C15" s="24" t="e">
        <f ca="1">ROUND(C14*F15,0)</f>
        <v>#N/A</v>
      </c>
      <c r="D15" s="365" t="s">
        <v>1417</v>
      </c>
      <c r="E15" s="365" t="s">
        <v>1418</v>
      </c>
      <c r="F15" s="366">
        <f>'数据-取费表'!B33</f>
        <v>0.04</v>
      </c>
      <c r="G15" s="1852"/>
      <c r="H15" s="1342" t="s">
        <v>1036</v>
      </c>
      <c r="I15" s="1343" t="s">
        <v>1412</v>
      </c>
      <c r="J15" s="1352" t="e">
        <f ca="1">INDIRECT("'数据-取费表'!ad"&amp;$G$1)</f>
        <v>#N/A</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49"/>
      <c r="H16" s="1332" t="s">
        <v>1027</v>
      </c>
      <c r="I16" s="1333" t="s">
        <v>1420</v>
      </c>
      <c r="J16" s="355" t="e">
        <f ca="1">ROUND(J17+J22+J23+J24,0)</f>
        <v>#N/A</v>
      </c>
      <c r="K16" s="1340" t="s">
        <v>1421</v>
      </c>
      <c r="L16" s="2947"/>
      <c r="M16" s="1297"/>
    </row>
    <row r="17" spans="1:37" s="1856" customFormat="1" ht="18" customHeight="1">
      <c r="A17" s="1204" t="s">
        <v>1386</v>
      </c>
      <c r="B17" s="347" t="s">
        <v>1422</v>
      </c>
      <c r="C17" s="24" t="e">
        <f ca="1">ROUND(F17*(F43+INDIRECT("'数据-取费表'!S"&amp;$G$1))/10000,0)</f>
        <v>#N/A</v>
      </c>
      <c r="D17" s="347" t="s">
        <v>1423</v>
      </c>
      <c r="E17" s="347" t="s">
        <v>1424</v>
      </c>
      <c r="F17" s="26">
        <f>'数据-取费表'!B35</f>
        <v>200</v>
      </c>
      <c r="G17" s="1852"/>
      <c r="H17" s="1204" t="s">
        <v>1032</v>
      </c>
      <c r="I17" s="347" t="s">
        <v>1425</v>
      </c>
      <c r="J17" s="24" t="e">
        <f ca="1">ROUND(IF(项目基本情况!B11="自然人",J5*M17,J18+J19+J20),1)</f>
        <v>#N/A</v>
      </c>
      <c r="K17" s="2945" t="s">
        <v>1426</v>
      </c>
      <c r="L17" s="294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t="e">
        <f ca="1">ROUND(C14*F18,0)</f>
        <v>#N/A</v>
      </c>
      <c r="D18" s="347" t="s">
        <v>1417</v>
      </c>
      <c r="E18" s="347" t="s">
        <v>1418</v>
      </c>
      <c r="F18" s="367">
        <f>'数据-取费表'!B36</f>
        <v>1.4999999999999999E-2</v>
      </c>
      <c r="G18" s="1852"/>
      <c r="H18" s="1204" t="s">
        <v>1031</v>
      </c>
      <c r="I18" s="347" t="s">
        <v>1429</v>
      </c>
      <c r="J18" s="24" t="e">
        <f ca="1">ROUND(J5*M18/(1+'数据-取费表'!C42),2)</f>
        <v>#N/A</v>
      </c>
      <c r="K18" s="294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t="e">
        <f ca="1">SUM(C14:C18)</f>
        <v>#N/A</v>
      </c>
      <c r="D19" s="140" t="s">
        <v>1432</v>
      </c>
      <c r="E19" s="2940"/>
      <c r="F19" s="26"/>
      <c r="G19" s="1849"/>
      <c r="H19" s="1204" t="s">
        <v>1033</v>
      </c>
      <c r="I19" s="347" t="s">
        <v>1433</v>
      </c>
      <c r="J19" s="24" t="e">
        <f ca="1">IF(K19="按租金收入计税",ROUND(J5*M19,2),ROUND(C29*M19*0.7,2))</f>
        <v>#N/A</v>
      </c>
      <c r="K19" s="1826" t="s">
        <v>1434</v>
      </c>
      <c r="L19" s="347" t="s">
        <v>1418</v>
      </c>
      <c r="M19" s="367">
        <f>IF(K19="按租金收入计税",'数据-取费表'!B51,'数据-取费表'!B50)</f>
        <v>1.2E-2</v>
      </c>
    </row>
    <row r="20" spans="1:37" s="1856" customFormat="1" ht="18" customHeight="1">
      <c r="A20" s="1204" t="s">
        <v>1036</v>
      </c>
      <c r="B20" s="347" t="s">
        <v>1435</v>
      </c>
      <c r="C20" s="24" t="e">
        <f ca="1">ROUND(C19*F20,0)</f>
        <v>#N/A</v>
      </c>
      <c r="D20" s="369" t="s">
        <v>1436</v>
      </c>
      <c r="E20" s="347" t="s">
        <v>1418</v>
      </c>
      <c r="F20" s="367">
        <f>'数据-取费表'!B37</f>
        <v>0.02</v>
      </c>
      <c r="G20" s="1852"/>
      <c r="H20" s="1204" t="s">
        <v>1385</v>
      </c>
      <c r="I20" s="164" t="s">
        <v>1437</v>
      </c>
      <c r="J20" s="25" t="e">
        <f ca="1">ROUND(M20*M21/10000,2)</f>
        <v>#N/A</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0"/>
      <c r="F22" s="26"/>
      <c r="G22" s="1849"/>
      <c r="H22" s="1204" t="s">
        <v>1036</v>
      </c>
      <c r="I22" s="347" t="s">
        <v>1445</v>
      </c>
      <c r="J22" s="24" t="e">
        <f ca="1">ROUND(J14*M22,1)</f>
        <v>#N/A</v>
      </c>
      <c r="K22" s="2946" t="s">
        <v>1446</v>
      </c>
      <c r="L22" s="347" t="s">
        <v>1418</v>
      </c>
      <c r="M22" s="374" t="e">
        <f ca="1">INDIRECT("'数据-取费表'!Ak"&amp;$G$1)</f>
        <v>#N/A</v>
      </c>
    </row>
    <row r="23" spans="1:37" s="1856"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t="e">
        <f ca="1">ROUND(J13*M23,1)</f>
        <v>#N/A</v>
      </c>
      <c r="K23" s="2946"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t="e">
        <f ca="1">ROUND(J5*M24,1)</f>
        <v>#N/A</v>
      </c>
      <c r="K24" s="1345" t="s">
        <v>1455</v>
      </c>
      <c r="L24" s="1343" t="s">
        <v>1418</v>
      </c>
      <c r="M24" s="1339"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0"/>
      <c r="F25" s="26"/>
      <c r="G25" s="1849"/>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49"/>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t="e">
        <f ca="1">ROUND((C19+C20+C23+C26)/(1-F21-C24-C27-C28),0)</f>
        <v>#N/A</v>
      </c>
      <c r="D29" s="1345"/>
      <c r="E29" s="1343"/>
      <c r="F29" s="1346"/>
      <c r="G29" s="1852"/>
      <c r="H29" s="380" t="s">
        <v>1030</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t="e">
        <f ca="1">ROUND(C31+C36+C37+C38,0)</f>
        <v>#N/A</v>
      </c>
      <c r="D30" s="1340" t="s">
        <v>1421</v>
      </c>
      <c r="E30" s="2947"/>
      <c r="F30" s="1297"/>
      <c r="G30" s="1849"/>
      <c r="H30" s="745"/>
      <c r="I30" s="746"/>
      <c r="J30" s="747"/>
      <c r="K30" s="748"/>
      <c r="L30" s="749"/>
      <c r="M30" s="750"/>
    </row>
    <row r="31" spans="1:37" ht="18" customHeight="1">
      <c r="A31" s="1204" t="s">
        <v>1032</v>
      </c>
      <c r="B31" s="347" t="s">
        <v>1425</v>
      </c>
      <c r="C31" s="24" t="e">
        <f ca="1">ROUND(IF(项目基本情况!B11="自然人",C5*F31,C32+C33+C34),1)</f>
        <v>#N/A</v>
      </c>
      <c r="D31" s="2945" t="s">
        <v>1426</v>
      </c>
      <c r="E31" s="294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t="e">
        <f ca="1">IF(项目基本情况!B11="自然人","——",ROUND(C5*F32/(1+'数据-取费表'!C42),2))</f>
        <v>#N/A</v>
      </c>
      <c r="D32" s="294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26" t="s">
        <v>3078</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t="e">
        <f ca="1">IF(项目基本情况!B11="自然人","——",ROUND(F34*F35/10000,2))</f>
        <v>#N/A</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t="e">
        <f ca="1">INDIRECT("'数据-取费表'!r"&amp;$G$1)</f>
        <v>#N/A</v>
      </c>
      <c r="G35" s="1849"/>
      <c r="H35" s="745"/>
      <c r="I35" s="1858"/>
      <c r="J35" s="1859"/>
      <c r="K35" s="1860"/>
      <c r="L35" s="1857"/>
      <c r="M35" s="1857"/>
    </row>
    <row r="36" spans="1:18" ht="18" customHeight="1">
      <c r="A36" s="1355" t="s">
        <v>1036</v>
      </c>
      <c r="B36" s="347" t="s">
        <v>1445</v>
      </c>
      <c r="C36" s="24" t="e">
        <f ca="1">ROUND(C29*F36,1)</f>
        <v>#N/A</v>
      </c>
      <c r="D36" s="2946" t="s">
        <v>1478</v>
      </c>
      <c r="E36" s="347" t="s">
        <v>1418</v>
      </c>
      <c r="F36" s="374" t="e">
        <f ca="1">INDIRECT("'数据-取费表'!Ak"&amp;$G$1)</f>
        <v>#N/A</v>
      </c>
      <c r="G36" s="1849"/>
      <c r="H36" s="1857"/>
      <c r="I36" s="1858"/>
      <c r="J36" s="1859"/>
      <c r="K36" s="751"/>
      <c r="L36" s="1857"/>
      <c r="M36" s="1857"/>
    </row>
    <row r="37" spans="1:18" ht="18" customHeight="1">
      <c r="A37" s="1204" t="s">
        <v>1072</v>
      </c>
      <c r="B37" s="347" t="s">
        <v>1449</v>
      </c>
      <c r="C37" s="24" t="e">
        <f ca="1">ROUND(C13*F37,1)</f>
        <v>#N/A</v>
      </c>
      <c r="D37" s="2946" t="s">
        <v>1450</v>
      </c>
      <c r="E37" s="347" t="s">
        <v>1418</v>
      </c>
      <c r="F37" s="376" t="e">
        <f ca="1">INDIRECT("'数据-取费表'!Al"&amp;$G$1)</f>
        <v>#N/A</v>
      </c>
      <c r="G37" s="1849"/>
      <c r="H37" s="1857"/>
      <c r="I37" s="1858"/>
      <c r="J37" s="1859"/>
      <c r="K37" s="751"/>
      <c r="L37" s="1857"/>
      <c r="M37" s="1857"/>
    </row>
    <row r="38" spans="1:18" ht="18" customHeight="1" thickBot="1">
      <c r="A38" s="1342" t="s">
        <v>1388</v>
      </c>
      <c r="B38" s="1343" t="s">
        <v>1435</v>
      </c>
      <c r="C38" s="1344" t="e">
        <f ca="1">ROUND(C5*F38,1)</f>
        <v>#N/A</v>
      </c>
      <c r="D38" s="1345" t="s">
        <v>1455</v>
      </c>
      <c r="E38" s="1343" t="s">
        <v>1418</v>
      </c>
      <c r="F38" s="1339" t="e">
        <f ca="1">INDIRECT("'数据-取费表'!Am"&amp;$G$1)</f>
        <v>#N/A</v>
      </c>
      <c r="G38" s="1849"/>
      <c r="H38" s="1857"/>
      <c r="I38" s="1858"/>
      <c r="J38" s="1859"/>
      <c r="K38" s="1863"/>
      <c r="L38" s="1857"/>
      <c r="M38" s="1857"/>
    </row>
    <row r="39" spans="1:18" ht="24.6" customHeight="1" thickTop="1">
      <c r="A39" s="1332" t="s">
        <v>1028</v>
      </c>
      <c r="B39" s="1347" t="s">
        <v>1459</v>
      </c>
      <c r="C39" s="355" t="e">
        <f ca="1">C5-C30</f>
        <v>#N/A</v>
      </c>
      <c r="D39" s="1348" t="s">
        <v>1460</v>
      </c>
      <c r="E39" s="1349"/>
      <c r="F39" s="1350"/>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3065</v>
      </c>
      <c r="K47" s="1880" t="s">
        <v>1523</v>
      </c>
      <c r="L47" s="1881" t="e">
        <f ca="1">INDIRECT("'数据-取费表'!d"&amp;$G$1)</f>
        <v>#N/A</v>
      </c>
      <c r="M47" s="1836" t="str">
        <f>IF(ISNUMBER(FIND("住宅",C1)),"住宅","非住宅")</f>
        <v>非住宅</v>
      </c>
      <c r="O47" s="1882" t="s">
        <v>1037</v>
      </c>
      <c r="P47" s="1883" t="s">
        <v>1524</v>
      </c>
      <c r="Q47" s="1884" t="e">
        <f ca="1">C40+J29</f>
        <v>#N/A</v>
      </c>
      <c r="R47" s="1884" t="s">
        <v>1525</v>
      </c>
    </row>
    <row r="48" spans="1:18" s="1840" customFormat="1" ht="28.5" thickBot="1">
      <c r="A48" s="1363" t="s">
        <v>1132</v>
      </c>
      <c r="B48" s="345" t="s">
        <v>1397</v>
      </c>
      <c r="C48" s="2939" t="e">
        <f ca="1">C49+C53+C55</f>
        <v>#N/A</v>
      </c>
      <c r="D48" s="1365"/>
      <c r="E48" s="1366"/>
      <c r="F48" s="1184"/>
      <c r="G48" s="792"/>
      <c r="H48" s="793"/>
      <c r="I48" s="1885" t="s">
        <v>1526</v>
      </c>
      <c r="J48" s="1886" t="s">
        <v>3080</v>
      </c>
      <c r="K48" s="1887" t="s">
        <v>1527</v>
      </c>
      <c r="L48" s="1888" t="e">
        <f ca="1">INDIRECT("'数据-取费表'!f"&amp;$G$1)</f>
        <v>#N/A</v>
      </c>
      <c r="O48" s="1882" t="s">
        <v>1038</v>
      </c>
      <c r="P48" s="1883" t="s">
        <v>1528</v>
      </c>
      <c r="Q48" s="1884" t="e">
        <f ca="1">J60</f>
        <v>#N/A</v>
      </c>
      <c r="R48" s="1884" t="s">
        <v>1529</v>
      </c>
    </row>
    <row r="49" spans="1:18" s="1840" customFormat="1" ht="13.5" thickBot="1">
      <c r="A49" s="1197" t="s">
        <v>1133</v>
      </c>
      <c r="B49" s="1827" t="s">
        <v>1486</v>
      </c>
      <c r="C49" s="1367" t="e">
        <f ca="1">ROUND(F49*F51*F50*(1-F52)/10000,0)</f>
        <v>#N/A</v>
      </c>
      <c r="D49" s="1279" t="s">
        <v>3030</v>
      </c>
      <c r="E49" s="1828" t="s">
        <v>1487</v>
      </c>
      <c r="F49" s="1284"/>
      <c r="G49" s="1889"/>
      <c r="H49" s="793"/>
      <c r="I49" s="1885" t="s">
        <v>1530</v>
      </c>
      <c r="J49" s="1890">
        <v>2014</v>
      </c>
      <c r="K49" s="1887" t="s">
        <v>1531</v>
      </c>
      <c r="L49" s="1891"/>
      <c r="O49" s="1892" t="s">
        <v>1039</v>
      </c>
      <c r="P49" s="1883" t="s">
        <v>1532</v>
      </c>
      <c r="Q49" s="1884" t="e">
        <f ca="1">C29</f>
        <v>#N/A</v>
      </c>
      <c r="R49" s="1884" t="s">
        <v>1525</v>
      </c>
    </row>
    <row r="50" spans="1:18" s="1840" customFormat="1" ht="13.5" thickBot="1">
      <c r="A50" s="1198"/>
      <c r="B50" s="1201"/>
      <c r="C50" s="1371"/>
      <c r="D50" s="1175"/>
      <c r="E50" s="1280" t="s">
        <v>1402</v>
      </c>
      <c r="F50" s="1281" t="e">
        <f ca="1">F7</f>
        <v>#N/A</v>
      </c>
      <c r="H50" s="793"/>
      <c r="I50" s="1885" t="s">
        <v>1533</v>
      </c>
      <c r="J50" s="1893">
        <f>SUMPRODUCT((I63:I65=J47)*(J62:L62=J48)*(J63:L65))</f>
        <v>70</v>
      </c>
      <c r="K50" s="1887" t="s">
        <v>1534</v>
      </c>
      <c r="L50" s="1891"/>
      <c r="M50" s="1894"/>
      <c r="O50" s="1892" t="s">
        <v>1040</v>
      </c>
      <c r="P50" s="1883" t="s">
        <v>1535</v>
      </c>
      <c r="Q50" s="1895" t="e">
        <f ca="1">J58</f>
        <v>#N/A</v>
      </c>
      <c r="R50" s="1884"/>
    </row>
    <row r="51" spans="1:18" s="1840" customFormat="1" ht="13.5" thickBot="1">
      <c r="A51" s="1199"/>
      <c r="B51" s="1201"/>
      <c r="C51" s="1202"/>
      <c r="D51" s="1175"/>
      <c r="E51" s="1203" t="s">
        <v>1403</v>
      </c>
      <c r="F51" s="348" t="e">
        <f ca="1">F8</f>
        <v>#N/A</v>
      </c>
      <c r="I51" s="1896" t="s">
        <v>1536</v>
      </c>
      <c r="J51" s="1897">
        <f>IF(J49="",J50,J49+J50-YEAR('数据-取费表'!B2))</f>
        <v>65</v>
      </c>
      <c r="K51" s="1898" t="s">
        <v>1537</v>
      </c>
      <c r="L51" s="1899" t="e">
        <f ca="1">ROUND(-PV(INDIRECT("'数据-取费表'!h"&amp;$G$1),L48,(C39-C13*C76),0),0)</f>
        <v>#N/A</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t="e">
        <f ca="1">J53</f>
        <v>#N/A</v>
      </c>
      <c r="R52" s="1884" t="s">
        <v>1542</v>
      </c>
    </row>
    <row r="53" spans="1:18" s="1840" customFormat="1" ht="24.75" thickBot="1">
      <c r="A53" s="1408" t="s">
        <v>1134</v>
      </c>
      <c r="B53" s="1829" t="s">
        <v>1405</v>
      </c>
      <c r="C53" s="361">
        <f ca="1">ROUND(IF(F53="押一",C49/12*F11,IF(F53="押二",C49/12*2*F11,IF(F53="押三",C49/12*3*F11,C54*F11))),0)</f>
        <v>0</v>
      </c>
      <c r="D53" s="1822" t="s">
        <v>3039</v>
      </c>
      <c r="E53" s="358" t="s">
        <v>1406</v>
      </c>
      <c r="F53" s="1369"/>
      <c r="I53" s="1903" t="s">
        <v>1543</v>
      </c>
      <c r="J53" s="1904" t="e">
        <f ca="1">IF(M47="住宅",IF(D1="——",MAX(J51,L48),IF(D1="在建（套用方法）",MAX(J51,L48-'数据-取费表'!B24),MAX(J51,L48-'数据-取费表'!B20))),IF(D1="——",MIN(J51,L48),IF(D1="在建（套用方法）",MIN(J51,L48-'数据-取费表'!B24),IF(D1="土地（套用方法）",MIN(J51,L48-'数据-取费表'!B20)))))</f>
        <v>#N/A</v>
      </c>
      <c r="K53" s="3162" t="s">
        <v>1544</v>
      </c>
      <c r="L53" s="3163"/>
      <c r="O53" s="1882" t="s">
        <v>1043</v>
      </c>
      <c r="P53" s="1883" t="s">
        <v>1545</v>
      </c>
      <c r="Q53" s="1884" t="e">
        <f ca="1">Q47+Q48</f>
        <v>#N/A</v>
      </c>
      <c r="R53" s="1884" t="s">
        <v>1044</v>
      </c>
    </row>
    <row r="54" spans="1:18" s="1840" customFormat="1" ht="13.5" thickBot="1">
      <c r="A54" s="1409"/>
      <c r="B54" s="1823" t="s">
        <v>1384</v>
      </c>
      <c r="C54" s="1181"/>
      <c r="D54" s="1822"/>
      <c r="E54" s="2943"/>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6" t="s">
        <v>1072</v>
      </c>
      <c r="B55" s="1825" t="s">
        <v>1409</v>
      </c>
      <c r="C55" s="1337"/>
      <c r="D55" s="1822"/>
      <c r="E55" s="2943"/>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9">
        <v>2</v>
      </c>
      <c r="B56" s="1180" t="s">
        <v>1410</v>
      </c>
      <c r="C56" s="276" t="e">
        <f ca="1">C13</f>
        <v>#N/A</v>
      </c>
      <c r="D56" s="1912"/>
      <c r="E56" s="1913"/>
      <c r="F56" s="1905"/>
      <c r="I56" s="1914" t="s">
        <v>1550</v>
      </c>
      <c r="J56" s="1915" t="s">
        <v>3069</v>
      </c>
      <c r="K56" s="1885" t="s">
        <v>1551</v>
      </c>
      <c r="L56" s="1888" t="e">
        <f ca="1">IF(L48&lt;J51,"——",L48-J53)</f>
        <v>#N/A</v>
      </c>
      <c r="O56" s="1882" t="s">
        <v>1037</v>
      </c>
      <c r="P56" s="1883" t="s">
        <v>1524</v>
      </c>
      <c r="Q56" s="1884" t="e">
        <f ca="1">C40+J29</f>
        <v>#N/A</v>
      </c>
      <c r="R56" s="1884" t="s">
        <v>1525</v>
      </c>
    </row>
    <row r="57" spans="1:18" s="1840" customFormat="1" ht="24.75" thickBot="1">
      <c r="A57" s="1916"/>
      <c r="B57" s="1172"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1038</v>
      </c>
      <c r="P57" s="1883" t="s">
        <v>1554</v>
      </c>
      <c r="Q57" s="1884" t="e">
        <f ca="1">L60</f>
        <v>#N/A</v>
      </c>
      <c r="R57" s="1884" t="s">
        <v>1555</v>
      </c>
    </row>
    <row r="58" spans="1:18" s="1840" customFormat="1" ht="24.75" thickBot="1">
      <c r="A58" s="360" t="s">
        <v>1027</v>
      </c>
      <c r="B58" s="1180" t="s">
        <v>1420</v>
      </c>
      <c r="C58" s="361" t="e">
        <f ca="1">ROUND(C59+C64+C65+C66,0)</f>
        <v>#N/A</v>
      </c>
      <c r="D58" s="1182" t="s">
        <v>1421</v>
      </c>
      <c r="E58" s="1183"/>
      <c r="F58" s="1184"/>
      <c r="I58" s="1920" t="s">
        <v>1556</v>
      </c>
      <c r="J58" s="1922" t="e">
        <f ca="1">IF(J55&lt;0.4,0.4,J55)</f>
        <v>#N/A</v>
      </c>
      <c r="K58" s="1898" t="s">
        <v>1557</v>
      </c>
      <c r="L58" s="1888" t="e">
        <f ca="1">ROUND(POWER(1+L52,L47-L48)*(POWER(1+L52,L48)-1)/(POWER(1+L52,L47)-1),4)</f>
        <v>#N/A</v>
      </c>
      <c r="O58" s="1892" t="s">
        <v>1039</v>
      </c>
      <c r="P58" s="1883" t="s">
        <v>1558</v>
      </c>
      <c r="Q58" s="1884">
        <f>IF(L55="比较法",L49,IF(L55="基准地价",L50,0))</f>
        <v>0</v>
      </c>
      <c r="R58" s="1884" t="s">
        <v>1525</v>
      </c>
    </row>
    <row r="59" spans="1:18" s="1840"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1560</v>
      </c>
      <c r="Q59" s="1895">
        <f>L52</f>
        <v>0</v>
      </c>
      <c r="R59" s="1884"/>
    </row>
    <row r="60" spans="1:18" s="1840" customFormat="1" ht="16.5" thickBot="1">
      <c r="A60" s="1204" t="s">
        <v>1031</v>
      </c>
      <c r="B60" s="1172" t="s">
        <v>1429</v>
      </c>
      <c r="C60" s="24" t="e">
        <f ca="1">IF(项目基本情况!B11="自然人","——",ROUND(C48*F60/(1+'数据-取费表'!C42),2))</f>
        <v>#N/A</v>
      </c>
      <c r="D60" s="1186" t="s">
        <v>1430</v>
      </c>
      <c r="E60" s="1172"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1041</v>
      </c>
      <c r="P60" s="1883" t="s">
        <v>1563</v>
      </c>
      <c r="Q60" s="1884" t="e">
        <f ca="1">L58</f>
        <v>#N/A</v>
      </c>
      <c r="R60" s="1884" t="s">
        <v>1564</v>
      </c>
    </row>
    <row r="61" spans="1:18" s="1840" customFormat="1" ht="13.5" thickBot="1">
      <c r="A61" s="1204" t="s">
        <v>1488</v>
      </c>
      <c r="B61" s="1172" t="s">
        <v>1433</v>
      </c>
      <c r="C61" s="24" t="e">
        <f ca="1">IF(项目基本情况!B11="自然人","——",IF(D61="按租金收入计税",ROUND(C48*F61,2),IF(D61="按房产原值计税",ROUND(C57*F61*0.7,2),INDIRECT("'数据-取费表'!Aj"&amp;$G$1))))</f>
        <v>#N/A</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#N/A</v>
      </c>
      <c r="R61" s="1884" t="s">
        <v>1565</v>
      </c>
    </row>
    <row r="62" spans="1:18" s="1840" customFormat="1" ht="13.5" thickBot="1">
      <c r="A62" s="1204" t="s">
        <v>1491</v>
      </c>
      <c r="B62" s="1171" t="s">
        <v>1437</v>
      </c>
      <c r="C62" s="25" t="e">
        <f ca="1">IF(项目基本情况!B11="自然人","——",ROUND(F62*F63/10000,2))</f>
        <v>#N/A</v>
      </c>
      <c r="D62" s="1187" t="s">
        <v>1438</v>
      </c>
      <c r="E62" s="1172" t="s">
        <v>1439</v>
      </c>
      <c r="F62" s="371">
        <f t="shared" si="0"/>
        <v>1.5</v>
      </c>
      <c r="I62" s="1927" t="s">
        <v>1566</v>
      </c>
      <c r="J62" s="1928" t="s">
        <v>1567</v>
      </c>
      <c r="K62" s="1928" t="s">
        <v>1568</v>
      </c>
      <c r="L62" s="1928" t="s">
        <v>1569</v>
      </c>
      <c r="M62" s="1929" t="s">
        <v>1570</v>
      </c>
      <c r="O62" s="1882" t="s">
        <v>1043</v>
      </c>
      <c r="P62" s="1883" t="s">
        <v>1545</v>
      </c>
      <c r="Q62" s="1884" t="e">
        <f ca="1">Q56+Q57</f>
        <v>#N/A</v>
      </c>
      <c r="R62" s="1884" t="s">
        <v>1044</v>
      </c>
    </row>
    <row r="63" spans="1:18" s="1840" customFormat="1" ht="13.5" thickBot="1">
      <c r="A63" s="372"/>
      <c r="B63" s="1178"/>
      <c r="C63" s="29"/>
      <c r="D63" s="1188"/>
      <c r="E63" s="1172"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t="e">
        <f ca="1">ROUND(C57*F64,1)</f>
        <v>#N/A</v>
      </c>
      <c r="D64" s="1186" t="s">
        <v>1478</v>
      </c>
      <c r="E64" s="1172"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t="e">
        <f ca="1">ROUND(C56*F65,1)</f>
        <v>#N/A</v>
      </c>
      <c r="D65" s="1186" t="s">
        <v>1450</v>
      </c>
      <c r="E65" s="1172" t="s">
        <v>1418</v>
      </c>
      <c r="F65" s="376" t="e">
        <f t="shared" ca="1" si="0"/>
        <v>#N/A</v>
      </c>
      <c r="I65" s="1927" t="s">
        <v>1575</v>
      </c>
      <c r="J65" s="1928">
        <v>40</v>
      </c>
      <c r="K65" s="1928">
        <v>30</v>
      </c>
      <c r="L65" s="1928">
        <v>50</v>
      </c>
      <c r="M65" s="1930">
        <v>0.02</v>
      </c>
      <c r="O65" s="1882" t="s">
        <v>1037</v>
      </c>
      <c r="P65" s="1883" t="s">
        <v>1524</v>
      </c>
      <c r="Q65" s="1884" t="e">
        <f ca="1">C40+J29</f>
        <v>#N/A</v>
      </c>
      <c r="R65" s="1884" t="s">
        <v>1525</v>
      </c>
    </row>
    <row r="66" spans="1:18" s="1840" customFormat="1" ht="16.5" thickBot="1">
      <c r="A66" s="1204" t="s">
        <v>1500</v>
      </c>
      <c r="B66" s="1172" t="s">
        <v>1435</v>
      </c>
      <c r="C66" s="24" t="e">
        <f ca="1">ROUND(C48*F66,1)</f>
        <v>#N/A</v>
      </c>
      <c r="D66" s="1186" t="s">
        <v>1455</v>
      </c>
      <c r="E66" s="1172" t="s">
        <v>1418</v>
      </c>
      <c r="F66" s="357" t="e">
        <f t="shared" ca="1" si="0"/>
        <v>#N/A</v>
      </c>
      <c r="O66" s="1882" t="s">
        <v>1038</v>
      </c>
      <c r="P66" s="1883" t="s">
        <v>1554</v>
      </c>
      <c r="Q66" s="1884" t="e">
        <f ca="1">L60</f>
        <v>#N/A</v>
      </c>
      <c r="R66" s="1884" t="s">
        <v>1577</v>
      </c>
    </row>
    <row r="67" spans="1:18" s="1840" customFormat="1" ht="16.5" thickBot="1">
      <c r="A67" s="1179" t="s">
        <v>1028</v>
      </c>
      <c r="B67" s="1189" t="s">
        <v>1459</v>
      </c>
      <c r="C67" s="361" t="e">
        <f ca="1">C48-C58</f>
        <v>#N/A</v>
      </c>
      <c r="D67" s="1185" t="s">
        <v>1460</v>
      </c>
      <c r="E67" s="1190"/>
      <c r="F67" s="1191"/>
      <c r="O67" s="1892" t="s">
        <v>1039</v>
      </c>
      <c r="P67" s="1883" t="s">
        <v>1558</v>
      </c>
      <c r="Q67" s="1931" t="e">
        <f ca="1">L51</f>
        <v>#N/A</v>
      </c>
      <c r="R67" s="1884" t="s">
        <v>1578</v>
      </c>
    </row>
    <row r="68" spans="1:18" s="1840" customFormat="1" ht="16.5" thickBot="1">
      <c r="A68" s="1169" t="s">
        <v>1029</v>
      </c>
      <c r="B68" s="1170" t="s">
        <v>1481</v>
      </c>
      <c r="C68" s="346" t="e">
        <f ca="1">ROUND(C67*(1-((1+F70)/(1+F68))^F69)/(F68-F70),0)</f>
        <v>#N/A</v>
      </c>
      <c r="D68" s="1187" t="s">
        <v>1465</v>
      </c>
      <c r="E68" s="1172" t="s">
        <v>1466</v>
      </c>
      <c r="F68" s="357" t="e">
        <f ca="1">F40</f>
        <v>#N/A</v>
      </c>
      <c r="O68" s="1892" t="s">
        <v>1040</v>
      </c>
      <c r="P68" s="1932" t="s">
        <v>1579</v>
      </c>
      <c r="Q68" s="1884" t="e">
        <f ca="1">ROUND(Q69-Q70*Q71,0)</f>
        <v>#N/A</v>
      </c>
      <c r="R68" s="1884" t="s">
        <v>1048</v>
      </c>
    </row>
    <row r="69" spans="1:18" s="1840" customFormat="1" ht="13.5" thickBot="1">
      <c r="A69" s="1173"/>
      <c r="B69" s="1174"/>
      <c r="C69" s="351"/>
      <c r="D69" s="1192" t="s">
        <v>1469</v>
      </c>
      <c r="E69" s="1172" t="s">
        <v>1470</v>
      </c>
      <c r="F69" s="379" t="e">
        <f ca="1">F41</f>
        <v>#N/A</v>
      </c>
      <c r="O69" s="1892" t="s">
        <v>1045</v>
      </c>
      <c r="P69" s="1932" t="s">
        <v>1580</v>
      </c>
      <c r="Q69" s="1884" t="e">
        <f ca="1">C39</f>
        <v>#N/A</v>
      </c>
      <c r="R69" s="1884" t="s">
        <v>1525</v>
      </c>
    </row>
    <row r="70" spans="1:18" s="1840" customFormat="1" ht="13.5" thickBot="1">
      <c r="A70" s="1176"/>
      <c r="B70" s="1177"/>
      <c r="C70" s="355"/>
      <c r="D70" s="1188"/>
      <c r="E70" s="1172" t="s">
        <v>1473</v>
      </c>
      <c r="F70" s="1278"/>
      <c r="O70" s="1892" t="s">
        <v>1046</v>
      </c>
      <c r="P70" s="1932" t="s">
        <v>1581</v>
      </c>
      <c r="Q70" s="1884" t="e">
        <f ca="1">C13</f>
        <v>#N/A</v>
      </c>
      <c r="R70" s="1884" t="s">
        <v>1525</v>
      </c>
    </row>
    <row r="71" spans="1:18" s="1840" customFormat="1" ht="13.5" thickBot="1">
      <c r="A71" s="1193" t="s">
        <v>1030</v>
      </c>
      <c r="B71" s="1194" t="s">
        <v>1483</v>
      </c>
      <c r="C71" s="382" t="e">
        <f ca="1">ROUND(C68*10000/F71,0)</f>
        <v>#N/A</v>
      </c>
      <c r="D71" s="1195" t="s">
        <v>1484</v>
      </c>
      <c r="E71" s="1196" t="s">
        <v>1485</v>
      </c>
      <c r="F71" s="385" t="e">
        <f ca="1">F43</f>
        <v>#N/A</v>
      </c>
      <c r="O71" s="1892" t="s">
        <v>1047</v>
      </c>
      <c r="P71" s="1932" t="s">
        <v>1582</v>
      </c>
      <c r="Q71" s="1895" t="e">
        <f ca="1">C76</f>
        <v>#N/A</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#N/A</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1043</v>
      </c>
      <c r="P75" s="1883" t="s">
        <v>1545</v>
      </c>
      <c r="Q75" s="1884" t="e">
        <f ca="1">Q65+Q66</f>
        <v>#N/A</v>
      </c>
      <c r="R75" s="1884" t="s">
        <v>1044</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5" zoomScaleNormal="85" workbookViewId="0">
      <selection activeCell="D20" sqref="D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82">
        <f>MATCH(B1,'数据-取费表'!A6:A16,0)+5</f>
        <v>7</v>
      </c>
    </row>
    <row r="2" spans="1:9" s="244" customFormat="1" ht="18" customHeight="1">
      <c r="A2" s="245" t="s">
        <v>2326</v>
      </c>
      <c r="B2" s="246">
        <f ca="1">IF(D2="——",C52,C52-E2)</f>
        <v>1925</v>
      </c>
      <c r="C2" s="243" t="s">
        <v>2327</v>
      </c>
      <c r="D2" s="2547" t="s">
        <v>70</v>
      </c>
      <c r="E2" s="1443"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4699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502</v>
      </c>
      <c r="D5" s="255" t="s">
        <v>2333</v>
      </c>
      <c r="E5" s="256" t="s">
        <v>2334</v>
      </c>
      <c r="F5" s="256" t="s">
        <v>2335</v>
      </c>
      <c r="G5" s="257"/>
    </row>
    <row r="6" spans="1:9" s="258" customFormat="1" ht="13.5" customHeight="1">
      <c r="A6" s="952" t="s">
        <v>2336</v>
      </c>
      <c r="B6" s="259" t="s">
        <v>2337</v>
      </c>
      <c r="C6" s="260">
        <f ca="1">基准地价修正!E29</f>
        <v>411</v>
      </c>
      <c r="D6" s="261"/>
      <c r="E6" s="262"/>
      <c r="F6" s="262"/>
      <c r="G6" s="263"/>
    </row>
    <row r="7" spans="1:9" s="258" customFormat="1" ht="13.5" customHeight="1">
      <c r="A7" s="952" t="s">
        <v>2338</v>
      </c>
      <c r="B7" s="259" t="s">
        <v>2339</v>
      </c>
      <c r="C7" s="264">
        <f ca="1">ROUND(C6*F7,0)</f>
        <v>13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78</v>
      </c>
      <c r="D8" s="266"/>
      <c r="E8" s="264"/>
      <c r="F8" s="265"/>
      <c r="G8" s="2550" t="s">
        <v>3085</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150</v>
      </c>
      <c r="F9" s="265"/>
      <c r="G9" s="2551" t="s">
        <v>3086</v>
      </c>
      <c r="H9" s="1393"/>
      <c r="I9" s="2552" t="s">
        <v>2343</v>
      </c>
    </row>
    <row r="10" spans="1:9" s="258" customFormat="1" ht="13.5" customHeight="1">
      <c r="A10" s="953" t="s">
        <v>801</v>
      </c>
      <c r="B10" s="268" t="s">
        <v>2344</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4096.63</v>
      </c>
      <c r="E19" s="255">
        <f>'数据-取费表'!B31</f>
        <v>200</v>
      </c>
      <c r="F19" s="275"/>
      <c r="G19" s="2550" t="s">
        <v>3087</v>
      </c>
    </row>
    <row r="20" spans="1:7" s="258" customFormat="1" ht="13.5" customHeight="1">
      <c r="A20" s="299" t="s">
        <v>2357</v>
      </c>
      <c r="B20" s="254" t="s">
        <v>2358</v>
      </c>
      <c r="C20" s="276">
        <f ca="1">ROUND((C5+C19)*F20,0)</f>
        <v>10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36</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51</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ROUND((C5+C19+C20)*F27*'数据-取费表'!B21/'数据-取费表'!B20,0)</f>
        <v>51</v>
      </c>
      <c r="D28" s="279"/>
      <c r="E28" s="280"/>
      <c r="F28" s="290"/>
      <c r="G28" s="291"/>
    </row>
    <row r="29" spans="1:7" s="258" customFormat="1" ht="13.5" customHeight="1">
      <c r="A29" s="954" t="s">
        <v>792</v>
      </c>
      <c r="B29" s="292" t="s">
        <v>2381</v>
      </c>
      <c r="C29" s="282">
        <f ca="1">ROUND(C21*F27*'数据-取费表'!B21/'数据-取费表'!B20,4)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648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1109</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973</v>
      </c>
      <c r="D34" s="261"/>
      <c r="E34" s="264"/>
      <c r="F34" s="301">
        <f ca="1">IF('数据-取费表'!B24=0,1,IF(B1="",'数据-取费表'!N16,INDIRECT("'数据-取费表'!n"&amp;$G$1)))</f>
        <v>1</v>
      </c>
      <c r="G34" s="263" t="s">
        <v>2390</v>
      </c>
    </row>
    <row r="35" spans="1:7" ht="13.5" customHeight="1">
      <c r="A35" s="954" t="s">
        <v>796</v>
      </c>
      <c r="B35" s="259" t="s">
        <v>2391</v>
      </c>
      <c r="C35" s="264">
        <f ca="1">ROUND(C34*F35,0)</f>
        <v>39</v>
      </c>
      <c r="D35" s="264"/>
      <c r="E35" s="264"/>
      <c r="F35" s="303">
        <f>'数据-取费表'!B33</f>
        <v>0.04</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82</v>
      </c>
      <c r="D37" s="261">
        <f ca="1">D19</f>
        <v>4096.63</v>
      </c>
      <c r="E37" s="293">
        <f>'数据-取费表'!B35</f>
        <v>200</v>
      </c>
      <c r="F37" s="303"/>
      <c r="G37" s="305" t="s">
        <v>2396</v>
      </c>
    </row>
    <row r="38" spans="1:7" ht="13.5" customHeight="1">
      <c r="A38" s="954" t="s">
        <v>799</v>
      </c>
      <c r="B38" s="259" t="s">
        <v>2397</v>
      </c>
      <c r="C38" s="264">
        <f ca="1">ROUND(C34*F38,0)</f>
        <v>15</v>
      </c>
      <c r="D38" s="264"/>
      <c r="E38" s="264"/>
      <c r="F38" s="303">
        <f>'数据-取费表'!B36</f>
        <v>1.4999999999999999E-2</v>
      </c>
      <c r="G38" s="263" t="s">
        <v>2392</v>
      </c>
    </row>
    <row r="39" spans="1:7" s="258" customFormat="1" ht="13.5" customHeight="1">
      <c r="A39" s="299" t="s">
        <v>2398</v>
      </c>
      <c r="B39" s="254" t="s">
        <v>2399</v>
      </c>
      <c r="C39" s="276">
        <f ca="1">ROUND(C33*F20,0)</f>
        <v>22</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40</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39</v>
      </c>
      <c r="D42" s="282"/>
      <c r="E42" s="282"/>
      <c r="F42" s="283"/>
      <c r="G42" s="3158" t="s">
        <v>2408</v>
      </c>
    </row>
    <row r="43" spans="1:7" ht="13.5" customHeight="1">
      <c r="A43" s="954" t="s">
        <v>792</v>
      </c>
      <c r="B43" s="259" t="s">
        <v>2409</v>
      </c>
      <c r="C43" s="282">
        <f ca="1">ROUND(IF('数据-取费表'!B22&lt;=1,C39*F22*'数据-取费表'!B21/2,C39*(POWER((1+F22),'数据-取费表'!B21/2)-1)),0)</f>
        <v>1</v>
      </c>
      <c r="D43" s="282"/>
      <c r="E43" s="282"/>
      <c r="F43" s="283"/>
      <c r="G43" s="3159"/>
    </row>
    <row r="44" spans="1:7" ht="13.5" customHeight="1">
      <c r="A44" s="954" t="s">
        <v>793</v>
      </c>
      <c r="B44" s="259" t="s">
        <v>2410</v>
      </c>
      <c r="C44" s="282">
        <f ca="1">ROUND(IF('数据-取费表'!B22&lt;=1,C40*F22*'数据-取费表'!B21/2,C40*(POWER((1+F22),'数据-取费表'!B21/2)-1)),4)</f>
        <v>6.9999999999999999E-4</v>
      </c>
      <c r="D44" s="282"/>
      <c r="E44" s="282"/>
      <c r="F44" s="283"/>
      <c r="G44" s="3160"/>
    </row>
    <row r="45" spans="1:7" s="258" customFormat="1" ht="13.5" customHeight="1">
      <c r="A45" s="299" t="s">
        <v>2411</v>
      </c>
      <c r="B45" s="288" t="s">
        <v>2377</v>
      </c>
      <c r="C45" s="289">
        <f ca="1">C46</f>
        <v>113</v>
      </c>
      <c r="D45" s="279">
        <f ca="1">C47</f>
        <v>2E-3</v>
      </c>
      <c r="E45" s="280" t="s">
        <v>2403</v>
      </c>
      <c r="F45" s="290"/>
      <c r="G45" s="291" t="s">
        <v>2412</v>
      </c>
    </row>
    <row r="46" spans="1:7" s="258" customFormat="1" ht="13.5" customHeight="1">
      <c r="A46" s="954" t="s">
        <v>791</v>
      </c>
      <c r="B46" s="292" t="s">
        <v>2413</v>
      </c>
      <c r="C46" s="293">
        <f ca="1">ROUND((C33+C39)*F27,0)</f>
        <v>113</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1726">
        <f>ROUND(F30/(1+'数据-取费表'!C42),4)</f>
        <v>5.2400000000000002E-2</v>
      </c>
      <c r="D48" s="280" t="s">
        <v>2403</v>
      </c>
      <c r="E48" s="276"/>
      <c r="F48" s="281"/>
      <c r="G48" s="278" t="s">
        <v>2416</v>
      </c>
    </row>
    <row r="49" spans="1:7" ht="16.5" customHeight="1">
      <c r="A49" s="299" t="s">
        <v>2382</v>
      </c>
      <c r="B49" s="254" t="s">
        <v>2417</v>
      </c>
      <c r="C49" s="276">
        <f ca="1">ROUND((C33+C39+C41+C45)/(1-C40-D41-D45-C48),0)</f>
        <v>1388</v>
      </c>
      <c r="D49" s="276"/>
      <c r="E49" s="276"/>
      <c r="F49" s="308"/>
      <c r="G49" s="278" t="s">
        <v>2418</v>
      </c>
    </row>
    <row r="50" spans="1:7" s="302" customFormat="1" ht="24">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1277</v>
      </c>
      <c r="D51" s="276"/>
      <c r="E51" s="276"/>
      <c r="F51" s="308"/>
      <c r="G51" s="278" t="s">
        <v>2424</v>
      </c>
    </row>
    <row r="52" spans="1:7" s="252" customFormat="1" ht="16.5" thickBot="1">
      <c r="A52" s="309" t="s">
        <v>2425</v>
      </c>
      <c r="B52" s="310"/>
      <c r="C52" s="311">
        <f ca="1">C31+C51</f>
        <v>1925</v>
      </c>
      <c r="D52" s="310"/>
      <c r="E52" s="310"/>
      <c r="F52" s="310"/>
      <c r="G52" s="312"/>
    </row>
    <row r="55" spans="1:7" ht="15">
      <c r="B55" s="314" t="s">
        <v>2426</v>
      </c>
      <c r="C55" s="315"/>
    </row>
    <row r="56" spans="1:7">
      <c r="B56" s="317" t="s">
        <v>1509</v>
      </c>
      <c r="C56" s="319">
        <f ca="1">1-C57</f>
        <v>0.33699999999999997</v>
      </c>
    </row>
    <row r="57" spans="1:7">
      <c r="B57" s="317" t="s">
        <v>1510</v>
      </c>
      <c r="C57" s="318">
        <f ca="1">ROUND(C51/C52,3)</f>
        <v>0.66300000000000003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5" zoomScale="85" zoomScaleNormal="85" zoomScaleSheetLayoutView="96" workbookViewId="0">
      <selection activeCell="J81" sqref="J81:N8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4096.63</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5" t="s">
        <v>2811</v>
      </c>
      <c r="B2" s="248">
        <f ca="1">C26</f>
        <v>411</v>
      </c>
      <c r="C2" s="2721" t="s">
        <v>2812</v>
      </c>
      <c r="D2" s="2722" t="s">
        <v>2813</v>
      </c>
      <c r="E2" s="2723" t="s">
        <v>6</v>
      </c>
      <c r="F2" s="2722" t="s">
        <v>2814</v>
      </c>
      <c r="G2" s="2724" t="str">
        <f>IF(E2="商业",项目基本情况!B37,IF(E2="办公",项目基本情况!C37,IF(E2="住宅",项目基本情况!D37,项目基本情况!E37)))</f>
        <v>十一级</v>
      </c>
      <c r="H2" s="2722" t="s">
        <v>2815</v>
      </c>
      <c r="I2" s="2724" t="str">
        <f>IF(E2="商业",项目基本情况!B38,IF(E2="办公",项目基本情况!C38,IF(E2="住宅",项目基本情况!D38,项目基本情况!E38)))</f>
        <v>Ⅺ-密1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1937</v>
      </c>
      <c r="U2" s="1601"/>
      <c r="V2" s="1600">
        <f ca="1">ROUND(T2*U2/10000,0)</f>
        <v>0</v>
      </c>
      <c r="W2" s="1604"/>
      <c r="X2" s="1604"/>
      <c r="Y2" s="1604"/>
      <c r="Z2" s="1604"/>
      <c r="AA2" s="1604"/>
      <c r="AB2" s="1604"/>
      <c r="AC2" s="1605"/>
      <c r="AD2" s="1606"/>
      <c r="AE2" s="1606"/>
      <c r="AF2" s="1606"/>
      <c r="AG2" s="1606"/>
      <c r="AH2" s="1606"/>
      <c r="AI2" s="1606"/>
      <c r="AJ2" s="1607"/>
    </row>
    <row r="3" spans="1:36" ht="15.75">
      <c r="A3" s="247" t="s">
        <v>2817</v>
      </c>
      <c r="B3" s="248">
        <f ca="1">ROUND(B2*10000/D1,0)</f>
        <v>1003</v>
      </c>
      <c r="C3" s="2721" t="s">
        <v>2818</v>
      </c>
      <c r="D3" s="2722" t="s">
        <v>2819</v>
      </c>
      <c r="E3" s="2727" t="s">
        <v>3071</v>
      </c>
      <c r="F3" s="2728" t="s">
        <v>2820</v>
      </c>
      <c r="G3" s="916">
        <f>IF(F3="宗地容积率",'数据-汇总表'!I4,IF(F3="估价对象容积率",'数据-汇总表'!I6,'数据-汇总表'!I7))</f>
        <v>0.65</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1"/>
      <c r="B4" s="3262"/>
      <c r="C4" s="3262"/>
      <c r="D4" s="3263"/>
      <c r="E4" s="3263"/>
      <c r="F4" s="3263"/>
      <c r="G4" s="3263"/>
      <c r="H4" s="3263"/>
      <c r="I4" s="3263"/>
      <c r="J4" s="3264"/>
      <c r="K4" s="1373"/>
      <c r="L4" s="2726" t="s">
        <v>2824</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2825</v>
      </c>
      <c r="C5" s="917">
        <f>ROUND(IF(E2="商业",IF(F16="增加",C6*C7+C16,C6*C7-C16),IF(E2="住宅",IF(F16="增加",C6*C12+C16,C6*C12-C16),IF(F16="增加",C6+C16,C6-C16))),0)</f>
        <v>500</v>
      </c>
      <c r="D5" s="1785">
        <f>ROUND(IF(F16="增加",C6+C16,C6-C16),0)</f>
        <v>500</v>
      </c>
      <c r="E5" s="1785"/>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2827</v>
      </c>
      <c r="B6" s="2740" t="s">
        <v>2828</v>
      </c>
      <c r="C6" s="918">
        <f>SUMIF(L1:L12,G2,M1:M12)</f>
        <v>460</v>
      </c>
      <c r="D6" s="2741" t="s">
        <v>2829</v>
      </c>
      <c r="E6" s="2742"/>
      <c r="F6" s="2742"/>
      <c r="G6" s="2743"/>
      <c r="H6" s="2743"/>
      <c r="I6" s="2743"/>
      <c r="J6" s="2744"/>
      <c r="K6" s="1840"/>
      <c r="L6" s="2726" t="s">
        <v>2830</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5"/>
      <c r="AD6" s="2736"/>
      <c r="AE6" s="2736"/>
      <c r="AF6" s="2736"/>
      <c r="AG6" s="2736"/>
      <c r="AH6" s="2736"/>
      <c r="AI6" s="2736"/>
      <c r="AJ6" s="2737"/>
    </row>
    <row r="7" spans="1:36" ht="24">
      <c r="A7" s="3265" t="str">
        <f>IF(E2="商业",IF(C8="不临58条商业街","",2),"")</f>
        <v/>
      </c>
      <c r="B7" s="2745" t="s">
        <v>2831</v>
      </c>
      <c r="C7" s="919" t="e">
        <f>IF(C8="不临58条商业街",1,ROUND(1+(1.6*E8+1.2*E9+0.8*E10+0.4*E11)*C9,4))</f>
        <v>#DIV/0!</v>
      </c>
      <c r="D7" s="2746" t="s">
        <v>2832</v>
      </c>
      <c r="E7" s="948"/>
      <c r="F7" s="2747"/>
      <c r="G7" s="2748"/>
      <c r="H7" s="2748"/>
      <c r="I7" s="2748"/>
      <c r="J7" s="2749"/>
      <c r="K7" s="1840"/>
      <c r="L7" s="2726" t="s">
        <v>2833</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2834</v>
      </c>
      <c r="X7" s="1602" t="str">
        <f>G2</f>
        <v>十一级</v>
      </c>
      <c r="Y7" s="1602" t="s">
        <v>2835</v>
      </c>
      <c r="Z7" s="1603">
        <f>G3</f>
        <v>0.65</v>
      </c>
      <c r="AA7" s="1604"/>
      <c r="AB7" s="1604"/>
      <c r="AC7" s="1605"/>
      <c r="AD7" s="1606"/>
      <c r="AE7" s="1606"/>
      <c r="AF7" s="1606"/>
      <c r="AG7" s="1606"/>
      <c r="AH7" s="1606"/>
      <c r="AI7" s="1606"/>
      <c r="AJ7" s="1607"/>
    </row>
    <row r="8" spans="1:36" ht="15">
      <c r="A8" s="3266"/>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58" t="s">
        <v>2839</v>
      </c>
      <c r="X8" s="3259"/>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66"/>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60"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6"/>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6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6"/>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60" t="s">
        <v>2863</v>
      </c>
      <c r="X11" s="1612" t="s">
        <v>2864</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65"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60"/>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7"/>
      <c r="B13" s="2764" t="s">
        <v>2870</v>
      </c>
      <c r="C13" s="2765" t="s">
        <v>2871</v>
      </c>
      <c r="D13" s="1806" t="s">
        <v>2872</v>
      </c>
      <c r="E13" s="1806" t="s">
        <v>2873</v>
      </c>
      <c r="F13" s="30" t="s">
        <v>2874</v>
      </c>
      <c r="G13" s="2766" t="s">
        <v>2875</v>
      </c>
      <c r="H13" s="2766" t="s">
        <v>2875</v>
      </c>
      <c r="I13" s="2766" t="s">
        <v>2875</v>
      </c>
      <c r="J13" s="2767" t="s">
        <v>2875</v>
      </c>
      <c r="K13" s="1373"/>
      <c r="L13" s="1373"/>
      <c r="M13" s="1373"/>
      <c r="N13" s="1373"/>
      <c r="O13" s="1373"/>
      <c r="P13" s="1373"/>
      <c r="Q13" s="1373"/>
      <c r="R13" s="1600">
        <v>12</v>
      </c>
      <c r="S13" s="1601"/>
      <c r="T13" s="1600">
        <f t="shared" ca="1" si="0"/>
        <v>0</v>
      </c>
      <c r="U13" s="1601"/>
      <c r="V13" s="1600">
        <f t="shared" ca="1" si="1"/>
        <v>0</v>
      </c>
      <c r="W13" s="3260"/>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67"/>
      <c r="B14" s="2768"/>
      <c r="C14" s="2769"/>
      <c r="D14" s="2770"/>
      <c r="E14" s="2770"/>
      <c r="F14" s="2771"/>
      <c r="G14" s="2772" t="s">
        <v>2876</v>
      </c>
      <c r="H14" s="2773"/>
      <c r="I14" s="2774"/>
      <c r="J14" s="2775"/>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8"/>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5" t="s">
        <v>2882</v>
      </c>
      <c r="B16" s="2745" t="s">
        <v>2883</v>
      </c>
      <c r="C16" s="1799">
        <f>ROUND(SUM(G17:J17)/C17,0)</f>
        <v>40</v>
      </c>
      <c r="D16" s="2779" t="s">
        <v>2884</v>
      </c>
      <c r="E16" s="2780" t="s">
        <v>3096</v>
      </c>
      <c r="F16" s="2781" t="s">
        <v>3097</v>
      </c>
      <c r="G16" s="2782" t="s">
        <v>3094</v>
      </c>
      <c r="H16" s="2782"/>
      <c r="I16" s="2782"/>
      <c r="J16" s="2783"/>
      <c r="K16" s="1373"/>
      <c r="L16" s="2784" t="s">
        <v>2885</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6"/>
      <c r="B17" s="2785" t="s">
        <v>2886</v>
      </c>
      <c r="C17" s="924">
        <f>SUMPRODUCT((修正!A2:A5=E2)*(修正!B1:M1=G2)*(修正!B2:M5))</f>
        <v>1</v>
      </c>
      <c r="D17" s="2786" t="s">
        <v>2887</v>
      </c>
      <c r="E17" s="923" t="str">
        <f>IF(OR(G2="八级",G2="九级",G2="十级",G2="十一级",G2="十二级"),"五通一平","七通一平")</f>
        <v>五通一平</v>
      </c>
      <c r="F17" s="924" t="s">
        <v>2888</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f>ROUND(IF(H19="按公示增长率计算",SUMPRODUCT((地价!A3:A26=YEAR(G19)&amp;"-"&amp;ROUNDUP(MONTH(G19)/3,0))*(地价!X2:AB2=E2)*(地价!X3:AB26)),IF(H19="地价指数",M20/M19,(1+I19)^O19)),4)</f>
        <v>1.3391</v>
      </c>
      <c r="D19" s="2797" t="s">
        <v>2892</v>
      </c>
      <c r="E19" s="928">
        <v>41640</v>
      </c>
      <c r="F19" s="2797" t="s">
        <v>2893</v>
      </c>
      <c r="G19" s="929">
        <f>'数据-取费表'!B2</f>
        <v>43594</v>
      </c>
      <c r="H19" s="2798" t="s">
        <v>3074</v>
      </c>
      <c r="I19" s="930" t="str">
        <f>IF(H19="季度增幅（自定义）",SUMIF(N21:N24,E2,O21:O24),"")</f>
        <v/>
      </c>
      <c r="J19" s="2795"/>
      <c r="K19" s="1380"/>
      <c r="L19" s="2799" t="s">
        <v>2894</v>
      </c>
      <c r="M19" s="1732">
        <f>ROUND(SUMIF(地价!B2:F2,E2,地价!B26:F26),0)</f>
        <v>230</v>
      </c>
      <c r="N19" s="2800"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2896</v>
      </c>
      <c r="C20" s="932">
        <f ca="1">ROUND(POWER(1+G20,J20-I20)*(POWER(1+G20,I20)-1)/(POWER(1+G20,J20)-1),4)</f>
        <v>0.96579999999999999</v>
      </c>
      <c r="D20" s="2806" t="s">
        <v>2897</v>
      </c>
      <c r="E20" s="1766">
        <f ca="1">存贷款利率!D4/100</f>
        <v>4.3499999999999997E-2</v>
      </c>
      <c r="F20" s="2806" t="s">
        <v>2889</v>
      </c>
      <c r="G20" s="937">
        <f ca="1">SUMIF(M15:P15,E2,M17:P17)</f>
        <v>4.8000000000000001E-2</v>
      </c>
      <c r="H20" s="2806" t="s">
        <v>2898</v>
      </c>
      <c r="I20" s="938">
        <f>SUMIF('数据-取费表'!C6:C15,E2,'数据-取费表'!F6:F15)/COUNTIF('数据-取费表'!C6:C15,E2)</f>
        <v>44.04</v>
      </c>
      <c r="J20" s="939">
        <f>IF(E2="住宅",70,IF(E2="商业",40,50))</f>
        <v>50</v>
      </c>
      <c r="K20" s="1380"/>
      <c r="L20" s="2807" t="s">
        <v>2899</v>
      </c>
      <c r="M20" s="1733">
        <f>ROUND(SUMPRODUCT((地价!A5:A26=YEAR(G19)&amp;"-"&amp;ROUNDUP(MONTH(G19)/3,0))*(地价!B2:F2=E2)*(地价!B5:F26)),0)</f>
        <v>308</v>
      </c>
      <c r="N20" s="2808" t="s">
        <v>2900</v>
      </c>
      <c r="O20" s="2809" t="s">
        <v>2901</v>
      </c>
      <c r="P20" s="2810" t="s">
        <v>2902</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3072</v>
      </c>
      <c r="C21" s="940">
        <f>IF(B21="容积率修正",IF(G3&lt;=10,D22,J22),C23)</f>
        <v>1.5477000000000001</v>
      </c>
      <c r="D21" s="2813"/>
      <c r="E21" s="2813"/>
      <c r="F21" s="2813"/>
      <c r="G21" s="2813"/>
      <c r="H21" s="2813"/>
      <c r="I21" s="2813"/>
      <c r="J21" s="2814"/>
      <c r="K21" s="1380"/>
      <c r="N21" s="2815" t="s">
        <v>2903</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2904</v>
      </c>
      <c r="B22" s="2816" t="s">
        <v>2905</v>
      </c>
      <c r="C22" s="1808" t="s">
        <v>2906</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5" t="s">
        <v>2907</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4" t="s">
        <v>2908</v>
      </c>
      <c r="B23" s="2817" t="s">
        <v>2909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2910</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2911</v>
      </c>
      <c r="C24" s="2968">
        <f>SUMIF(A45:A88,E2,B45:B88)</f>
        <v>1.0024999999999999</v>
      </c>
      <c r="D24" s="2793"/>
      <c r="E24" s="2823"/>
      <c r="F24" s="2823"/>
      <c r="G24" s="2823"/>
      <c r="H24" s="2823"/>
      <c r="I24" s="2823"/>
      <c r="J24" s="2824"/>
      <c r="K24" s="1380"/>
      <c r="N24" s="2825" t="s">
        <v>2912</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2913</v>
      </c>
      <c r="C25" s="933"/>
      <c r="D25" s="2748"/>
      <c r="E25" s="2748"/>
      <c r="F25" s="2827"/>
      <c r="G25" s="2748"/>
      <c r="H25" s="2748"/>
      <c r="I25" s="2748"/>
      <c r="J25" s="2749"/>
      <c r="K25" s="1373"/>
      <c r="N25" s="2828" t="s">
        <v>2914</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29"/>
      <c r="B26" s="2816" t="s">
        <v>2915</v>
      </c>
      <c r="C26" s="206">
        <f ca="1">E29+SUM(E33:E39)</f>
        <v>411</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2916</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2917</v>
      </c>
      <c r="C28" s="2840" t="s">
        <v>2918</v>
      </c>
      <c r="D28" s="2840" t="s">
        <v>2919</v>
      </c>
      <c r="E28" s="2841" t="s">
        <v>2920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2921</v>
      </c>
      <c r="C29" s="206">
        <f ca="1">ROUND(C5*C18*C19*C20*C21*C24,0)</f>
        <v>1003</v>
      </c>
      <c r="D29" s="2845">
        <f>'数据-汇总表'!F31</f>
        <v>4096.63</v>
      </c>
      <c r="E29" s="945">
        <f ca="1">ROUND(C29*D29/10000,0)</f>
        <v>411</v>
      </c>
      <c r="F29" s="2846" t="s">
        <v>2922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2923</v>
      </c>
      <c r="C30" s="229">
        <f ca="1">ROUND(IF(E2="工业",C29*M39,C29*M38),0)</f>
        <v>150</v>
      </c>
      <c r="D30" s="2851"/>
      <c r="E30" s="945">
        <f ca="1">ROUND(C30*D30/10000,0)</f>
        <v>0</v>
      </c>
      <c r="F30" s="2852" t="s">
        <v>2924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2925</v>
      </c>
      <c r="C31" s="2857" t="s">
        <v>2926</v>
      </c>
      <c r="D31" s="2761"/>
      <c r="E31" s="2857"/>
      <c r="F31" s="2857"/>
      <c r="G31" s="2759" t="s">
        <v>2927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2918</v>
      </c>
      <c r="D32" s="498" t="s">
        <v>2919</v>
      </c>
      <c r="E32" s="498" t="s">
        <v>2920</v>
      </c>
      <c r="F32" s="388" t="s">
        <v>2928</v>
      </c>
      <c r="G32" s="2860" t="s">
        <v>2918</v>
      </c>
      <c r="H32" s="2860" t="s">
        <v>2919</v>
      </c>
      <c r="I32" s="2860"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5" t="s">
        <v>2929</v>
      </c>
      <c r="B33" s="2861" t="s">
        <v>2930</v>
      </c>
      <c r="C33" s="206">
        <f ca="1">ROUND(D5*C19*C20*C24*F33,0)</f>
        <v>389</v>
      </c>
      <c r="D33" s="2845"/>
      <c r="E33" s="200">
        <f ca="1">ROUND(C33*D33/10000,0)</f>
        <v>0</v>
      </c>
      <c r="F33" s="200">
        <f>SUMIF(修正!A45:A56,G2,修正!B45:B56)</f>
        <v>0.6</v>
      </c>
      <c r="G33" s="200">
        <f ca="1">ROUND(IF(E2="工业",C33*$M$39,C33*$M$38),0)</f>
        <v>58</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65" t="s">
        <v>2931</v>
      </c>
      <c r="C34" s="206">
        <f ca="1">ROUND(D5*C19*C20*C24*F34,0)</f>
        <v>194</v>
      </c>
      <c r="D34" s="2845"/>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65" t="s">
        <v>2932</v>
      </c>
      <c r="C35" s="206">
        <f ca="1">ROUND(D5*C19*C20*C24*F35,0)</f>
        <v>130</v>
      </c>
      <c r="D35" s="2845"/>
      <c r="E35" s="200">
        <f t="shared" ca="1" si="6"/>
        <v>0</v>
      </c>
      <c r="F35" s="200">
        <f>SUMIF(修正!A45:A56,G2,修正!D45:D56)</f>
        <v>0.2</v>
      </c>
      <c r="G35" s="200">
        <f ca="1">ROUND(IF(E2="工业",C35*$M$39,C35*$M$38),0)</f>
        <v>20</v>
      </c>
      <c r="H35" s="200">
        <f t="shared" si="7"/>
        <v>0</v>
      </c>
      <c r="I35" s="200">
        <f t="shared" ca="1" si="8"/>
        <v>0</v>
      </c>
      <c r="J35" s="2862"/>
      <c r="K35" s="1373"/>
      <c r="L35" s="1373"/>
      <c r="M35" s="1373"/>
      <c r="N35" s="1373"/>
      <c r="O35" s="1373"/>
      <c r="P35" s="1373"/>
      <c r="Q35" s="1373"/>
      <c r="R35" s="1373"/>
      <c r="S35" s="1373"/>
      <c r="T35" s="1373"/>
      <c r="U35" s="1373"/>
      <c r="V35" s="1373"/>
      <c r="W35" s="1373"/>
      <c r="X35" s="1373"/>
      <c r="Y35" s="1373"/>
      <c r="Z35" s="1374"/>
    </row>
    <row r="36" spans="1:37" ht="13.5" thickBot="1">
      <c r="A36" s="3277"/>
      <c r="B36" s="2765" t="s">
        <v>2933</v>
      </c>
      <c r="C36" s="206">
        <f ca="1">ROUND(D5*C19*C20*C24*F36,0)</f>
        <v>130</v>
      </c>
      <c r="D36" s="2845"/>
      <c r="E36" s="200">
        <f t="shared" ca="1" si="6"/>
        <v>0</v>
      </c>
      <c r="F36" s="200">
        <f>SUMIF(修正!A45:A56,G2,修正!E45:E56)</f>
        <v>0.2</v>
      </c>
      <c r="G36" s="200">
        <f ca="1">ROUND(IF(E2="工业",C36*$M$39,C36*$M$38),0)</f>
        <v>20</v>
      </c>
      <c r="H36" s="200">
        <f t="shared" si="7"/>
        <v>0</v>
      </c>
      <c r="I36" s="200">
        <f t="shared" ca="1" si="8"/>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2934</v>
      </c>
      <c r="C37" s="200">
        <f ca="1">ROUND(D5*C19*C20*C24*F37,0)</f>
        <v>130</v>
      </c>
      <c r="D37" s="2845"/>
      <c r="E37" s="200">
        <f t="shared" ca="1" si="6"/>
        <v>0</v>
      </c>
      <c r="F37" s="206">
        <f>SUMIF(修正!A45:A56,G2,修正!F45:F56)</f>
        <v>0.2</v>
      </c>
      <c r="G37" s="200">
        <f ca="1">ROUND(IF(E2="工业",C37*$M$39,C37*$M$38),0)</f>
        <v>20</v>
      </c>
      <c r="H37" s="200">
        <f t="shared" si="7"/>
        <v>0</v>
      </c>
      <c r="I37" s="200">
        <f t="shared" ca="1" si="8"/>
        <v>0</v>
      </c>
      <c r="J37" s="2862"/>
      <c r="K37" s="1373"/>
      <c r="L37" s="2864" t="s">
        <v>2935</v>
      </c>
      <c r="M37" s="2865"/>
      <c r="N37" s="1373"/>
      <c r="O37" s="1373"/>
      <c r="P37" s="1373"/>
      <c r="Q37" s="1373"/>
      <c r="R37" s="1373"/>
      <c r="S37" s="1373"/>
      <c r="T37" s="1373"/>
      <c r="U37" s="1373"/>
      <c r="V37" s="1373"/>
      <c r="W37" s="1373"/>
      <c r="X37" s="1373"/>
      <c r="Y37" s="1373"/>
      <c r="Z37" s="1374"/>
    </row>
    <row r="38" spans="1:37">
      <c r="A38" s="2863"/>
      <c r="B38" s="2765" t="s">
        <v>2936</v>
      </c>
      <c r="C38" s="200">
        <f ca="1">ROUND(D5*C19*C41*C24*F38,0)</f>
        <v>0</v>
      </c>
      <c r="D38" s="2845"/>
      <c r="E38" s="200">
        <f t="shared" ca="1" si="6"/>
        <v>0</v>
      </c>
      <c r="F38" s="206">
        <f>SUMIF(修正!A45:A56,G2,修正!G45:G56)</f>
        <v>0.2</v>
      </c>
      <c r="G38" s="200">
        <f ca="1">ROUND(IF(E2="工业",C38*$M$39,C38*$M$38),0)</f>
        <v>0</v>
      </c>
      <c r="H38" s="200">
        <f t="shared" si="7"/>
        <v>0</v>
      </c>
      <c r="I38" s="200">
        <f t="shared" ca="1" si="8"/>
        <v>0</v>
      </c>
      <c r="J38" s="2862"/>
      <c r="K38" s="1373"/>
      <c r="L38" s="1885" t="s">
        <v>2937</v>
      </c>
      <c r="M38" s="2866">
        <v>0.25</v>
      </c>
      <c r="N38" s="1373"/>
      <c r="O38" s="1373"/>
      <c r="P38" s="1373"/>
      <c r="Q38" s="1373"/>
      <c r="R38" s="1373"/>
      <c r="S38" s="1373"/>
      <c r="T38" s="1373"/>
      <c r="U38" s="1373"/>
      <c r="V38" s="1373"/>
      <c r="W38" s="1373"/>
      <c r="X38" s="1373"/>
      <c r="Y38" s="1373"/>
      <c r="Z38" s="1374"/>
    </row>
    <row r="39" spans="1:37" ht="13.5" thickBot="1">
      <c r="A39" s="2849"/>
      <c r="B39" s="2867" t="s">
        <v>2938</v>
      </c>
      <c r="C39" s="229">
        <f ca="1">ROUND(D5*C19*C41*C24*F39,0)</f>
        <v>0</v>
      </c>
      <c r="D39" s="2851"/>
      <c r="E39" s="229">
        <f t="shared" ca="1" si="6"/>
        <v>0</v>
      </c>
      <c r="F39" s="935">
        <f>SUMIF(修正!A45:A56,G2,修正!H45:H56)</f>
        <v>0.15</v>
      </c>
      <c r="G39" s="229">
        <f ca="1">ROUND(IF(E2="工业",C39*$M$39,C39*$M$38),0)</f>
        <v>0</v>
      </c>
      <c r="H39" s="229">
        <f t="shared" si="7"/>
        <v>0</v>
      </c>
      <c r="I39" s="229">
        <f t="shared" ca="1" si="8"/>
        <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7" t="s">
        <v>3049</v>
      </c>
      <c r="C41" s="388">
        <f ca="1">ROUND(POWER(1+E41,H41-G41)*(POWER(1+E41,G41)-1)/(POWER(1+E41,H41)-1),4)</f>
        <v>0</v>
      </c>
      <c r="D41" s="200" t="s">
        <v>2889</v>
      </c>
      <c r="E41" s="2936">
        <f ca="1">G20</f>
        <v>4.8000000000000001E-2</v>
      </c>
      <c r="F41" s="200" t="s">
        <v>2898</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hidden="1">
      <c r="A46" s="2874" t="s">
        <v>2940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hidden="1">
      <c r="A47" s="2878" t="s">
        <v>2941</v>
      </c>
      <c r="B47" s="1807" t="s">
        <v>2942</v>
      </c>
      <c r="C47" s="1807" t="s">
        <v>2943</v>
      </c>
      <c r="D47" s="1807" t="s">
        <v>2944</v>
      </c>
      <c r="E47" s="819" t="s">
        <v>2945</v>
      </c>
      <c r="F47" s="2879" t="s">
        <v>2946</v>
      </c>
      <c r="G47" s="1807" t="s">
        <v>754</v>
      </c>
      <c r="H47" s="2880" t="s">
        <v>2947</v>
      </c>
      <c r="I47" s="1807"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hidden="1">
      <c r="A48" s="2878" t="s">
        <v>2949</v>
      </c>
      <c r="B48" s="2881" t="str">
        <f>估价对象房地状况!C4</f>
        <v>估价对象位于XX商圈，周边商业氛围成熟，人流量大，商业繁华度好</v>
      </c>
      <c r="C48" s="2770"/>
      <c r="D48" s="1289">
        <f t="shared" ref="D48:D56" si="9">SUMIF($J$47:$N$47,C48,J48:N48)</f>
        <v>0</v>
      </c>
      <c r="E48" s="821">
        <f>ROUND(SUM(D48:D56),4)</f>
        <v>0</v>
      </c>
      <c r="F48" s="2501"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78" t="s">
        <v>2950</v>
      </c>
      <c r="B49" s="2882" t="str">
        <f>估价对象房地状况!C18</f>
        <v>估价对象周边道路状况、公共交通通达情况、停车便捷程度，综合评价交通便捷度较好</v>
      </c>
      <c r="C49" s="2770"/>
      <c r="D49" s="1289">
        <f t="shared" si="9"/>
        <v>0</v>
      </c>
      <c r="E49" s="822"/>
      <c r="F49" s="2501"/>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78" t="s">
        <v>2951</v>
      </c>
      <c r="B50" s="2882">
        <f>估价对象房地状况!C19</f>
        <v>0</v>
      </c>
      <c r="C50" s="2770"/>
      <c r="D50" s="1289">
        <f t="shared" si="9"/>
        <v>0</v>
      </c>
      <c r="E50" s="822"/>
      <c r="F50" s="2501"/>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78" t="s">
        <v>2952</v>
      </c>
      <c r="B51" s="2883" t="s">
        <v>2953</v>
      </c>
      <c r="C51" s="2770"/>
      <c r="D51" s="1289">
        <f t="shared" si="9"/>
        <v>0</v>
      </c>
      <c r="E51" s="822"/>
      <c r="F51" s="2501"/>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78" t="s">
        <v>2954</v>
      </c>
      <c r="B52" s="2882">
        <f>估价对象房地状况!C24</f>
        <v>0</v>
      </c>
      <c r="C52" s="2770"/>
      <c r="D52" s="1289">
        <f t="shared" si="9"/>
        <v>0</v>
      </c>
      <c r="E52" s="822"/>
      <c r="F52" s="2501"/>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78" t="s">
        <v>2955</v>
      </c>
      <c r="B53" s="2884" t="s">
        <v>2956</v>
      </c>
      <c r="C53" s="2770"/>
      <c r="D53" s="1289">
        <f t="shared" si="9"/>
        <v>0</v>
      </c>
      <c r="E53" s="822"/>
      <c r="F53" s="2501"/>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5" t="s">
        <v>2957</v>
      </c>
      <c r="B54" s="1723" t="str">
        <f>估价对象房地状况!C21</f>
        <v>估价对象所在区域公共配套设施齐备情况</v>
      </c>
      <c r="C54" s="2770"/>
      <c r="D54" s="1289">
        <f t="shared" si="9"/>
        <v>0</v>
      </c>
      <c r="E54" s="822"/>
      <c r="F54" s="2501"/>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5" t="s">
        <v>2958</v>
      </c>
      <c r="B55" s="2882" t="str">
        <f>估价对象房地状况!C22</f>
        <v>估价对象所在区域基础设施水平</v>
      </c>
      <c r="C55" s="2770"/>
      <c r="D55" s="1289">
        <f t="shared" si="9"/>
        <v>0</v>
      </c>
      <c r="E55" s="822"/>
      <c r="F55" s="2501"/>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6" t="s">
        <v>2959</v>
      </c>
      <c r="B56" s="2887" t="str">
        <f>估价对象房地状况!C20</f>
        <v>区域自然环境：；人文环境；综合评价环境状况一般</v>
      </c>
      <c r="C56" s="2770"/>
      <c r="D56" s="1289">
        <f t="shared" si="9"/>
        <v>0</v>
      </c>
      <c r="E56" s="825"/>
      <c r="F56" s="2501"/>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4" t="s">
        <v>2960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8" t="s">
        <v>2941</v>
      </c>
      <c r="B58" s="1807"/>
      <c r="C58" s="1807" t="s">
        <v>2943</v>
      </c>
      <c r="D58" s="1807" t="s">
        <v>2944</v>
      </c>
      <c r="E58" s="819" t="s">
        <v>2945</v>
      </c>
      <c r="F58" s="2879" t="s">
        <v>2961</v>
      </c>
      <c r="G58" s="1807" t="s">
        <v>754</v>
      </c>
      <c r="H58" s="2880" t="s">
        <v>2947</v>
      </c>
      <c r="I58" s="1807"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hidden="1">
      <c r="A59" s="2878" t="s">
        <v>2962</v>
      </c>
      <c r="B59" s="2881" t="str">
        <f>估价对象房地状况!C17</f>
        <v>估价对象位于XX商圈，周边办公楼项目较多，入驻率高，办公集聚程度较好</v>
      </c>
      <c r="C59" s="2770"/>
      <c r="D59" s="1289">
        <f t="shared" ref="D59:D67" si="14">SUMIF($J$58:$N$58,C59,J59:N59)</f>
        <v>0</v>
      </c>
      <c r="E59" s="821">
        <f>ROUND(SUM(D59:D67),4)</f>
        <v>0</v>
      </c>
      <c r="F59" s="2501"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78" t="s">
        <v>2950</v>
      </c>
      <c r="B60" s="2882" t="str">
        <f>估价对象房地状况!C18</f>
        <v>估价对象周边道路状况、公共交通通达情况、停车便捷程度，综合评价交通便捷度较好</v>
      </c>
      <c r="C60" s="2770"/>
      <c r="D60" s="1289">
        <f t="shared" si="14"/>
        <v>0</v>
      </c>
      <c r="E60" s="822"/>
      <c r="F60" s="2501"/>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78" t="s">
        <v>2951</v>
      </c>
      <c r="B61" s="2882">
        <f>估价对象房地状况!C19</f>
        <v>0</v>
      </c>
      <c r="C61" s="2770"/>
      <c r="D61" s="1289">
        <f t="shared" si="14"/>
        <v>0</v>
      </c>
      <c r="E61" s="822"/>
      <c r="F61" s="2501"/>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78" t="s">
        <v>2952</v>
      </c>
      <c r="B62" s="2883" t="s">
        <v>2953</v>
      </c>
      <c r="C62" s="2770"/>
      <c r="D62" s="1289">
        <f t="shared" si="14"/>
        <v>0</v>
      </c>
      <c r="E62" s="822"/>
      <c r="F62" s="2501"/>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78" t="s">
        <v>2954</v>
      </c>
      <c r="B63" s="2882">
        <f>估价对象房地状况!C24</f>
        <v>0</v>
      </c>
      <c r="C63" s="2770"/>
      <c r="D63" s="1289">
        <f t="shared" si="14"/>
        <v>0</v>
      </c>
      <c r="E63" s="822"/>
      <c r="F63" s="2501"/>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78" t="s">
        <v>2955</v>
      </c>
      <c r="B64" s="2884" t="s">
        <v>2956</v>
      </c>
      <c r="C64" s="2770"/>
      <c r="D64" s="1289">
        <f t="shared" si="14"/>
        <v>0</v>
      </c>
      <c r="E64" s="822"/>
      <c r="F64" s="2501"/>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78" t="s">
        <v>2957</v>
      </c>
      <c r="B65" s="1723" t="str">
        <f>估价对象房地状况!C21</f>
        <v>估价对象所在区域公共配套设施齐备情况</v>
      </c>
      <c r="C65" s="2770"/>
      <c r="D65" s="1289">
        <f t="shared" si="14"/>
        <v>0</v>
      </c>
      <c r="E65" s="822"/>
      <c r="F65" s="2501"/>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78" t="s">
        <v>2958</v>
      </c>
      <c r="B66" s="1723" t="str">
        <f>估价对象房地状况!C22</f>
        <v>估价对象所在区域基础设施水平</v>
      </c>
      <c r="C66" s="2770"/>
      <c r="D66" s="1289">
        <f t="shared" si="14"/>
        <v>0</v>
      </c>
      <c r="E66" s="822"/>
      <c r="F66" s="2501"/>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6" t="s">
        <v>2959</v>
      </c>
      <c r="B67" s="2888" t="str">
        <f>估价对象房地状况!C20</f>
        <v>区域自然环境：；人文环境；综合评价环境状况一般</v>
      </c>
      <c r="C67" s="2770"/>
      <c r="D67" s="1289">
        <f t="shared" si="14"/>
        <v>0</v>
      </c>
      <c r="E67" s="825"/>
      <c r="F67" s="2501"/>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4" t="s">
        <v>2963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8" t="s">
        <v>2941</v>
      </c>
      <c r="B69" s="1807"/>
      <c r="C69" s="1807" t="s">
        <v>2943</v>
      </c>
      <c r="D69" s="1807" t="s">
        <v>2944</v>
      </c>
      <c r="E69" s="819" t="s">
        <v>2945</v>
      </c>
      <c r="F69" s="2879" t="s">
        <v>2961</v>
      </c>
      <c r="G69" s="1807" t="s">
        <v>754</v>
      </c>
      <c r="H69" s="2880" t="s">
        <v>2947</v>
      </c>
      <c r="I69" s="1807"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hidden="1">
      <c r="A70" s="2878" t="s">
        <v>2964</v>
      </c>
      <c r="B70" s="2881" t="str">
        <f>估价对象房地状况!C15</f>
        <v>估价对象周边居住用地比例、居住小区规模和社区发展完善程度，综合评价居住社区成熟度一般</v>
      </c>
      <c r="C70" s="2770"/>
      <c r="D70" s="1289">
        <f t="shared" ref="D70:D78" si="19">SUMIF($J$69:$N$69,C70,J70:N70)</f>
        <v>0</v>
      </c>
      <c r="E70" s="821">
        <f>ROUND(SUM(D70:D78),4)</f>
        <v>0</v>
      </c>
      <c r="F70" s="2501"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78" t="s">
        <v>2950</v>
      </c>
      <c r="B71" s="2882" t="str">
        <f>估价对象房地状况!C18</f>
        <v>估价对象周边道路状况、公共交通通达情况、停车便捷程度，综合评价交通便捷度较好</v>
      </c>
      <c r="C71" s="2770"/>
      <c r="D71" s="1289">
        <f t="shared" si="19"/>
        <v>0</v>
      </c>
      <c r="E71" s="826"/>
      <c r="F71" s="2501"/>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78" t="s">
        <v>2951</v>
      </c>
      <c r="B72" s="2882">
        <f>估价对象房地状况!C19</f>
        <v>0</v>
      </c>
      <c r="C72" s="2770"/>
      <c r="D72" s="1289">
        <f t="shared" si="19"/>
        <v>0</v>
      </c>
      <c r="E72" s="826"/>
      <c r="F72" s="2501"/>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78" t="s">
        <v>2965</v>
      </c>
      <c r="B73" s="2882">
        <f>估价对象房地状况!C24</f>
        <v>0</v>
      </c>
      <c r="C73" s="2770"/>
      <c r="D73" s="1289">
        <f t="shared" si="19"/>
        <v>0</v>
      </c>
      <c r="E73" s="826"/>
      <c r="F73" s="2501"/>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78" t="s">
        <v>2957</v>
      </c>
      <c r="B74" s="1723" t="str">
        <f>估价对象房地状况!C21</f>
        <v>估价对象所在区域公共配套设施齐备情况</v>
      </c>
      <c r="C74" s="2770"/>
      <c r="D74" s="1289">
        <f t="shared" si="19"/>
        <v>0</v>
      </c>
      <c r="E74" s="826"/>
      <c r="F74" s="2501"/>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78" t="s">
        <v>2958</v>
      </c>
      <c r="B75" s="1723" t="str">
        <f>估价对象房地状况!C22</f>
        <v>估价对象所在区域基础设施水平</v>
      </c>
      <c r="C75" s="2770"/>
      <c r="D75" s="1289">
        <f t="shared" si="19"/>
        <v>0</v>
      </c>
      <c r="E75" s="826"/>
      <c r="F75" s="2501"/>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19" customFormat="1" ht="24" hidden="1">
      <c r="A76" s="2878" t="s">
        <v>2955</v>
      </c>
      <c r="B76" s="2884" t="s">
        <v>2956</v>
      </c>
      <c r="C76" s="2770"/>
      <c r="D76" s="1289">
        <f t="shared" si="19"/>
        <v>0</v>
      </c>
      <c r="E76" s="826"/>
      <c r="F76" s="2501"/>
      <c r="G76" s="1287"/>
      <c r="H76" s="1291" t="str">
        <f t="shared" si="20"/>
        <v>——</v>
      </c>
      <c r="I76" s="820">
        <v>0.05</v>
      </c>
      <c r="J76" s="1288">
        <f t="shared" si="21"/>
        <v>0</v>
      </c>
      <c r="K76" s="1288">
        <f t="shared" si="22"/>
        <v>0</v>
      </c>
      <c r="L76" s="1288">
        <v>0</v>
      </c>
      <c r="M76" s="1288">
        <f t="shared" si="23"/>
        <v>0</v>
      </c>
      <c r="N76" s="1288">
        <f t="shared" si="23"/>
        <v>0</v>
      </c>
      <c r="AA76" s="2889"/>
      <c r="AB76" s="1374"/>
      <c r="AC76" s="1374"/>
      <c r="AD76" s="1374"/>
      <c r="AE76" s="1374"/>
      <c r="AF76" s="1374"/>
      <c r="AG76" s="1374"/>
      <c r="AH76" s="2889"/>
      <c r="AI76" s="2889"/>
      <c r="AJ76" s="2889"/>
      <c r="AK76" s="2889"/>
    </row>
    <row r="77" spans="1:37" ht="38.25" hidden="1">
      <c r="A77" s="2878" t="s">
        <v>2959</v>
      </c>
      <c r="B77" s="2881" t="str">
        <f>估价对象房地状况!C20</f>
        <v>区域自然环境：；人文环境；综合评价环境状况一般</v>
      </c>
      <c r="C77" s="2770"/>
      <c r="D77" s="1289">
        <f t="shared" si="19"/>
        <v>0</v>
      </c>
      <c r="E77" s="826"/>
      <c r="F77" s="2501"/>
      <c r="G77" s="1287"/>
      <c r="H77" s="1291" t="str">
        <f t="shared" si="20"/>
        <v>——</v>
      </c>
      <c r="I77" s="820">
        <v>0.15</v>
      </c>
      <c r="J77" s="1288">
        <f t="shared" si="21"/>
        <v>0</v>
      </c>
      <c r="K77" s="1288">
        <f t="shared" si="22"/>
        <v>0</v>
      </c>
      <c r="L77" s="1288">
        <v>0</v>
      </c>
      <c r="M77" s="1288">
        <f t="shared" si="23"/>
        <v>0</v>
      </c>
      <c r="N77" s="1288">
        <f t="shared" si="23"/>
        <v>0</v>
      </c>
      <c r="Z77" s="2720"/>
      <c r="AA77" s="2796"/>
      <c r="AG77" s="1375"/>
      <c r="AK77" s="2796"/>
    </row>
    <row r="78" spans="1:37" ht="24.75" hidden="1" thickBot="1">
      <c r="A78" s="2886" t="s">
        <v>2966</v>
      </c>
      <c r="B78" s="2890"/>
      <c r="C78" s="2770"/>
      <c r="D78" s="1289">
        <f t="shared" si="19"/>
        <v>0</v>
      </c>
      <c r="E78" s="827"/>
      <c r="F78" s="2501"/>
      <c r="G78" s="1287"/>
      <c r="H78" s="1291" t="str">
        <f t="shared" si="20"/>
        <v>——</v>
      </c>
      <c r="I78" s="824">
        <v>0.04</v>
      </c>
      <c r="J78" s="1288">
        <f t="shared" si="21"/>
        <v>0</v>
      </c>
      <c r="K78" s="1288">
        <f t="shared" si="22"/>
        <v>0</v>
      </c>
      <c r="L78" s="1288">
        <v>0</v>
      </c>
      <c r="M78" s="1288">
        <f t="shared" si="23"/>
        <v>0</v>
      </c>
      <c r="N78" s="1288">
        <f t="shared" si="23"/>
        <v>0</v>
      </c>
      <c r="Z78" s="2720"/>
      <c r="AA78" s="2796"/>
      <c r="AG78" s="1375"/>
      <c r="AK78" s="2796"/>
    </row>
    <row r="79" spans="1:37" ht="15">
      <c r="A79" s="2874" t="s">
        <v>2967</v>
      </c>
      <c r="B79" s="2875">
        <f>1+E81</f>
        <v>1.0024999999999999</v>
      </c>
      <c r="C79" s="814"/>
      <c r="D79" s="814"/>
      <c r="E79" s="815"/>
      <c r="F79" s="2877"/>
      <c r="G79" s="6"/>
      <c r="H79" s="6"/>
      <c r="I79" s="6"/>
      <c r="J79" s="7"/>
      <c r="K79" s="7"/>
      <c r="L79" s="7"/>
      <c r="M79" s="7"/>
      <c r="N79" s="7"/>
      <c r="Z79" s="2720"/>
      <c r="AA79" s="2796"/>
      <c r="AG79" s="1375"/>
      <c r="AK79" s="2796"/>
    </row>
    <row r="80" spans="1:37" ht="24.75">
      <c r="A80" s="2878" t="s">
        <v>2941</v>
      </c>
      <c r="B80" s="1807"/>
      <c r="C80" s="1807" t="s">
        <v>2943</v>
      </c>
      <c r="D80" s="1807" t="s">
        <v>2944</v>
      </c>
      <c r="E80" s="819" t="s">
        <v>2945</v>
      </c>
      <c r="F80" s="2879" t="s">
        <v>2961</v>
      </c>
      <c r="G80" s="1807" t="s">
        <v>754</v>
      </c>
      <c r="H80" s="2880" t="s">
        <v>2947</v>
      </c>
      <c r="I80" s="1807" t="s">
        <v>2948</v>
      </c>
      <c r="J80" s="603" t="s">
        <v>2596</v>
      </c>
      <c r="K80" s="603" t="s">
        <v>2597</v>
      </c>
      <c r="L80" s="603" t="s">
        <v>2598</v>
      </c>
      <c r="M80" s="603" t="s">
        <v>2599</v>
      </c>
      <c r="N80" s="603" t="s">
        <v>2600</v>
      </c>
      <c r="Z80" s="2720"/>
      <c r="AA80" s="2796"/>
      <c r="AG80" s="1375"/>
      <c r="AK80" s="2796"/>
    </row>
    <row r="81" spans="1:37" ht="38.25">
      <c r="A81" s="2878" t="s">
        <v>2968</v>
      </c>
      <c r="B81" s="2882" t="str">
        <f>估价对象房地状况!G15</f>
        <v>估价对象位密云科技开发区，园区建设成熟度较高，产业集聚程度较好</v>
      </c>
      <c r="C81" s="2770" t="s">
        <v>3082</v>
      </c>
      <c r="D81" s="1289">
        <f t="shared" ref="D81:D88" si="24">SUMIF($J$80:$N$80,C81,J81:N81)</f>
        <v>1.1999999999999999E-3</v>
      </c>
      <c r="E81" s="821">
        <f>ROUND(SUM(D81:D88),4)</f>
        <v>2.5000000000000001E-3</v>
      </c>
      <c r="F81" s="2501">
        <f>IF(E2="工业",SUMIF(L1:L12,G2,N1:N12),"——")</f>
        <v>0.14099999999999999</v>
      </c>
      <c r="G81" s="2953">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0"/>
      <c r="AA81" s="2796"/>
      <c r="AG81" s="1375"/>
      <c r="AK81" s="2796"/>
    </row>
    <row r="82" spans="1:37" ht="51">
      <c r="A82" s="2878" t="s">
        <v>2950</v>
      </c>
      <c r="B82" s="2882" t="str">
        <f>估价对象房地状况!G16</f>
        <v>估价对象周边道路状况较好、公共交通通达情况一般、停车便捷程度一般，综合评价交通便捷度一般</v>
      </c>
      <c r="C82" s="2770" t="s">
        <v>3083</v>
      </c>
      <c r="D82" s="1289">
        <f t="shared" si="24"/>
        <v>0</v>
      </c>
      <c r="E82" s="826"/>
      <c r="F82" s="2501"/>
      <c r="G82" s="2953">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0"/>
      <c r="AA82" s="2796"/>
      <c r="AG82" s="1375"/>
      <c r="AK82" s="2796"/>
    </row>
    <row r="83" spans="1:37" ht="24">
      <c r="A83" s="2878" t="s">
        <v>2951</v>
      </c>
      <c r="B83" s="2882">
        <f>估价对象房地状况!G17</f>
        <v>0</v>
      </c>
      <c r="C83" s="2770" t="s">
        <v>3082</v>
      </c>
      <c r="D83" s="1289">
        <f t="shared" si="24"/>
        <v>2.0000000000000001E-4</v>
      </c>
      <c r="E83" s="826"/>
      <c r="F83" s="2501"/>
      <c r="G83" s="2953">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0"/>
      <c r="AA83" s="2796"/>
      <c r="AG83" s="1375"/>
      <c r="AK83" s="2796"/>
    </row>
    <row r="84" spans="1:37" ht="14.25">
      <c r="A84" s="2878" t="s">
        <v>2965</v>
      </c>
      <c r="B84" s="2882">
        <f>估价对象房地状况!G22</f>
        <v>0</v>
      </c>
      <c r="C84" s="2770" t="s">
        <v>3083</v>
      </c>
      <c r="D84" s="1289">
        <f t="shared" si="24"/>
        <v>0</v>
      </c>
      <c r="E84" s="826"/>
      <c r="F84" s="2501"/>
      <c r="G84" s="2953">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0"/>
      <c r="AA84" s="2796"/>
      <c r="AG84" s="1375"/>
      <c r="AK84" s="2796"/>
    </row>
    <row r="85" spans="1:37" ht="25.5">
      <c r="A85" s="2878" t="s">
        <v>2957</v>
      </c>
      <c r="B85" s="1723" t="str">
        <f>估价对象房地状况!G19</f>
        <v>估价对象所在区域公共配套设施齐备情况一般</v>
      </c>
      <c r="C85" s="2770" t="s">
        <v>3083</v>
      </c>
      <c r="D85" s="1289">
        <f t="shared" si="24"/>
        <v>0</v>
      </c>
      <c r="E85" s="826"/>
      <c r="F85" s="2501"/>
      <c r="G85" s="2953">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0"/>
      <c r="AA85" s="2796"/>
      <c r="AG85" s="1375"/>
      <c r="AK85" s="2796"/>
    </row>
    <row r="86" spans="1:37" ht="25.5">
      <c r="A86" s="2878" t="s">
        <v>2958</v>
      </c>
      <c r="B86" s="1723" t="str">
        <f>估价对象房地状况!G20</f>
        <v>估价对象所在区域基础设施水平-六通</v>
      </c>
      <c r="C86" s="2770" t="s">
        <v>3082</v>
      </c>
      <c r="D86" s="1289">
        <f t="shared" si="24"/>
        <v>6.9999999999999999E-4</v>
      </c>
      <c r="E86" s="826"/>
      <c r="F86" s="2501"/>
      <c r="G86" s="2953">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0"/>
      <c r="AA86" s="2796"/>
      <c r="AG86" s="1375"/>
      <c r="AK86" s="2796"/>
    </row>
    <row r="87" spans="1:37" ht="24">
      <c r="A87" s="2878" t="s">
        <v>2955</v>
      </c>
      <c r="B87" s="2884" t="s">
        <v>2969</v>
      </c>
      <c r="C87" s="2770" t="s">
        <v>3082</v>
      </c>
      <c r="D87" s="1289">
        <f t="shared" si="24"/>
        <v>2.0000000000000001E-4</v>
      </c>
      <c r="E87" s="826"/>
      <c r="F87" s="2501"/>
      <c r="G87" s="2953">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0"/>
      <c r="AA87" s="2796"/>
      <c r="AG87" s="1375"/>
      <c r="AK87" s="2796"/>
    </row>
    <row r="88" spans="1:37" ht="51.75" thickBot="1">
      <c r="A88" s="2886" t="s">
        <v>2970</v>
      </c>
      <c r="B88" s="2891" t="str">
        <f>估价对象房地状况!G18</f>
        <v>该园区内没有污染型企业，绿化情况较好，卫生条件较好，整体环境状况较好</v>
      </c>
      <c r="C88" s="2770" t="s">
        <v>3082</v>
      </c>
      <c r="D88" s="1289">
        <f t="shared" si="24"/>
        <v>2.0000000000000001E-4</v>
      </c>
      <c r="E88" s="827"/>
      <c r="F88" s="2501"/>
      <c r="G88" s="2953">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0"/>
      <c r="AA88" s="2796"/>
      <c r="AG88" s="1375"/>
      <c r="AK88" s="2796"/>
    </row>
    <row r="90" spans="1:37">
      <c r="A90" s="3269" t="s">
        <v>2971</v>
      </c>
      <c r="B90" s="3269"/>
      <c r="C90" s="3269"/>
      <c r="D90" s="3269"/>
      <c r="E90" s="3269"/>
      <c r="F90" s="3269"/>
      <c r="G90" s="3269"/>
      <c r="H90" s="3269"/>
      <c r="I90" s="3269"/>
      <c r="J90" s="3269"/>
      <c r="K90" s="2892"/>
      <c r="L90" s="2892"/>
      <c r="M90" s="2892"/>
      <c r="N90" s="2892"/>
    </row>
    <row r="91" spans="1:37">
      <c r="A91" s="3271" t="s">
        <v>2972</v>
      </c>
      <c r="B91" s="3271" t="s">
        <v>2973</v>
      </c>
      <c r="C91" s="2846" t="s">
        <v>2974</v>
      </c>
      <c r="D91" s="2847"/>
      <c r="E91" s="2847"/>
      <c r="F91" s="2847"/>
      <c r="G91" s="2847"/>
      <c r="H91" s="2847"/>
      <c r="I91" s="2847"/>
      <c r="J91" s="2893"/>
      <c r="K91" s="2894"/>
      <c r="L91" s="2894"/>
      <c r="M91" s="2894"/>
      <c r="N91" s="2894"/>
    </row>
    <row r="92" spans="1:37">
      <c r="A92" s="3271"/>
      <c r="B92" s="3271"/>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2" t="s">
        <v>2975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3"/>
      <c r="B99" s="2895" t="s">
        <v>2856</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27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2" t="s">
        <v>2976</v>
      </c>
      <c r="B101" s="2899" t="s">
        <v>2977</v>
      </c>
      <c r="C101" s="2900">
        <f>$G$3</f>
        <v>0.65</v>
      </c>
      <c r="D101" s="2900">
        <f t="shared" ref="D101:N101" si="30">$G$3</f>
        <v>0.65</v>
      </c>
      <c r="E101" s="2900">
        <f t="shared" si="30"/>
        <v>0.65</v>
      </c>
      <c r="F101" s="2900">
        <f t="shared" si="30"/>
        <v>0.65</v>
      </c>
      <c r="G101" s="2900">
        <f t="shared" si="30"/>
        <v>0.65</v>
      </c>
      <c r="H101" s="2900">
        <f t="shared" si="30"/>
        <v>0.65</v>
      </c>
      <c r="I101" s="2900">
        <f t="shared" si="30"/>
        <v>0.65</v>
      </c>
      <c r="J101" s="2900">
        <f t="shared" si="30"/>
        <v>0.65</v>
      </c>
      <c r="K101" s="2900">
        <f t="shared" si="30"/>
        <v>0.65</v>
      </c>
      <c r="L101" s="2900">
        <f t="shared" si="30"/>
        <v>0.65</v>
      </c>
      <c r="M101" s="2900">
        <f t="shared" si="30"/>
        <v>0.65</v>
      </c>
      <c r="N101" s="2900">
        <f t="shared" si="30"/>
        <v>0.65</v>
      </c>
    </row>
    <row r="102" spans="1:14">
      <c r="A102" s="3273"/>
      <c r="B102" s="2895">
        <v>1</v>
      </c>
      <c r="C102" s="2896">
        <f>1.9362/C101</f>
        <v>2.9787692307692306</v>
      </c>
      <c r="D102" s="2896">
        <f>1.9362/D101</f>
        <v>2.9787692307692306</v>
      </c>
      <c r="E102" s="2896">
        <f>1.8629/E101</f>
        <v>2.8660000000000001</v>
      </c>
      <c r="F102" s="2896">
        <f>1.8629/F101</f>
        <v>2.8660000000000001</v>
      </c>
      <c r="G102" s="2896">
        <f>1.8629/G101</f>
        <v>2.8660000000000001</v>
      </c>
      <c r="H102" s="2896">
        <f>1.8629/H101</f>
        <v>2.8660000000000001</v>
      </c>
      <c r="I102" s="2896">
        <f>1.8629/I101</f>
        <v>2.8660000000000001</v>
      </c>
      <c r="J102" s="2896">
        <f>1.942/J101</f>
        <v>2.9876923076923076</v>
      </c>
      <c r="K102" s="2896">
        <f>1.942/K101</f>
        <v>2.9876923076923076</v>
      </c>
      <c r="L102" s="2896">
        <f>1.942/L101</f>
        <v>2.9876923076923076</v>
      </c>
      <c r="M102" s="2896">
        <f>1.942/M101</f>
        <v>2.9876923076923076</v>
      </c>
      <c r="N102" s="2896">
        <f>1.942/N101</f>
        <v>2.9876923076923076</v>
      </c>
    </row>
    <row r="103" spans="1:14">
      <c r="A103" s="3273"/>
      <c r="B103" s="2895">
        <v>2</v>
      </c>
      <c r="C103" s="2896">
        <f>1.4198/C101</f>
        <v>2.1843076923076921</v>
      </c>
      <c r="D103" s="2896">
        <f>1.4198/D101</f>
        <v>2.1843076923076921</v>
      </c>
      <c r="E103" s="2896">
        <f>1.3372/E101</f>
        <v>2.057230769230769</v>
      </c>
      <c r="F103" s="2896">
        <f>1.3372/F101</f>
        <v>2.057230769230769</v>
      </c>
      <c r="G103" s="2896">
        <f>1.3372/G101</f>
        <v>2.057230769230769</v>
      </c>
      <c r="H103" s="2896">
        <f>1.3372/H101</f>
        <v>2.057230769230769</v>
      </c>
      <c r="I103" s="2896">
        <f>1.3372/I101</f>
        <v>2.057230769230769</v>
      </c>
      <c r="J103" s="2896">
        <f>1.2799/J101</f>
        <v>1.9690769230769232</v>
      </c>
      <c r="K103" s="2896">
        <f>1.2799/K101</f>
        <v>1.9690769230769232</v>
      </c>
      <c r="L103" s="2896">
        <f>1.2799/L101</f>
        <v>1.9690769230769232</v>
      </c>
      <c r="M103" s="2896">
        <f>1.2799/M101</f>
        <v>1.9690769230769232</v>
      </c>
      <c r="N103" s="2896">
        <f>1.2799/N101</f>
        <v>1.9690769230769232</v>
      </c>
    </row>
    <row r="104" spans="1:14">
      <c r="A104" s="3273"/>
      <c r="B104" s="2895">
        <v>3</v>
      </c>
      <c r="C104" s="2896">
        <f>1.1594/C101</f>
        <v>1.7836923076923077</v>
      </c>
      <c r="D104" s="2896">
        <f>1.1594/D101</f>
        <v>1.7836923076923077</v>
      </c>
      <c r="E104" s="2896">
        <f>1.0788/E101</f>
        <v>1.6596923076923076</v>
      </c>
      <c r="F104" s="2896">
        <f>1.0788/F101</f>
        <v>1.6596923076923076</v>
      </c>
      <c r="G104" s="2896">
        <f>1.0788/G101</f>
        <v>1.6596923076923076</v>
      </c>
      <c r="H104" s="2896">
        <f>1.0788/H101</f>
        <v>1.6596923076923076</v>
      </c>
      <c r="I104" s="2896">
        <f>1.0788/I101</f>
        <v>1.6596923076923076</v>
      </c>
      <c r="J104" s="2896">
        <f>1.0072/J101</f>
        <v>1.5495384615384615</v>
      </c>
      <c r="K104" s="2896">
        <f>1.0072/K101</f>
        <v>1.5495384615384615</v>
      </c>
      <c r="L104" s="2896">
        <f>1.0072/L101</f>
        <v>1.5495384615384615</v>
      </c>
      <c r="M104" s="2896">
        <f>1.0072/M101</f>
        <v>1.5495384615384615</v>
      </c>
      <c r="N104" s="2896">
        <f>1.0072/N101</f>
        <v>1.5495384615384615</v>
      </c>
    </row>
    <row r="105" spans="1:14">
      <c r="A105" s="3273"/>
      <c r="B105" s="2895">
        <v>4</v>
      </c>
      <c r="C105" s="2896">
        <f>0.9622/C101</f>
        <v>1.4803076923076923</v>
      </c>
      <c r="D105" s="2896">
        <f>0.9622/D101</f>
        <v>1.4803076923076923</v>
      </c>
      <c r="E105" s="2896">
        <f>0.8656/E101</f>
        <v>1.3316923076923077</v>
      </c>
      <c r="F105" s="2896">
        <f>0.8656/F101</f>
        <v>1.3316923076923077</v>
      </c>
      <c r="G105" s="2896">
        <f>0.8656/G101</f>
        <v>1.3316923076923077</v>
      </c>
      <c r="H105" s="2896">
        <f>0.8656/H101</f>
        <v>1.3316923076923077</v>
      </c>
      <c r="I105" s="2896">
        <f>0.8656/I101</f>
        <v>1.3316923076923077</v>
      </c>
      <c r="J105" s="2896">
        <f>0.7525/J101</f>
        <v>1.1576923076923076</v>
      </c>
      <c r="K105" s="2896">
        <f>0.7525/K101</f>
        <v>1.1576923076923076</v>
      </c>
      <c r="L105" s="2896">
        <f>0.7525/L101</f>
        <v>1.1576923076923076</v>
      </c>
      <c r="M105" s="2896">
        <f>0.7525/M101</f>
        <v>1.1576923076923076</v>
      </c>
      <c r="N105" s="2896">
        <f>0.7525/N101</f>
        <v>1.1576923076923076</v>
      </c>
    </row>
    <row r="106" spans="1:14">
      <c r="A106" s="3273"/>
      <c r="B106" s="2895">
        <v>5</v>
      </c>
      <c r="C106" s="2896">
        <f>0.8417/C101</f>
        <v>1.2949230769230768</v>
      </c>
      <c r="D106" s="2896">
        <f>0.8417/D101</f>
        <v>1.2949230769230768</v>
      </c>
      <c r="E106" s="2896">
        <f>0.7371/E101</f>
        <v>1.1339999999999999</v>
      </c>
      <c r="F106" s="2896">
        <f>0.7371/F101</f>
        <v>1.1339999999999999</v>
      </c>
      <c r="G106" s="2896">
        <f>0.7371/G101</f>
        <v>1.1339999999999999</v>
      </c>
      <c r="H106" s="2896">
        <f>0.7371/H101</f>
        <v>1.1339999999999999</v>
      </c>
      <c r="I106" s="2896">
        <f>0.7371/I101</f>
        <v>1.1339999999999999</v>
      </c>
      <c r="J106" s="2896">
        <f>0.5659/J101</f>
        <v>0.87061538461538457</v>
      </c>
      <c r="K106" s="2896">
        <f>0.5659/K101</f>
        <v>0.87061538461538457</v>
      </c>
      <c r="L106" s="2896">
        <f>0.5659/L101</f>
        <v>0.87061538461538457</v>
      </c>
      <c r="M106" s="2896">
        <f>0.5659/M101</f>
        <v>0.87061538461538457</v>
      </c>
      <c r="N106" s="2896">
        <f>0.5659/N101</f>
        <v>0.87061538461538457</v>
      </c>
    </row>
    <row r="107" spans="1:14">
      <c r="A107" s="3273"/>
      <c r="B107" s="2895">
        <v>6</v>
      </c>
      <c r="C107" s="2896">
        <f>0.7608/C101</f>
        <v>1.1704615384615384</v>
      </c>
      <c r="D107" s="2896">
        <f>0.7608/D101</f>
        <v>1.1704615384615384</v>
      </c>
      <c r="E107" s="2896">
        <f>0.6482/E101</f>
        <v>0.99723076923076914</v>
      </c>
      <c r="F107" s="2896">
        <f>0.6482/F101</f>
        <v>0.99723076923076914</v>
      </c>
      <c r="G107" s="2896">
        <f>0.6482/G101</f>
        <v>0.99723076923076914</v>
      </c>
      <c r="H107" s="2896">
        <f>0.6482/H101</f>
        <v>0.99723076923076914</v>
      </c>
      <c r="I107" s="2896">
        <f>0.6482/I101</f>
        <v>0.99723076923076914</v>
      </c>
      <c r="J107" s="2896">
        <f>0.4525/J101</f>
        <v>0.69615384615384612</v>
      </c>
      <c r="K107" s="2896">
        <f>0.4525/K101</f>
        <v>0.69615384615384612</v>
      </c>
      <c r="L107" s="2896">
        <f>0.4525/L101</f>
        <v>0.69615384615384612</v>
      </c>
      <c r="M107" s="2896">
        <f>0.4525/M101</f>
        <v>0.69615384615384612</v>
      </c>
      <c r="N107" s="2896">
        <f>0.4525/N101</f>
        <v>0.69615384615384612</v>
      </c>
    </row>
    <row r="108" spans="1:14">
      <c r="A108" s="3273"/>
      <c r="B108" s="3131" t="s">
        <v>2978</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274"/>
      <c r="B109" s="3132"/>
      <c r="C109" s="2898">
        <f>(-0.163*(C108^2)-0.59*C108+7617)*(10^(-4))/C101</f>
        <v>1.171846153846154</v>
      </c>
      <c r="D109" s="2898">
        <f>(-0.163*(D108^2)-0.59*D108+7617)*(10^(-4))/D101</f>
        <v>1.171846153846154</v>
      </c>
      <c r="E109" s="2898">
        <f>(-0.161*(E108^2)-7.509*E108+6533)*(10^(-4))/E101</f>
        <v>1.005076923076923</v>
      </c>
      <c r="F109" s="2898">
        <f>(-0.161*(F108^2)-7.509*F108+6533)*(10^(-4))/F101</f>
        <v>1.005076923076923</v>
      </c>
      <c r="G109" s="2898">
        <f>(-0.161*(G108^2)-7.509*G108+6533)*(10^(-4))/G101</f>
        <v>1.005076923076923</v>
      </c>
      <c r="H109" s="2898">
        <f>(-0.161*(H108^2)-7.509*H108+6533)*(10^(-4))/H101</f>
        <v>1.005076923076923</v>
      </c>
      <c r="I109" s="2898">
        <f>(-0.161*(I108^2)-7.509*I108+6533)*(10^(-4))/I101</f>
        <v>1.005076923076923</v>
      </c>
      <c r="J109" s="2898">
        <f>(-0.214*(J108^2)-21.991*J108+4665)*(10^(-4))/J101</f>
        <v>0.71769230769230774</v>
      </c>
      <c r="K109" s="2898">
        <f>(-0.214*(K108^2)-21.991*K108+4665)*(10^(-4))/K101</f>
        <v>0.71769230769230774</v>
      </c>
      <c r="L109" s="2898">
        <f>(-0.214*(L108^2)-21.991*L108+4665)*(10^(-4))/L101</f>
        <v>0.71769230769230774</v>
      </c>
      <c r="M109" s="2898">
        <f>(-0.214*(M108^2)-21.991*M108+4665)*(10^(-4))/M101</f>
        <v>0.71769230769230774</v>
      </c>
      <c r="N109" s="2898">
        <f>(-0.214*(N108^2)-21.991*N108+4665)*(10^(-4))/N101</f>
        <v>0.71769230769230774</v>
      </c>
    </row>
    <row r="110" spans="1:14">
      <c r="A110" s="3270" t="s">
        <v>2979</v>
      </c>
      <c r="B110" s="3270"/>
      <c r="C110" s="3270"/>
      <c r="D110" s="3270"/>
      <c r="E110" s="3270"/>
      <c r="F110" s="3270"/>
      <c r="G110" s="3270"/>
      <c r="H110" s="3270"/>
      <c r="I110" s="3270"/>
      <c r="J110" s="3270"/>
      <c r="K110" s="2901"/>
      <c r="L110" s="2901"/>
      <c r="M110" s="2901"/>
      <c r="N110" s="2901"/>
    </row>
    <row r="112" spans="1:14" ht="13.5" thickBot="1"/>
    <row r="113" spans="1:13" ht="25.5" thickBot="1">
      <c r="A113" s="903" t="s">
        <v>2980</v>
      </c>
      <c r="B113" s="1290">
        <f>G3</f>
        <v>0.65</v>
      </c>
      <c r="C113" s="904" t="s">
        <v>2981</v>
      </c>
      <c r="D113" s="905">
        <f>SUMPRODUCT((A115:A118=F113)*(B114:M114=H113)*B115:M118)</f>
        <v>0.55789999999999995</v>
      </c>
      <c r="E113" s="2724" t="s">
        <v>2813</v>
      </c>
      <c r="F113" s="2903" t="str">
        <f>E2</f>
        <v>工业</v>
      </c>
      <c r="G113" s="2724" t="s">
        <v>2814</v>
      </c>
      <c r="H113" s="2903" t="str">
        <f>G2</f>
        <v>十一级</v>
      </c>
      <c r="I113" s="2724"/>
      <c r="J113" s="2904"/>
      <c r="K113" s="2904"/>
      <c r="L113" s="2904"/>
      <c r="M113" s="2904"/>
    </row>
    <row r="114" spans="1:13">
      <c r="A114" s="908"/>
      <c r="B114" s="2905" t="s">
        <v>2982</v>
      </c>
      <c r="C114" s="2905" t="s">
        <v>2983</v>
      </c>
      <c r="D114" s="2905" t="s">
        <v>2984</v>
      </c>
      <c r="E114" s="2906" t="s">
        <v>2985</v>
      </c>
      <c r="F114" s="2906" t="s">
        <v>2986</v>
      </c>
      <c r="G114" s="2906" t="s">
        <v>2987</v>
      </c>
      <c r="H114" s="2907" t="s">
        <v>2988</v>
      </c>
      <c r="I114" s="2907" t="s">
        <v>2989</v>
      </c>
      <c r="J114" s="2908" t="s">
        <v>2990</v>
      </c>
      <c r="K114" s="2908" t="s">
        <v>2991</v>
      </c>
      <c r="L114" s="2908" t="s">
        <v>2992</v>
      </c>
      <c r="M114" s="2909" t="s">
        <v>2993</v>
      </c>
    </row>
    <row r="115" spans="1:13">
      <c r="A115" s="909" t="s">
        <v>2878</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2879</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2880</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2881</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3002</v>
      </c>
    </row>
    <row r="2" spans="1:5" ht="15.75">
      <c r="A2" s="2910" t="s">
        <v>2994</v>
      </c>
      <c r="B2" s="2911">
        <f ca="1">SUMIF(B6:B13,"&lt;&gt;#ref!",B6:B13)</f>
        <v>411</v>
      </c>
      <c r="C2" s="2910" t="s">
        <v>2995</v>
      </c>
      <c r="D2" s="2910" t="s">
        <v>2996</v>
      </c>
      <c r="E2" s="2911">
        <f ca="1">SUMIF(E6:E13,"&lt;&gt;#ref!",E6:E13)</f>
        <v>4096.63</v>
      </c>
    </row>
    <row r="3" spans="1:5" ht="15.75">
      <c r="A3" s="2910" t="s">
        <v>2997</v>
      </c>
      <c r="B3" s="2911">
        <f ca="1">ROUND(B2*10000/E2,0)</f>
        <v>1003</v>
      </c>
      <c r="C3" s="2910" t="s">
        <v>3003</v>
      </c>
      <c r="D3" s="2912"/>
      <c r="E3" s="2912"/>
    </row>
    <row r="4" spans="1:5" ht="15.75">
      <c r="A4" s="2913"/>
      <c r="B4" s="2912"/>
      <c r="C4" s="2912"/>
      <c r="D4" s="2912"/>
      <c r="E4" s="2912"/>
    </row>
    <row r="5" spans="1:5" ht="28.5">
      <c r="A5" s="2914" t="s">
        <v>2998</v>
      </c>
      <c r="B5" s="2910" t="s">
        <v>2999</v>
      </c>
      <c r="C5" s="2911"/>
      <c r="D5" s="2912"/>
      <c r="E5" s="2910" t="s">
        <v>3000</v>
      </c>
    </row>
    <row r="6" spans="1:5" ht="15.75">
      <c r="A6" s="2915" t="s">
        <v>3001</v>
      </c>
      <c r="B6" s="2911">
        <f ca="1">SUMIF(INDIRECT("'"&amp;A6&amp;"'"&amp;"!A:A"),"总价",INDIRECT("'"&amp;A6&amp;"'"&amp;"!B:B"))</f>
        <v>411</v>
      </c>
      <c r="C6" s="2910" t="s">
        <v>2995</v>
      </c>
      <c r="D6" s="2912"/>
      <c r="E6" s="2575">
        <f ca="1">SUMIF(INDIRECT("'"&amp;A6&amp;"'"&amp;"!C:C"),"建筑面积",INDIRECT("'"&amp;A6&amp;"'"&amp;"!D:D"))</f>
        <v>4096.63</v>
      </c>
    </row>
    <row r="7" spans="1:5" ht="15.75">
      <c r="A7" s="2915"/>
      <c r="B7" s="2911" t="e">
        <f ca="1">SUMIF(INDIRECT("'"&amp;A7&amp;"'"&amp;"!A:A"),"总价",INDIRECT("'"&amp;A7&amp;"'"&amp;"!B:B"))</f>
        <v>#REF!</v>
      </c>
      <c r="C7" s="2910" t="s">
        <v>2995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2995</v>
      </c>
      <c r="D8" s="2912"/>
      <c r="E8" s="2575" t="e">
        <f t="shared" ca="1" si="0"/>
        <v>#REF!</v>
      </c>
    </row>
    <row r="9" spans="1:5" ht="15.75">
      <c r="A9" s="2915"/>
      <c r="B9" s="2911" t="e">
        <f t="shared" ca="1" si="1"/>
        <v>#REF!</v>
      </c>
      <c r="C9" s="2910" t="s">
        <v>2995</v>
      </c>
      <c r="D9" s="2912"/>
      <c r="E9" s="2575" t="e">
        <f t="shared" ca="1" si="0"/>
        <v>#REF!</v>
      </c>
    </row>
    <row r="10" spans="1:5" ht="15.75">
      <c r="A10" s="2915"/>
      <c r="B10" s="2911" t="e">
        <f t="shared" ca="1" si="1"/>
        <v>#REF!</v>
      </c>
      <c r="C10" s="2910" t="s">
        <v>2995</v>
      </c>
      <c r="D10" s="2912"/>
      <c r="E10" s="2575" t="e">
        <f t="shared" ca="1" si="0"/>
        <v>#REF!</v>
      </c>
    </row>
    <row r="11" spans="1:5" ht="15.75">
      <c r="A11" s="2915"/>
      <c r="B11" s="2911" t="e">
        <f t="shared" ca="1" si="1"/>
        <v>#REF!</v>
      </c>
      <c r="C11" s="2910" t="s">
        <v>2995</v>
      </c>
      <c r="D11" s="2912"/>
      <c r="E11" s="2575" t="e">
        <f t="shared" ca="1" si="0"/>
        <v>#REF!</v>
      </c>
    </row>
    <row r="12" spans="1:5" ht="15.75">
      <c r="A12" s="2915"/>
      <c r="B12" s="2911" t="e">
        <f t="shared" ca="1" si="1"/>
        <v>#REF!</v>
      </c>
      <c r="C12" s="2910" t="s">
        <v>2995</v>
      </c>
      <c r="D12" s="2912"/>
      <c r="E12" s="2575" t="e">
        <f t="shared" ca="1" si="0"/>
        <v>#REF!</v>
      </c>
    </row>
    <row r="13" spans="1:5" ht="15.75">
      <c r="A13" s="2915"/>
      <c r="B13" s="2911" t="e">
        <f t="shared" ca="1" si="1"/>
        <v>#REF!</v>
      </c>
      <c r="C13" s="2910" t="s">
        <v>2995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F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4" t="s">
        <v>1146</v>
      </c>
      <c r="C1" s="3284"/>
      <c r="D1" s="3284"/>
      <c r="E1" s="3284"/>
      <c r="F1" s="3284"/>
      <c r="G1" s="3283" t="s">
        <v>1147</v>
      </c>
      <c r="H1" s="3283"/>
      <c r="I1" s="3283"/>
      <c r="J1" s="3283"/>
      <c r="K1" s="3283"/>
      <c r="L1" s="3283"/>
      <c r="N1" s="3283" t="s">
        <v>1148</v>
      </c>
      <c r="O1" s="3283"/>
      <c r="P1" s="3283"/>
      <c r="Q1" s="3283"/>
      <c r="R1" s="1449"/>
      <c r="S1" s="3283" t="s">
        <v>1149</v>
      </c>
      <c r="T1" s="3283"/>
      <c r="U1" s="3283"/>
      <c r="V1" s="3283"/>
      <c r="X1" s="3282" t="s">
        <v>1150</v>
      </c>
      <c r="Y1" s="3283"/>
      <c r="Z1" s="3283"/>
      <c r="AA1" s="3283"/>
      <c r="AB1" s="3283"/>
      <c r="AD1" s="3282" t="s">
        <v>1151</v>
      </c>
      <c r="AE1" s="3283"/>
      <c r="AF1" s="3283"/>
      <c r="AG1" s="3283"/>
      <c r="AH1" s="328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5" customFormat="1" ht="14.25">
      <c r="A3" s="2934" t="s">
        <v>3037</v>
      </c>
      <c r="B3" s="2926"/>
      <c r="C3" s="2926"/>
      <c r="D3" s="2927"/>
      <c r="E3" s="2927"/>
      <c r="F3" s="2926"/>
      <c r="G3" s="2928"/>
      <c r="H3" s="2929"/>
      <c r="I3" s="2930">
        <f>ROUND(AVERAGE($I5:$I26),2)</f>
        <v>2.06</v>
      </c>
      <c r="J3" s="2930">
        <f>ROUND(AVERAGE($J5:$J26),2)</f>
        <v>1.46</v>
      </c>
      <c r="K3" s="2930">
        <f>ROUND(AVERAGE($K5:$K26),2)</f>
        <v>2.2599999999999998</v>
      </c>
      <c r="L3" s="2930">
        <f>ROUND(AVERAGE($L5:$L26),2)</f>
        <v>1.4</v>
      </c>
      <c r="N3" s="2928"/>
      <c r="O3" s="2931"/>
      <c r="P3" s="2931"/>
      <c r="Q3" s="2931"/>
      <c r="R3" s="2931"/>
      <c r="S3" s="2928"/>
      <c r="T3" s="2931"/>
      <c r="U3" s="2931"/>
      <c r="V3" s="2931"/>
      <c r="W3" s="2923"/>
      <c r="X3" s="2932">
        <f>ROUND(SUMPRODUCT(PRODUCT(1+N3:N$25)),4)</f>
        <v>1.5189999999999999</v>
      </c>
      <c r="Y3" s="2932">
        <f>ROUND(SUMPRODUCT(PRODUCT(1+O3:O$25)),4)</f>
        <v>1.3423</v>
      </c>
      <c r="Z3" s="2932">
        <f t="shared" ref="Z3:Z23" si="0">Y3</f>
        <v>1.3423</v>
      </c>
      <c r="AA3" s="2932">
        <f>ROUND(SUMPRODUCT(PRODUCT(1+P3:P$25)),4)</f>
        <v>1.5782</v>
      </c>
      <c r="AB3" s="2932">
        <f>ROUND(SUMPRODUCT(PRODUCT(1+Q3:Q$25)),4)</f>
        <v>1.3405</v>
      </c>
      <c r="AD3" s="2933">
        <f>ROUND(AVERAGE(I3:I$26)/100,4)</f>
        <v>2.06E-2</v>
      </c>
      <c r="AE3" s="2933">
        <f>ROUND(AVERAGE(J3:J$26)/100,4)</f>
        <v>1.46E-2</v>
      </c>
      <c r="AF3" s="2933">
        <f t="shared" ref="AF3:AF24" si="1">AE3</f>
        <v>1.46E-2</v>
      </c>
      <c r="AG3" s="2933">
        <f>ROUND(AVERAGE(K3:K$26)/100,4)</f>
        <v>2.2599999999999999E-2</v>
      </c>
      <c r="AH3" s="2933">
        <f>ROUND(AVERAGE(L3:L$26)/100,4)</f>
        <v>1.4E-2</v>
      </c>
    </row>
    <row r="4" spans="1:34" s="2925" customFormat="1" ht="14.25">
      <c r="A4" s="2934"/>
      <c r="B4" s="2926"/>
      <c r="C4" s="2926"/>
      <c r="D4" s="2927"/>
      <c r="E4" s="2927"/>
      <c r="F4" s="2926"/>
      <c r="G4" s="2928"/>
      <c r="H4" s="2929"/>
      <c r="I4" s="2930"/>
      <c r="J4" s="2930"/>
      <c r="K4" s="2930"/>
      <c r="L4" s="2930"/>
      <c r="N4" s="2928"/>
      <c r="O4" s="2931"/>
      <c r="P4" s="2931"/>
      <c r="Q4" s="2931"/>
      <c r="R4" s="2931"/>
      <c r="S4" s="2928"/>
      <c r="T4" s="2931"/>
      <c r="U4" s="2931"/>
      <c r="V4" s="2931"/>
      <c r="W4" s="2923"/>
      <c r="X4" s="2932"/>
      <c r="Y4" s="2932"/>
      <c r="Z4" s="2932"/>
      <c r="AA4" s="2932"/>
      <c r="AB4" s="2932"/>
      <c r="AD4" s="2933"/>
      <c r="AE4" s="2933"/>
      <c r="AF4" s="2933"/>
      <c r="AG4" s="2933"/>
      <c r="AH4" s="2933"/>
    </row>
    <row r="5" spans="1:34" s="2959" customFormat="1">
      <c r="A5" s="2954" t="s">
        <v>3084</v>
      </c>
      <c r="B5" s="2955">
        <f t="shared" ref="B5:C10" si="2">B6*(1+N5)</f>
        <v>467.15916775261894</v>
      </c>
      <c r="C5" s="2955">
        <f t="shared" si="2"/>
        <v>346.01232557169084</v>
      </c>
      <c r="D5" s="2955">
        <f t="shared" ref="D5:D15" si="3">C5</f>
        <v>346.01232557169084</v>
      </c>
      <c r="E5" s="2955">
        <f t="shared" ref="E5:F10" si="4">E6*(1+P5)</f>
        <v>667.41617752122568</v>
      </c>
      <c r="F5" s="2955">
        <f t="shared" si="4"/>
        <v>308.20314391798104</v>
      </c>
      <c r="G5" s="2956">
        <v>2019</v>
      </c>
      <c r="H5" s="2957">
        <v>2</v>
      </c>
      <c r="I5" s="2958">
        <v>0</v>
      </c>
      <c r="J5" s="2958">
        <v>0</v>
      </c>
      <c r="K5" s="2958">
        <v>0</v>
      </c>
      <c r="L5" s="2958">
        <v>0</v>
      </c>
      <c r="N5" s="2960">
        <f t="shared" ref="N5:Q9" si="5">I5/100</f>
        <v>0</v>
      </c>
      <c r="O5" s="2960">
        <f t="shared" si="5"/>
        <v>0</v>
      </c>
      <c r="P5" s="2960">
        <f t="shared" si="5"/>
        <v>0</v>
      </c>
      <c r="Q5" s="2960">
        <f t="shared" si="5"/>
        <v>0</v>
      </c>
      <c r="R5" s="2961"/>
      <c r="S5" s="2962"/>
      <c r="T5" s="2961"/>
      <c r="U5" s="2961"/>
      <c r="V5" s="2961"/>
      <c r="W5" s="2963" t="s">
        <v>3038</v>
      </c>
      <c r="X5" s="2964">
        <f>ROUND(IF([1]项目基本情况!B7="出让",SUMPRODUCT(PRODUCT(1+N5:N$26)),SUMPRODUCT(PRODUCT(1+N5:N$25))),4)</f>
        <v>1.5189999999999999</v>
      </c>
      <c r="Y5" s="2964">
        <f>ROUND(IF([1]项目基本情况!B7="出让",SUMPRODUCT(PRODUCT(1+O5:O$26)),SUMPRODUCT(PRODUCT(1+O5:O$25))),4)</f>
        <v>1.3423</v>
      </c>
      <c r="Z5" s="2964">
        <f t="shared" ref="Z5:Z10" si="6">Y5</f>
        <v>1.3423</v>
      </c>
      <c r="AA5" s="2964">
        <f>ROUND(IF([1]项目基本情况!B7="出让",SUMPRODUCT(PRODUCT(1+P5:P$26)),SUMPRODUCT(PRODUCT(1+P5:P$25))),4)</f>
        <v>1.5782</v>
      </c>
      <c r="AB5" s="2964">
        <f>ROUND(IF([1]项目基本情况!B7="出让",SUMPRODUCT(PRODUCT(1+Q5:Q$26)),SUMPRODUCT(PRODUCT(1+Q5:Q$25))),4)</f>
        <v>1.3405</v>
      </c>
      <c r="AD5" s="2965">
        <f>ROUND(AVERAGE(I5:I$26)/100,4)</f>
        <v>2.06E-2</v>
      </c>
      <c r="AE5" s="2965">
        <f>ROUND(AVERAGE(J5:J$26)/100,4)</f>
        <v>1.46E-2</v>
      </c>
      <c r="AF5" s="2965">
        <f t="shared" ref="AF5:AF10" si="7">AE5</f>
        <v>1.46E-2</v>
      </c>
      <c r="AG5" s="2965">
        <f>ROUND(AVERAGE(K5:K$26)/100,4)</f>
        <v>2.2599999999999999E-2</v>
      </c>
      <c r="AH5" s="2965">
        <f>ROUND(AVERAGE(L5:L$26)/100,4)</f>
        <v>1.4E-2</v>
      </c>
    </row>
    <row r="6" spans="1:34" s="1729" customFormat="1" ht="13.5" thickBot="1">
      <c r="A6" s="1727" t="s">
        <v>3050</v>
      </c>
      <c r="B6" s="1789">
        <f t="shared" si="2"/>
        <v>467.15916775261894</v>
      </c>
      <c r="C6" s="1789">
        <f t="shared" si="2"/>
        <v>346.01232557169084</v>
      </c>
      <c r="D6" s="1789">
        <f t="shared" si="3"/>
        <v>346.01232557169084</v>
      </c>
      <c r="E6" s="1789">
        <f t="shared" si="4"/>
        <v>667.41617752122568</v>
      </c>
      <c r="F6" s="1789">
        <f t="shared" si="4"/>
        <v>308.20314391798104</v>
      </c>
      <c r="G6" s="2938">
        <v>2019</v>
      </c>
      <c r="H6" s="1728">
        <v>1</v>
      </c>
      <c r="I6" s="2921">
        <v>0.6</v>
      </c>
      <c r="J6" s="2921">
        <v>0.37</v>
      </c>
      <c r="K6" s="2921">
        <v>0.63</v>
      </c>
      <c r="L6" s="2921">
        <v>1.1299999999999999</v>
      </c>
      <c r="N6" s="1465">
        <f t="shared" si="5"/>
        <v>6.0000000000000001E-3</v>
      </c>
      <c r="O6" s="1465">
        <f t="shared" si="5"/>
        <v>3.7000000000000002E-3</v>
      </c>
      <c r="P6" s="1465">
        <f t="shared" si="5"/>
        <v>6.3E-3</v>
      </c>
      <c r="Q6" s="1465">
        <f t="shared" si="5"/>
        <v>1.1299999999999999E-2</v>
      </c>
      <c r="R6" s="1730"/>
      <c r="S6" s="1731"/>
      <c r="T6" s="1730"/>
      <c r="U6" s="1730"/>
      <c r="V6" s="1730"/>
      <c r="W6" s="2924" t="s">
        <v>3038</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3051</v>
      </c>
      <c r="B7" s="1475">
        <f t="shared" si="2"/>
        <v>464.37293017158942</v>
      </c>
      <c r="C7" s="1475">
        <f t="shared" si="2"/>
        <v>344.73679941385956</v>
      </c>
      <c r="D7" s="1475">
        <f t="shared" si="3"/>
        <v>344.73679941385956</v>
      </c>
      <c r="E7" s="1475">
        <f t="shared" si="4"/>
        <v>663.2377795103107</v>
      </c>
      <c r="F7" s="1475">
        <f t="shared" si="4"/>
        <v>304.75936311478398</v>
      </c>
      <c r="G7" s="3280">
        <v>2018</v>
      </c>
      <c r="H7" s="1462">
        <v>4</v>
      </c>
      <c r="I7" s="2948">
        <v>0.96</v>
      </c>
      <c r="J7" s="2948">
        <v>1.03</v>
      </c>
      <c r="K7" s="2948">
        <v>0.92</v>
      </c>
      <c r="L7" s="2949">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3044</v>
      </c>
      <c r="B8" s="1475">
        <f t="shared" si="2"/>
        <v>459.95733971036987</v>
      </c>
      <c r="C8" s="1475">
        <f t="shared" si="2"/>
        <v>341.22221064422405</v>
      </c>
      <c r="D8" s="1475">
        <f t="shared" si="3"/>
        <v>341.22221064422405</v>
      </c>
      <c r="E8" s="1475">
        <f t="shared" si="4"/>
        <v>657.19161663724799</v>
      </c>
      <c r="F8" s="1475">
        <f t="shared" si="4"/>
        <v>300.87803644464805</v>
      </c>
      <c r="G8" s="3280"/>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3043</v>
      </c>
      <c r="B9" s="1475">
        <f t="shared" si="2"/>
        <v>453.11529869999993</v>
      </c>
      <c r="C9" s="1475">
        <f t="shared" si="2"/>
        <v>336.47787264000004</v>
      </c>
      <c r="D9" s="1475">
        <f t="shared" si="3"/>
        <v>336.47787264000004</v>
      </c>
      <c r="E9" s="1475">
        <f t="shared" si="4"/>
        <v>647.35186823999993</v>
      </c>
      <c r="F9" s="1475">
        <f t="shared" si="4"/>
        <v>295.73229452000004</v>
      </c>
      <c r="G9" s="3280"/>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3036</v>
      </c>
      <c r="B10" s="1475">
        <f t="shared" si="2"/>
        <v>446.46299999999997</v>
      </c>
      <c r="C10" s="1475">
        <f t="shared" si="2"/>
        <v>333.27840000000003</v>
      </c>
      <c r="D10" s="1475">
        <f t="shared" si="3"/>
        <v>333.27840000000003</v>
      </c>
      <c r="E10" s="1475">
        <f t="shared" si="4"/>
        <v>637.28279999999995</v>
      </c>
      <c r="F10" s="1475">
        <f t="shared" si="4"/>
        <v>288.68830000000003</v>
      </c>
      <c r="G10" s="3289"/>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3033</v>
      </c>
      <c r="B11" s="1467">
        <v>439</v>
      </c>
      <c r="C11" s="1467">
        <v>327</v>
      </c>
      <c r="D11" s="1467">
        <f t="shared" si="3"/>
        <v>327</v>
      </c>
      <c r="E11" s="1467">
        <v>627</v>
      </c>
      <c r="F11" s="1468">
        <v>283</v>
      </c>
      <c r="G11" s="3285">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3034</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80"/>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80"/>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9"/>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5">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80"/>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80"/>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1"/>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79">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80"/>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80"/>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1"/>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79">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80"/>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80"/>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1"/>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6">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7"/>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7"/>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8"/>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79">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80"/>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80"/>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1"/>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79">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80">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80">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1">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79">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80">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80">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1">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79">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80">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80">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1">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79">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80">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80">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1">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79">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80">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80">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1">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79">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80">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80">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1">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79">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80">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80">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1">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79">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80">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80">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1">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79">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80">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80">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1">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79">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80">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80">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1">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9"/>
      <c r="B4" s="2976" t="s">
        <v>1626</v>
      </c>
      <c r="C4" s="2976"/>
      <c r="D4" s="2976"/>
      <c r="E4" s="1959"/>
    </row>
    <row r="5" spans="1:5" ht="16.5" thickTop="1">
      <c r="A5" s="1957"/>
      <c r="B5" s="2974" t="s">
        <v>1618</v>
      </c>
      <c r="C5" s="1960" t="s">
        <v>1619</v>
      </c>
      <c r="D5" s="1043">
        <f ca="1">结果表!H101</f>
        <v>1691</v>
      </c>
      <c r="E5" s="1957"/>
    </row>
    <row r="6" spans="1:5" ht="15.75">
      <c r="A6" s="1957"/>
      <c r="B6" s="2974"/>
      <c r="C6" s="1960" t="s">
        <v>1620</v>
      </c>
      <c r="D6" s="1043" t="str">
        <f ca="1">NUMBERSTRING(INT(D5*10000),2)&amp;"元整"</f>
        <v>壹仟陆佰玖拾壹万元整</v>
      </c>
      <c r="E6" s="1957"/>
    </row>
    <row r="7" spans="1:5" ht="15.75">
      <c r="A7" s="1957"/>
      <c r="B7" s="2979"/>
      <c r="C7" s="1961" t="s">
        <v>1621</v>
      </c>
      <c r="D7" s="1044">
        <f ca="1">结果表!H102</f>
        <v>4128</v>
      </c>
      <c r="E7" s="1957"/>
    </row>
    <row r="8" spans="1:5" ht="15.75">
      <c r="A8" s="1957"/>
      <c r="B8" s="2980" t="str">
        <f>结果表!E103</f>
        <v>2.估价师知悉的法定优先受偿款</v>
      </c>
      <c r="C8" s="1962" t="s">
        <v>1622</v>
      </c>
      <c r="D8" s="1044">
        <f>结果表!H103</f>
        <v>0</v>
      </c>
      <c r="E8" s="1957"/>
    </row>
    <row r="9" spans="1:5" ht="15.75">
      <c r="A9" s="1957"/>
      <c r="B9" s="2982"/>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3" t="str">
        <f>结果表!E107</f>
        <v>3.房地产抵押价值</v>
      </c>
      <c r="C13" s="1965" t="s">
        <v>1619</v>
      </c>
      <c r="D13" s="1046">
        <f ca="1">结果表!H107</f>
        <v>1691</v>
      </c>
      <c r="E13" s="1957"/>
    </row>
    <row r="14" spans="1:5" ht="15.75">
      <c r="A14" s="1957"/>
      <c r="B14" s="2974"/>
      <c r="C14" s="1960" t="s">
        <v>1620</v>
      </c>
      <c r="D14" s="1043" t="str">
        <f ca="1">NUMBERSTRING(INT(D13*10000),2)&amp;"元整"</f>
        <v>壹仟陆佰玖拾壹万元整</v>
      </c>
      <c r="E14" s="1957"/>
    </row>
    <row r="15" spans="1:5" ht="15">
      <c r="A15" s="1957"/>
      <c r="B15" s="2979"/>
      <c r="C15" s="1961" t="s">
        <v>1630</v>
      </c>
      <c r="D15" s="1055">
        <f ca="1">结果表!H108</f>
        <v>4128</v>
      </c>
      <c r="E15" s="1957"/>
    </row>
    <row r="16" spans="1:5" ht="15">
      <c r="A16" s="1957"/>
      <c r="B16" s="2980" t="str">
        <f>结果表!E109</f>
        <v>——</v>
      </c>
      <c r="C16" s="1965" t="s">
        <v>1631</v>
      </c>
      <c r="D16" s="1966" t="str">
        <f>结果表!H109</f>
        <v>——</v>
      </c>
      <c r="E16" s="1957"/>
    </row>
    <row r="17" spans="1:5" ht="15.75">
      <c r="A17" s="1957"/>
      <c r="B17" s="2981"/>
      <c r="C17" s="1960" t="s">
        <v>1632</v>
      </c>
      <c r="D17" s="1043" t="e">
        <f>NUMBERSTRING(INT(D16*10000),2)&amp;"元整"</f>
        <v>#VALUE!</v>
      </c>
      <c r="E17" s="1957"/>
    </row>
    <row r="18" spans="1:5" ht="15">
      <c r="A18" s="1957"/>
      <c r="B18" s="2982"/>
      <c r="C18" s="1961" t="s">
        <v>1621</v>
      </c>
      <c r="D18" s="1055" t="str">
        <f>结果表!H110</f>
        <v>——</v>
      </c>
      <c r="E18" s="1957"/>
    </row>
    <row r="19" spans="1:5" ht="15.75">
      <c r="A19" s="1957"/>
      <c r="B19" s="2973" t="str">
        <f>结果表!E111</f>
        <v>——</v>
      </c>
      <c r="C19" s="1965" t="s">
        <v>1619</v>
      </c>
      <c r="D19" s="1044" t="str">
        <f>结果表!H111</f>
        <v>——</v>
      </c>
      <c r="E19" s="1957"/>
    </row>
    <row r="20" spans="1:5" ht="15.75">
      <c r="A20" s="1957"/>
      <c r="B20" s="2974"/>
      <c r="C20" s="1960" t="s">
        <v>1632</v>
      </c>
      <c r="D20" s="1043" t="e">
        <f>NUMBERSTRING(INT(D19*10000),2)&amp;"元整"</f>
        <v>#VALUE!</v>
      </c>
      <c r="E20" s="1957"/>
    </row>
    <row r="21" spans="1:5" ht="15.75" thickBot="1">
      <c r="A21" s="1957"/>
      <c r="B21" s="2975"/>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91" t="s">
        <v>3005</v>
      </c>
      <c r="D1" s="3292"/>
      <c r="E1" s="3292"/>
      <c r="F1" s="3292"/>
      <c r="G1" s="3292"/>
      <c r="H1" s="3292"/>
      <c r="I1" s="3292"/>
      <c r="J1" s="3292"/>
      <c r="K1" s="3292"/>
      <c r="L1" s="3292"/>
      <c r="M1" s="3292"/>
      <c r="N1" s="3292"/>
      <c r="O1" s="3292"/>
      <c r="P1" s="3292"/>
      <c r="Q1" s="3292"/>
      <c r="R1" s="3292"/>
      <c r="S1" s="3293"/>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3008</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3009</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3010</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3014</v>
      </c>
      <c r="B17" s="2917"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3016</v>
      </c>
      <c r="E19" s="1790"/>
      <c r="F19" s="1790"/>
      <c r="G19" s="1790"/>
      <c r="H19" s="1283"/>
      <c r="I19" s="168"/>
      <c r="J19" s="168"/>
      <c r="K19" s="168"/>
      <c r="L19" s="168"/>
      <c r="M19" s="168"/>
      <c r="N19" s="168"/>
      <c r="O19" s="168"/>
      <c r="P19" s="168"/>
      <c r="Q19" s="168"/>
      <c r="R19" s="788"/>
      <c r="S19" s="138"/>
    </row>
    <row r="20" spans="1:45" ht="16.5" thickBot="1">
      <c r="A20" s="715" t="s">
        <v>3017</v>
      </c>
      <c r="B20" s="338" t="e">
        <f ca="1">IF(D20="——",S22,S22-F20)</f>
        <v>#REF!</v>
      </c>
      <c r="C20" s="168"/>
      <c r="D20" s="2919" t="s">
        <v>3018</v>
      </c>
      <c r="E20" s="1791"/>
      <c r="F20" s="1207" t="e">
        <f ca="1">SUMIF(INDIRECT("'"&amp;H20&amp;"'"&amp;"!A:A"),"承租人权益价值",INDIRECT("'"&amp;H20&amp;"'"&amp;"!c:c"))</f>
        <v>#REF!</v>
      </c>
      <c r="G20" s="1207" t="s">
        <v>3019</v>
      </c>
      <c r="H20" s="292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3" t="s">
        <v>33</v>
      </c>
      <c r="D22" s="3154"/>
      <c r="E22" s="3154"/>
      <c r="F22" s="3154"/>
      <c r="G22" s="3154"/>
      <c r="H22" s="3154"/>
      <c r="I22" s="3154"/>
      <c r="J22" s="3154"/>
      <c r="K22" s="3154"/>
      <c r="L22" s="3154"/>
      <c r="M22" s="3154"/>
      <c r="N22" s="3154"/>
      <c r="O22" s="3154"/>
      <c r="P22" s="3154"/>
      <c r="Q22" s="3290"/>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28008</v>
      </c>
      <c r="C2" s="2" t="s">
        <v>133</v>
      </c>
      <c r="D2" s="243"/>
      <c r="E2" s="243"/>
      <c r="F2" s="243"/>
      <c r="G2" s="243"/>
    </row>
    <row r="3" spans="1:7" s="244" customFormat="1" ht="18" customHeight="1" thickBot="1">
      <c r="A3" s="247" t="s">
        <v>85</v>
      </c>
      <c r="B3" s="248">
        <f ca="1">ROUND(B2*10000/'数据-汇总表'!E3,0)</f>
        <v>68368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973</v>
      </c>
      <c r="D34" s="261"/>
      <c r="E34" s="264"/>
      <c r="F34" s="301">
        <f>IF('数据-取费表'!B24=0,1,'数据-取费表'!N16)</f>
        <v>1</v>
      </c>
      <c r="G34" s="263" t="s">
        <v>116</v>
      </c>
    </row>
    <row r="35" spans="1:7" ht="13.5" customHeight="1">
      <c r="A35" s="954" t="s">
        <v>796</v>
      </c>
      <c r="B35" s="259" t="s">
        <v>60</v>
      </c>
      <c r="C35" s="264">
        <f>ROUND(C34*F35,0)</f>
        <v>39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40</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39</v>
      </c>
      <c r="D42" s="282"/>
      <c r="E42" s="282"/>
      <c r="F42" s="283"/>
      <c r="G42" s="3158" t="s">
        <v>121</v>
      </c>
    </row>
    <row r="43" spans="1:7" ht="13.5" customHeight="1">
      <c r="A43" s="954" t="s">
        <v>792</v>
      </c>
      <c r="B43" s="259" t="s">
        <v>1061</v>
      </c>
      <c r="C43" s="282">
        <f ca="1">ROUND(IF('数据-取费表'!B22&lt;=1,C39*F22*'数据-取费表'!B21/2,C39*(POWER((1+F22),'数据-取费表'!B21/2)-1)),0)</f>
        <v>1</v>
      </c>
      <c r="D43" s="282"/>
      <c r="E43" s="282"/>
      <c r="F43" s="283"/>
      <c r="G43" s="3159"/>
    </row>
    <row r="44" spans="1:7" ht="13.5" customHeight="1">
      <c r="A44" s="954" t="s">
        <v>793</v>
      </c>
      <c r="B44" s="259" t="s">
        <v>1063</v>
      </c>
      <c r="C44" s="282">
        <f ca="1">ROUND(IF('数据-取费表'!B22&lt;=1,C40*F22*'数据-取费表'!B21/2,C40*(POWER((1+F22),'数据-取费表'!B21/2)-1)),4)</f>
        <v>6.9999999999999999E-4</v>
      </c>
      <c r="D44" s="282"/>
      <c r="E44" s="282"/>
      <c r="F44" s="283"/>
      <c r="G44" s="3160"/>
    </row>
    <row r="45" spans="1:7" s="258" customFormat="1" ht="13.5" customHeight="1">
      <c r="A45" s="951" t="s">
        <v>786</v>
      </c>
      <c r="B45" s="288" t="s">
        <v>112</v>
      </c>
      <c r="C45" s="289">
        <f>C46</f>
        <v>113</v>
      </c>
      <c r="D45" s="279">
        <f>C47</f>
        <v>2E-3</v>
      </c>
      <c r="E45" s="280" t="s">
        <v>129</v>
      </c>
      <c r="F45" s="290"/>
      <c r="G45" s="291" t="s">
        <v>1069</v>
      </c>
    </row>
    <row r="46" spans="1:7" s="258" customFormat="1" ht="13.5" customHeight="1">
      <c r="A46" s="954" t="s">
        <v>794</v>
      </c>
      <c r="B46" s="292" t="s">
        <v>1062</v>
      </c>
      <c r="C46" s="293">
        <f>ROUND((C33+C39)*F27,0)</f>
        <v>113</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1388</v>
      </c>
      <c r="D49" s="276"/>
      <c r="E49" s="276"/>
      <c r="F49" s="308"/>
      <c r="G49" s="278" t="s">
        <v>1070</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1277</v>
      </c>
      <c r="D51" s="276"/>
      <c r="E51" s="276"/>
      <c r="F51" s="308"/>
      <c r="G51" s="278" t="s">
        <v>64</v>
      </c>
    </row>
    <row r="52" spans="1:7" s="252" customFormat="1" ht="16.5" thickBot="1">
      <c r="A52" s="309" t="s">
        <v>65</v>
      </c>
      <c r="B52" s="310"/>
      <c r="C52" s="311">
        <f ca="1">C31+C51</f>
        <v>28008</v>
      </c>
      <c r="D52" s="310"/>
      <c r="E52" s="310"/>
      <c r="F52" s="310"/>
      <c r="G52" s="312"/>
    </row>
    <row r="55" spans="1:7" ht="15">
      <c r="B55" s="314" t="s">
        <v>66</v>
      </c>
      <c r="C55" s="315"/>
    </row>
    <row r="56" spans="1:7">
      <c r="B56" s="317" t="s">
        <v>67</v>
      </c>
      <c r="C56" s="318">
        <f ca="1">ROUND(C51/C52,3)</f>
        <v>4.5999999999999999E-2</v>
      </c>
    </row>
    <row r="57" spans="1:7">
      <c r="B57" s="317" t="s">
        <v>68</v>
      </c>
      <c r="C57" s="319">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10" workbookViewId="0">
      <selection activeCell="I333" sqref="I333"/>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
  <sheetViews>
    <sheetView workbookViewId="0">
      <selection activeCell="O13" sqref="O13"/>
    </sheetView>
  </sheetViews>
  <sheetFormatPr defaultRowHeight="13.5"/>
  <sheetData>
    <row r="2" spans="2:11">
      <c r="B2" s="2950" t="s">
        <v>3055</v>
      </c>
      <c r="C2" s="2950" t="s">
        <v>3059</v>
      </c>
      <c r="D2" s="2950" t="s">
        <v>3061</v>
      </c>
      <c r="E2">
        <v>2</v>
      </c>
      <c r="F2">
        <v>374.21</v>
      </c>
      <c r="G2">
        <f>ROUND(1-(2019-2014)/60,2)</f>
        <v>0.92</v>
      </c>
      <c r="H2">
        <f>ROUND(F2*I2/10000,0)</f>
        <v>94</v>
      </c>
      <c r="I2">
        <v>2500</v>
      </c>
    </row>
    <row r="3" spans="2:11">
      <c r="B3" s="2950" t="s">
        <v>3056</v>
      </c>
      <c r="C3" s="2950" t="s">
        <v>3062</v>
      </c>
      <c r="D3" s="2950" t="s">
        <v>3061</v>
      </c>
      <c r="E3">
        <v>4</v>
      </c>
      <c r="F3">
        <v>2030.33</v>
      </c>
      <c r="G3">
        <f>ROUND(1-(2019-2014)/60,2)</f>
        <v>0.92</v>
      </c>
      <c r="H3">
        <f t="shared" ref="H3:H5" si="0">ROUND(F3*I3/10000,0)</f>
        <v>508</v>
      </c>
      <c r="I3">
        <v>2500</v>
      </c>
      <c r="J3">
        <v>1.3</v>
      </c>
      <c r="K3">
        <f>J3*F3</f>
        <v>2639.4290000000001</v>
      </c>
    </row>
    <row r="4" spans="2:11">
      <c r="B4" s="2950" t="s">
        <v>3057</v>
      </c>
      <c r="C4" s="2950" t="s">
        <v>3064</v>
      </c>
      <c r="D4" s="2950" t="s">
        <v>3066</v>
      </c>
      <c r="E4">
        <v>1</v>
      </c>
      <c r="F4">
        <v>1668.04</v>
      </c>
      <c r="G4">
        <f>ROUND(1-(1-2%)*(2019-2014)/70,2)</f>
        <v>0.93</v>
      </c>
      <c r="H4">
        <f t="shared" si="0"/>
        <v>367</v>
      </c>
      <c r="I4">
        <v>2200</v>
      </c>
      <c r="J4">
        <v>1</v>
      </c>
      <c r="K4">
        <f>J4*F4</f>
        <v>1668.04</v>
      </c>
    </row>
    <row r="5" spans="2:11">
      <c r="B5" s="2950" t="s">
        <v>3058</v>
      </c>
      <c r="C5" s="2950" t="s">
        <v>3067</v>
      </c>
      <c r="D5" s="2950" t="s">
        <v>3068</v>
      </c>
      <c r="E5">
        <v>1</v>
      </c>
      <c r="F5">
        <v>24.05</v>
      </c>
      <c r="G5">
        <f>ROUND(1-(1-2%)*(2019-2014)/50,2)</f>
        <v>0.9</v>
      </c>
      <c r="H5">
        <f t="shared" si="0"/>
        <v>4</v>
      </c>
      <c r="I5">
        <v>1500</v>
      </c>
    </row>
    <row r="6" spans="2:11">
      <c r="F6" s="2951">
        <f>SUM(F2:F5)</f>
        <v>4096.63</v>
      </c>
      <c r="G6" s="2951">
        <f>ROUND((G2*F2+G3*F3+G4*F4+G5*F5)/F6,2)</f>
        <v>0.92</v>
      </c>
      <c r="H6" s="2951">
        <f>SUM(H2:H5)</f>
        <v>973</v>
      </c>
      <c r="I6">
        <v>2375</v>
      </c>
      <c r="K6">
        <f>K3+K4</f>
        <v>4307.4690000000001</v>
      </c>
    </row>
    <row r="7" spans="2:11">
      <c r="H7">
        <f>ROUND(I6*F6/10000,0)</f>
        <v>973</v>
      </c>
      <c r="I7" s="2951">
        <f>ROUND((I2*F2+I3*F3+I4*F4+I5*F5)/F6,0)</f>
        <v>2372</v>
      </c>
      <c r="K7" s="2951">
        <f>ROUND(K6/F6,1)</f>
        <v>1.1000000000000001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1637</v>
      </c>
      <c r="B2" s="2993" t="s">
        <v>1638</v>
      </c>
      <c r="C2" s="2993" t="s">
        <v>1639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7" t="s">
        <v>1634</v>
      </c>
      <c r="E3" s="1047" t="s">
        <v>1640</v>
      </c>
      <c r="F3" s="1047" t="s">
        <v>1634</v>
      </c>
      <c r="G3" s="1047" t="s">
        <v>1635</v>
      </c>
      <c r="H3" s="1047" t="s">
        <v>1634</v>
      </c>
      <c r="I3" s="1047" t="s">
        <v>1635</v>
      </c>
    </row>
    <row r="4" spans="1:9" ht="15">
      <c r="A4" s="1971" t="str">
        <f>项目基本情况!S2</f>
        <v>北京市房地产</v>
      </c>
      <c r="B4" s="1047">
        <f>项目基本情况!C17</f>
        <v>4096.63</v>
      </c>
      <c r="C4" s="1047">
        <f>项目基本情况!C18</f>
        <v>6287.7</v>
      </c>
      <c r="D4" s="1047">
        <f ca="1">结果表!D118</f>
        <v>570</v>
      </c>
      <c r="E4" s="1047">
        <f ca="1">结果表!E118</f>
        <v>1392</v>
      </c>
      <c r="F4" s="1047">
        <f ca="1">结果表!F118</f>
        <v>1121</v>
      </c>
      <c r="G4" s="1047">
        <f ca="1">结果表!G118</f>
        <v>2736</v>
      </c>
      <c r="H4" s="1047">
        <f ca="1">结果表!H118</f>
        <v>1691</v>
      </c>
      <c r="I4" s="1047">
        <f ca="1">结果表!I118</f>
        <v>4128</v>
      </c>
    </row>
    <row r="5" spans="1:9" ht="30" customHeight="1">
      <c r="A5" s="2987" t="s">
        <v>1636</v>
      </c>
      <c r="B5" s="2987"/>
      <c r="C5" s="2987"/>
      <c r="D5" s="2988" t="str">
        <f ca="1">结果表!D119</f>
        <v>伍佰柒拾万元整</v>
      </c>
      <c r="E5" s="2988"/>
      <c r="F5" s="2988" t="str">
        <f ca="1">结果表!F119</f>
        <v>壹仟壹佰贰拾壹万元整</v>
      </c>
      <c r="G5" s="2988"/>
      <c r="H5" s="2988" t="str">
        <f ca="1">结果表!H119</f>
        <v>壹仟陆佰玖拾壹万元整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1636</v>
      </c>
      <c r="B7" s="2987"/>
      <c r="C7" s="2987"/>
      <c r="D7" s="2989" t="str">
        <f>结果表!D121</f>
        <v>零元整</v>
      </c>
      <c r="E7" s="2990"/>
      <c r="F7" s="2990"/>
      <c r="G7" s="2990"/>
      <c r="H7" s="2990"/>
      <c r="I7" s="2991"/>
    </row>
    <row r="8" spans="1:9" ht="15.75">
      <c r="A8" s="2986" t="str">
        <f>结果表!A122</f>
        <v>房地产抵押价值</v>
      </c>
      <c r="B8" s="2986"/>
      <c r="C8" s="2986"/>
      <c r="D8" s="2986">
        <f ca="1">结果表!D122</f>
        <v>1691</v>
      </c>
      <c r="E8" s="2986"/>
      <c r="F8" s="2986"/>
      <c r="G8" s="2986"/>
      <c r="H8" s="2986"/>
      <c r="I8" s="2986"/>
    </row>
    <row r="9" spans="1:9" ht="15">
      <c r="A9" s="2987" t="s">
        <v>1636</v>
      </c>
      <c r="B9" s="2987"/>
      <c r="C9" s="2987"/>
      <c r="D9" s="2988" t="str">
        <f ca="1">结果表!D123</f>
        <v>壹仟陆佰玖拾壹万元整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1636</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0" t="s">
        <v>1658</v>
      </c>
      <c r="B1" s="3000"/>
      <c r="C1" s="3000"/>
      <c r="D1" s="3000"/>
    </row>
    <row r="2" spans="1:4" ht="18">
      <c r="A2" s="3001" t="s">
        <v>1642</v>
      </c>
      <c r="B2" s="3001"/>
      <c r="C2" s="3001"/>
      <c r="D2" s="3001"/>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0</v>
      </c>
      <c r="C5" s="1980"/>
      <c r="D5" s="1979" t="s">
        <v>1647</v>
      </c>
    </row>
    <row r="6" spans="1:4" ht="18">
      <c r="A6" s="3001" t="s">
        <v>1648</v>
      </c>
      <c r="B6" s="3001"/>
      <c r="C6" s="3001"/>
      <c r="D6" s="3001"/>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02" t="s">
        <v>1651</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1652</v>
      </c>
      <c r="B16" s="2996"/>
      <c r="C16" s="2996"/>
      <c r="D16" s="2996"/>
    </row>
    <row r="17" spans="1:4" ht="144" customHeight="1">
      <c r="A17" s="2996" t="s">
        <v>1653</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8" t="s">
        <v>1665</v>
      </c>
      <c r="B15" s="3003" t="s">
        <v>136</v>
      </c>
      <c r="C15" s="3004"/>
    </row>
    <row r="16" spans="1:7" ht="13.5">
      <c r="A16" s="3009"/>
      <c r="B16" s="3003" t="s">
        <v>69</v>
      </c>
      <c r="C16" s="3004"/>
    </row>
    <row r="17" spans="1:3" ht="13.5">
      <c r="A17" s="3009"/>
      <c r="B17" s="3006" t="s">
        <v>1666</v>
      </c>
      <c r="C17" s="1998" t="s">
        <v>1665</v>
      </c>
    </row>
    <row r="18" spans="1:3" ht="13.5">
      <c r="A18" s="3009"/>
      <c r="B18" s="3006"/>
      <c r="C18" s="1998" t="s">
        <v>1667</v>
      </c>
    </row>
    <row r="19" spans="1:3" ht="13.5">
      <c r="A19" s="3009"/>
      <c r="B19" s="3006"/>
      <c r="C19" s="1998" t="s">
        <v>1668</v>
      </c>
    </row>
    <row r="20" spans="1:3" ht="13.5">
      <c r="A20" s="3010"/>
      <c r="B20" s="3005" t="s">
        <v>1669</v>
      </c>
      <c r="C20" s="3004"/>
    </row>
    <row r="21" spans="1:3" ht="13.5">
      <c r="A21" s="1999" t="s">
        <v>1670</v>
      </c>
      <c r="B21" s="2000"/>
      <c r="C21" s="2001"/>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8" t="s">
        <v>1676</v>
      </c>
    </row>
    <row r="26" spans="1:3" ht="13.5">
      <c r="A26" s="3007"/>
      <c r="B26" s="3006"/>
      <c r="C26" s="1998" t="s">
        <v>1677</v>
      </c>
    </row>
    <row r="27" spans="1:3" ht="13.5">
      <c r="A27" s="3007"/>
      <c r="B27" s="3006"/>
      <c r="C27" s="1998" t="s">
        <v>1678</v>
      </c>
    </row>
    <row r="28" spans="1:3" ht="13.5">
      <c r="A28" s="3007"/>
      <c r="B28" s="3006"/>
      <c r="C28" s="1998" t="s">
        <v>1679</v>
      </c>
    </row>
    <row r="29" spans="1:3" ht="13.5">
      <c r="A29" s="3007"/>
      <c r="B29" s="3006"/>
      <c r="C29" s="1998" t="s">
        <v>1680</v>
      </c>
    </row>
    <row r="30" spans="1:3" ht="13.5">
      <c r="A30" s="3007"/>
      <c r="B30" s="3006"/>
      <c r="C30" s="1998" t="s">
        <v>1681</v>
      </c>
    </row>
    <row r="31" spans="1:3" ht="13.5">
      <c r="A31" s="3007"/>
      <c r="B31" s="3006"/>
      <c r="C31" s="1998" t="s">
        <v>1682</v>
      </c>
    </row>
    <row r="32" spans="1:3" ht="13.5">
      <c r="A32" s="3007"/>
      <c r="B32" s="3006"/>
      <c r="C32" s="1998" t="s">
        <v>1683</v>
      </c>
    </row>
    <row r="33" spans="1:3" ht="13.5">
      <c r="A33" s="3007"/>
      <c r="B33" s="3006"/>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8" sqref="B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43627</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t="str">
        <f ca="1">IF(C11&lt;B2,"已过期",1120100036)</f>
        <v>已过期</v>
      </c>
      <c r="C11" s="2347">
        <v>43622</v>
      </c>
      <c r="D11" s="2350" t="s">
        <v>839</v>
      </c>
      <c r="E11" s="1025">
        <f ca="1">IF(F11&lt;B2,"已过期",2010110070)</f>
        <v>2010110070</v>
      </c>
      <c r="F11" s="1033">
        <v>47907</v>
      </c>
    </row>
    <row r="12" spans="1:6" ht="24" customHeight="1">
      <c r="A12" s="1700"/>
      <c r="B12" s="1025"/>
      <c r="C12" s="2935"/>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3045</v>
      </c>
      <c r="B14" s="1025">
        <f ca="1">IF(C14&lt;B2,"已过期",1120040230)</f>
        <v>1120040230</v>
      </c>
      <c r="C14" s="2347">
        <v>43835</v>
      </c>
      <c r="D14" s="2350" t="s">
        <v>3045</v>
      </c>
      <c r="E14" s="1025">
        <f ca="1">IF(F14&lt;B2,"已过期",98030020)</f>
        <v>98030020</v>
      </c>
      <c r="F14" s="1033">
        <v>47118</v>
      </c>
    </row>
    <row r="15" spans="1:6" ht="24" customHeight="1">
      <c r="A15" s="1701" t="s">
        <v>3046</v>
      </c>
      <c r="B15" s="1025">
        <f ca="1">IF(C15&lt;B2,"已过期",1120070085)</f>
        <v>1120070085</v>
      </c>
      <c r="C15" s="2347">
        <v>43814</v>
      </c>
      <c r="D15" s="2351" t="s">
        <v>3046</v>
      </c>
      <c r="E15" s="1025">
        <f ca="1">IF(F15&lt;B2,"已过期",2004110128)</f>
        <v>2004110128</v>
      </c>
      <c r="F15" s="1026">
        <v>47118</v>
      </c>
    </row>
    <row r="16" spans="1:6" ht="24" customHeight="1">
      <c r="A16" s="1700" t="s">
        <v>3047</v>
      </c>
      <c r="B16" s="1025">
        <f ca="1">IF(C16&lt;B2,"已过期",1120140022)</f>
        <v>1120140022</v>
      </c>
      <c r="C16" s="2935">
        <v>44029</v>
      </c>
      <c r="D16" s="2350" t="s">
        <v>3047</v>
      </c>
      <c r="E16" s="1025">
        <f ca="1">IF(F16&lt;B2,"已过期",2008110059)</f>
        <v>2008110059</v>
      </c>
      <c r="F16" s="1033">
        <v>47177</v>
      </c>
    </row>
    <row r="17" spans="1:7" ht="24" customHeight="1">
      <c r="A17" s="1700"/>
      <c r="B17" s="1025"/>
      <c r="C17" s="2347"/>
      <c r="D17" s="2350" t="s">
        <v>3048</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5">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11" t="s">
        <v>843</v>
      </c>
      <c r="B25" s="3011"/>
      <c r="C25" s="3011"/>
      <c r="D25" s="3011"/>
      <c r="E25" s="3011"/>
      <c r="F25" s="3011"/>
      <c r="G25" s="3011"/>
    </row>
    <row r="26" spans="1:7" s="1028" customFormat="1" ht="24" customHeight="1">
      <c r="A26" s="3012" t="s">
        <v>844</v>
      </c>
      <c r="B26" s="3012"/>
      <c r="C26" s="3013"/>
      <c r="D26" s="3014" t="s">
        <v>845</v>
      </c>
      <c r="E26" s="3012"/>
      <c r="F26" s="3012"/>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2019-06-11T04:51:06Z</dcterms:modified>
</cp:coreProperties>
</file>