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报告们\法院\2023-1-0878北京市东城区左安浦园小区3号楼2单元603号\"/>
    </mc:Choice>
  </mc:AlternateContent>
  <bookViews>
    <workbookView xWindow="0" yWindow="0" windowWidth="21435" windowHeight="321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售价" sheetId="83" r:id="rId37"/>
    <sheet name="租赁" sheetId="82"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 i="9" l="1"/>
  <c r="I5" i="21" l="1"/>
  <c r="D3" i="4"/>
  <c r="L59" i="21" l="1"/>
  <c r="K59" i="21"/>
  <c r="B14" i="74" l="1"/>
  <c r="D5" i="9"/>
  <c r="I37" i="21"/>
  <c r="G37" i="21"/>
  <c r="I27" i="21"/>
  <c r="G27" i="21"/>
  <c r="E27" i="21"/>
  <c r="C27" i="21"/>
  <c r="I44" i="21"/>
  <c r="G44" i="21"/>
  <c r="E44" i="21"/>
  <c r="F59" i="21"/>
  <c r="E59" i="21"/>
  <c r="I59" i="21"/>
  <c r="G11" i="21"/>
  <c r="E11" i="21"/>
  <c r="G5" i="21"/>
  <c r="Y6" i="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s="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s="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K6" i="1"/>
  <c r="AP6" i="1" s="1"/>
  <c r="AC39" i="40"/>
  <c r="BL14" i="3"/>
  <c r="W28" i="37"/>
  <c r="F39" i="40"/>
  <c r="BA14" i="3"/>
  <c r="AZ14" i="3" s="1"/>
  <c r="AZ234" i="3"/>
  <c r="AZ286" i="3"/>
  <c r="AZ157" i="3"/>
  <c r="AZ189" i="3"/>
  <c r="B12" i="1"/>
  <c r="E12" i="1" s="1"/>
  <c r="B10" i="1"/>
  <c r="E10" i="1" s="1"/>
  <c r="K12" i="1"/>
  <c r="M12" i="1" s="1"/>
  <c r="S13" i="1"/>
  <c r="AR13" i="1" s="1"/>
  <c r="R13" i="1"/>
  <c r="J51" i="67"/>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BL17" i="3"/>
  <c r="BL13" i="3"/>
  <c r="J56" i="9"/>
  <c r="A24" i="51"/>
  <c r="B18" i="72" s="1"/>
  <c r="E32" i="6"/>
  <c r="G1" i="68"/>
  <c r="K1" i="12"/>
  <c r="E19" i="69"/>
  <c r="E19" i="68"/>
  <c r="E19" i="11"/>
  <c r="E1" i="73"/>
  <c r="G22" i="68"/>
  <c r="G22" i="11"/>
  <c r="C6" i="43"/>
  <c r="B19" i="53"/>
  <c r="B37" i="72" s="1"/>
  <c r="C7" i="33"/>
  <c r="G23" i="43"/>
  <c r="A4" i="51"/>
  <c r="B6" i="72"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AA9" i="21"/>
  <c r="K141" i="21"/>
  <c r="K144" i="21"/>
  <c r="K143" i="21"/>
  <c r="AB25" i="21"/>
  <c r="AA30" i="21"/>
  <c r="W13" i="21"/>
  <c r="W42" i="21"/>
  <c r="F10" i="21"/>
  <c r="AA10" i="21" s="1"/>
  <c r="K145" i="21"/>
  <c r="W17" i="21"/>
  <c r="W25" i="21"/>
  <c r="S17" i="21"/>
  <c r="AB29" i="21"/>
  <c r="AC34" i="21"/>
  <c r="C15" i="40"/>
  <c r="C23" i="40"/>
  <c r="B56" i="43"/>
  <c r="B67"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F7" i="73"/>
  <c r="D35" i="9"/>
  <c r="F40" i="15"/>
  <c r="D5" i="73"/>
  <c r="M6" i="15"/>
  <c r="C76" i="67"/>
  <c r="E7" i="76"/>
  <c r="E8" i="76"/>
  <c r="F38" i="15"/>
  <c r="M26" i="15"/>
  <c r="M22" i="15"/>
  <c r="L48" i="15"/>
  <c r="F8" i="15"/>
  <c r="E2" i="68"/>
  <c r="F7" i="15"/>
  <c r="F36" i="67"/>
  <c r="F6" i="73"/>
  <c r="B13" i="76"/>
  <c r="M28" i="15"/>
  <c r="F26" i="67"/>
  <c r="F3" i="73"/>
  <c r="F20" i="31"/>
  <c r="F9" i="15"/>
  <c r="M8" i="67"/>
  <c r="E12" i="76"/>
  <c r="B12" i="76"/>
  <c r="F4" i="73"/>
  <c r="B8" i="76"/>
  <c r="M29" i="67"/>
  <c r="C76" i="15"/>
  <c r="E2" i="69"/>
  <c r="F38" i="67"/>
  <c r="E9" i="76"/>
  <c r="E10" i="76"/>
  <c r="F37" i="67"/>
  <c r="J15" i="15"/>
  <c r="B7" i="76"/>
  <c r="F13" i="15"/>
  <c r="AO13" i="1"/>
  <c r="J15" i="67"/>
  <c r="F37" i="15"/>
  <c r="M24" i="15"/>
  <c r="B11" i="76"/>
  <c r="E11" i="76"/>
  <c r="B9" i="76"/>
  <c r="D34" i="9"/>
  <c r="B10" i="76"/>
  <c r="F5" i="73"/>
  <c r="F16" i="67"/>
  <c r="E13" i="76"/>
  <c r="J14" i="21" l="1"/>
  <c r="AA15" i="21"/>
  <c r="B62" i="43"/>
  <c r="M47" i="9"/>
  <c r="C7" i="35"/>
  <c r="C48" i="35" s="1"/>
  <c r="D48" i="35" s="1"/>
  <c r="C7" i="34"/>
  <c r="C7" i="40"/>
  <c r="C63" i="40" s="1"/>
  <c r="D63" i="40" s="1"/>
  <c r="C7" i="39"/>
  <c r="C67" i="39" s="1"/>
  <c r="C7" i="37"/>
  <c r="C52" i="37" s="1"/>
  <c r="D52" i="37" s="1"/>
  <c r="C7" i="21"/>
  <c r="D93" i="9"/>
  <c r="H75" i="43"/>
  <c r="G75" i="43" s="1"/>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E8" i="6" s="1"/>
  <c r="F27" i="6" s="1"/>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15" i="6"/>
  <c r="E64" i="39" s="1"/>
  <c r="E11" i="6"/>
  <c r="E60" i="39" s="1"/>
  <c r="H16" i="1"/>
  <c r="P6" i="1"/>
  <c r="C13" i="12" s="1"/>
  <c r="P11" i="1"/>
  <c r="D9" i="11"/>
  <c r="C9" i="11" s="1"/>
  <c r="D19" i="12"/>
  <c r="C19" i="12" s="1"/>
  <c r="AZ13" i="3"/>
  <c r="O9" i="1"/>
  <c r="P9" i="1" s="1"/>
  <c r="O12" i="1"/>
  <c r="P12" i="1" s="1"/>
  <c r="O8" i="1"/>
  <c r="P8" i="1" s="1"/>
  <c r="H73" i="43"/>
  <c r="G73" i="43" s="1"/>
  <c r="H90" i="43"/>
  <c r="C23" i="43"/>
  <c r="O23" i="43"/>
  <c r="I18" i="43"/>
  <c r="E17" i="43" s="1"/>
  <c r="C17" i="43" s="1"/>
  <c r="C24" i="43"/>
  <c r="H26" i="43"/>
  <c r="F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36" i="15"/>
  <c r="M23" i="67"/>
  <c r="F43" i="15"/>
  <c r="F27" i="69"/>
  <c r="M9" i="15"/>
  <c r="M23" i="15"/>
  <c r="F43" i="67"/>
  <c r="D6" i="73"/>
  <c r="F6" i="67"/>
  <c r="M28" i="67"/>
  <c r="M24" i="67"/>
  <c r="F8" i="67"/>
  <c r="F6" i="15"/>
  <c r="D9" i="69"/>
  <c r="L48" i="67"/>
  <c r="D4" i="73"/>
  <c r="F7" i="67"/>
  <c r="L47" i="67"/>
  <c r="F42" i="67"/>
  <c r="M29" i="15"/>
  <c r="M9" i="67"/>
  <c r="M22" i="67"/>
  <c r="C36" i="69"/>
  <c r="M6" i="67"/>
  <c r="D3" i="73"/>
  <c r="F9" i="67"/>
  <c r="F13" i="67"/>
  <c r="L47" i="15"/>
  <c r="M26" i="67"/>
  <c r="F40" i="67"/>
  <c r="F42" i="15"/>
  <c r="F26" i="15"/>
  <c r="D7" i="73"/>
  <c r="M8" i="15"/>
  <c r="F16" i="15"/>
  <c r="U26" i="21" l="1"/>
  <c r="W44" i="21"/>
  <c r="G26" i="43"/>
  <c r="E13" i="6"/>
  <c r="E12" i="6"/>
  <c r="E57" i="40" s="1"/>
  <c r="E14" i="6"/>
  <c r="N94" i="46"/>
  <c r="E10" i="6"/>
  <c r="C65" i="40"/>
  <c r="J7" i="36"/>
  <c r="M80" i="43"/>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AE11" i="1"/>
  <c r="AE9" i="1"/>
  <c r="F27" i="68"/>
  <c r="AE7" i="1"/>
  <c r="AE8" i="1"/>
  <c r="AE12" i="1"/>
  <c r="AE10" i="1"/>
  <c r="C16" i="67"/>
  <c r="C16" i="15"/>
  <c r="G1" i="73"/>
  <c r="M14" i="1" l="1"/>
  <c r="E63" i="39"/>
  <c r="E59" i="40"/>
  <c r="Q74" i="67"/>
  <c r="T60" i="7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M27" i="15"/>
  <c r="F41" i="15"/>
  <c r="E72" i="43" l="1"/>
  <c r="B70" i="43" s="1"/>
  <c r="C28" i="43" s="1"/>
  <c r="C33" i="43" s="1"/>
  <c r="AY6" i="3"/>
  <c r="F25" i="12"/>
  <c r="C26" i="12" s="1"/>
  <c r="D25" i="12" s="1"/>
  <c r="C48" i="67"/>
  <c r="C66" i="67" s="1"/>
  <c r="L37" i="43"/>
  <c r="P37" i="43" s="1"/>
  <c r="D37" i="11"/>
  <c r="D19" i="11"/>
  <c r="C19" i="11" s="1"/>
  <c r="C17" i="4"/>
  <c r="B4" i="52" s="1"/>
  <c r="B43" i="72" s="1"/>
  <c r="D3" i="37"/>
  <c r="D14" i="12"/>
  <c r="D17" i="12" s="1"/>
  <c r="C17" i="12" s="1"/>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C17" i="15"/>
  <c r="C34" i="69"/>
  <c r="D10" i="69"/>
  <c r="C14" i="67"/>
  <c r="C17" i="67"/>
  <c r="T10" i="43" l="1"/>
  <c r="V10" i="43" s="1"/>
  <c r="C40" i="43"/>
  <c r="G40" i="43" s="1"/>
  <c r="I40" i="43" s="1"/>
  <c r="T8" i="43"/>
  <c r="V8" i="43" s="1"/>
  <c r="T3" i="43"/>
  <c r="V3" i="43" s="1"/>
  <c r="C39" i="43"/>
  <c r="T7" i="43"/>
  <c r="V7" i="43" s="1"/>
  <c r="T2" i="43"/>
  <c r="V2" i="43" s="1"/>
  <c r="T13" i="43"/>
  <c r="V13" i="43" s="1"/>
  <c r="C37" i="43"/>
  <c r="G37" i="43" s="1"/>
  <c r="I37" i="43" s="1"/>
  <c r="T12" i="43"/>
  <c r="V12" i="43" s="1"/>
  <c r="T11" i="43"/>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3"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0" i="6" l="1"/>
  <c r="H25" i="6"/>
  <c r="G39" i="43"/>
  <c r="I39" i="43" s="1"/>
  <c r="E39" i="43"/>
  <c r="C30" i="43" s="1"/>
  <c r="E38" i="43"/>
  <c r="G38" i="43"/>
  <c r="I38" i="43" s="1"/>
  <c r="C7" i="69"/>
  <c r="C5" i="69" s="1"/>
  <c r="C23" i="69" s="1"/>
  <c r="D25" i="6"/>
  <c r="R25" i="6" s="1"/>
  <c r="R12" i="1" s="1"/>
  <c r="D22" i="6"/>
  <c r="D24" i="6"/>
  <c r="D26" i="6"/>
  <c r="D14" i="6"/>
  <c r="D9" i="6"/>
  <c r="D29" i="6"/>
  <c r="H21" i="6"/>
  <c r="D19" i="6"/>
  <c r="D23" i="6"/>
  <c r="R23" i="6" s="1"/>
  <c r="R10" i="1" s="1"/>
  <c r="D12" i="6"/>
  <c r="D13" i="6"/>
  <c r="E61" i="40"/>
  <c r="D15" i="6"/>
  <c r="D21" i="6"/>
  <c r="D20" i="6"/>
  <c r="R20" i="6" s="1"/>
  <c r="R7" i="1" s="1"/>
  <c r="D8" i="6"/>
  <c r="D6" i="6"/>
  <c r="D10" i="6"/>
  <c r="H22" i="6"/>
  <c r="H24" i="6"/>
  <c r="C18" i="4"/>
  <c r="D5" i="6"/>
  <c r="D11" i="6"/>
  <c r="D28" i="6"/>
  <c r="D30" i="6" s="1"/>
  <c r="H26" i="6"/>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31" i="43" l="1"/>
  <c r="R21" i="6"/>
  <c r="R8" i="1" s="1"/>
  <c r="M19" i="9"/>
  <c r="C118" i="9" s="1"/>
  <c r="B2" i="74" s="1"/>
  <c r="D27" i="6"/>
  <c r="D31" i="6" s="1"/>
  <c r="R24" i="6"/>
  <c r="R11" i="1" s="1"/>
  <c r="D16" i="6"/>
  <c r="C4" i="52"/>
  <c r="B45" i="72" s="1"/>
  <c r="A7" i="51"/>
  <c r="B7" i="72" s="1"/>
  <c r="A10" i="51"/>
  <c r="B9" i="72" s="1"/>
  <c r="R26" i="6"/>
  <c r="R22" i="6"/>
  <c r="R9" i="1" s="1"/>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E2" i="76" l="1"/>
  <c r="D8" i="74"/>
  <c r="D7" i="74"/>
  <c r="I6" i="6"/>
  <c r="I5" i="6"/>
  <c r="B2" i="76"/>
  <c r="B3" i="43"/>
  <c r="C12" i="71"/>
  <c r="D13" i="71"/>
  <c r="W7" i="21"/>
  <c r="AA7" i="21"/>
  <c r="R48" i="21" s="1"/>
  <c r="R49"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B3" i="76" l="1"/>
  <c r="W7" i="35"/>
  <c r="T12" i="7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C20" i="9"/>
  <c r="D2" i="36"/>
  <c r="D2" i="37"/>
  <c r="D19" i="9"/>
  <c r="L51" i="15"/>
  <c r="D2" i="34"/>
  <c r="G23" i="9" l="1"/>
  <c r="D8" i="7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6" i="1"/>
  <c r="AO9" i="1"/>
  <c r="AO11" i="1"/>
  <c r="AO12" i="1"/>
  <c r="D20" i="9"/>
  <c r="AO10" i="1"/>
  <c r="D27" i="9" l="1"/>
  <c r="D30" i="9" s="1"/>
  <c r="G24" i="9"/>
  <c r="D7" i="71"/>
  <c r="C6" i="7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27" i="9" s="1"/>
  <c r="C30" i="9" s="1"/>
  <c r="D14" i="74"/>
  <c r="D6" i="7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G118" i="9"/>
  <c r="F118" i="9" s="1"/>
  <c r="I118" i="9"/>
  <c r="C105" i="9" s="1"/>
  <c r="E118" i="9" l="1"/>
  <c r="D118" i="9" s="1"/>
  <c r="D4" i="52" s="1"/>
  <c r="B47" i="72" s="1"/>
  <c r="F119" i="9"/>
  <c r="F5" i="52" s="1"/>
  <c r="B53" i="72" s="1"/>
  <c r="F4" i="52"/>
  <c r="B51" i="72" s="1"/>
  <c r="G4" i="52"/>
  <c r="B52" i="72" s="1"/>
  <c r="H102" i="9"/>
  <c r="I4" i="52"/>
  <c r="E4" i="52"/>
  <c r="B48" i="72" s="1"/>
  <c r="H118" i="9"/>
  <c r="D119" i="9" l="1"/>
  <c r="D5" i="52" s="1"/>
  <c r="B49" i="72" s="1"/>
  <c r="D7" i="53"/>
  <c r="B21" i="72" s="1"/>
  <c r="C5" i="74"/>
  <c r="H119" i="9"/>
  <c r="H5" i="52" s="1"/>
  <c r="H4" i="52"/>
  <c r="C104" i="9"/>
  <c r="H101" i="9"/>
  <c r="D45" i="9" l="1"/>
  <c r="H107" i="9"/>
  <c r="M48" i="9"/>
  <c r="D5" i="53"/>
  <c r="B20" i="72" l="1"/>
  <c r="D6" i="53"/>
  <c r="B22" i="72" s="1"/>
  <c r="H108" i="9"/>
  <c r="D122" i="9"/>
  <c r="D13" i="53"/>
  <c r="C64" i="9"/>
  <c r="C63" i="9" s="1"/>
  <c r="C67" i="9" s="1"/>
  <c r="C78" i="9"/>
  <c r="C73" i="9" s="1"/>
  <c r="C85" i="9"/>
  <c r="D52" i="9"/>
  <c r="D55" i="9"/>
  <c r="M53" i="9" s="1"/>
  <c r="C93" i="9"/>
  <c r="C86" i="9" s="1"/>
  <c r="D53" i="9"/>
  <c r="C72" i="9"/>
  <c r="C95" i="9" l="1"/>
  <c r="C96" i="9" s="1"/>
  <c r="E96" i="9" s="1"/>
  <c r="E97" i="9" s="1"/>
  <c r="D8" i="52"/>
  <c r="D123" i="9"/>
  <c r="D9" i="52" s="1"/>
  <c r="D15" i="53"/>
  <c r="B31" i="72" s="1"/>
  <c r="C6" i="74"/>
  <c r="C68" i="9"/>
  <c r="D54" i="9" s="1"/>
  <c r="D59" i="9"/>
  <c r="M55" i="9" s="1"/>
  <c r="C79" i="9"/>
  <c r="D14" i="53"/>
  <c r="B32" i="72" s="1"/>
  <c r="B30" i="72"/>
  <c r="C80" i="9" l="1"/>
  <c r="E80" i="9" s="1"/>
  <c r="E81"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<sst xmlns="http://schemas.openxmlformats.org/spreadsheetml/2006/main" count="8725" uniqueCount="3776">
  <si>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</si>
  <si>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</si>
  <si>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</si>
  <si>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</si>
  <si>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</si>
  <si>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</si>
  <si>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</si>
  <si>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</si>
  <si>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</si>
  <si>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</si>
  <si>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</si>
  <si>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</si>
  <si>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</si>
  <si>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</si>
  <si>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</si>
  <si>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</si>
  <si>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</si>
  <si>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</si>
  <si>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</si>
  <si>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</si>
  <si>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</si>
  <si>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</si>
  <si>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</si>
  <si>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</si>
  <si>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</si>
  <si>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</si>
  <si>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</si>
  <si>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</si>
  <si>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</si>
  <si>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</si>
  <si>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</si>
  <si>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</si>
  <si>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</si>
  <si>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</si>
  <si>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</si>
  <si>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</si>
  <si>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</si>
  <si>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</si>
  <si>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</si>
  <si>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</si>
  <si>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</si>
  <si>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</si>
  <si>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</si>
  <si>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</si>
  <si>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</si>
  <si>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</si>
  <si>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</si>
  <si>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</si>
  <si>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</si>
  <si>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</si>
  <si>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</si>
  <si>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</si>
  <si>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</si>
  <si>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</si>
  <si>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</si>
  <si>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</si>
  <si>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</si>
  <si>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</si>
  <si>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</si>
  <si>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</si>
  <si>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</si>
  <si>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</si>
  <si>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</si>
  <si>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</si>
  <si>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</si>
  <si>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</si>
  <si>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</si>
  <si>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</si>
  <si>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</si>
  <si>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</si>
  <si>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</si>
  <si>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</si>
  <si>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</si>
  <si>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</si>
  <si>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</si>
  <si>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</si>
  <si>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</si>
  <si>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</si>
  <si>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</si>
  <si>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</si>
  <si>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</si>
  <si>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</si>
  <si>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</si>
  <si>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</si>
  <si>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</si>
  <si>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</si>
  <si>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</si>
  <si>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</si>
  <si>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</si>
  <si>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</si>
  <si>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</si>
  <si>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</si>
  <si>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</si>
  <si>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</si>
  <si>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</si>
  <si>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</si>
  <si>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</si>
  <si>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</si>
  <si>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</si>
  <si>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</si>
  <si>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</si>
  <si>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</si>
  <si>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</si>
  <si>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</si>
  <si>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</si>
  <si>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</si>
  <si>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</si>
  <si>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</si>
  <si>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</si>
  <si>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</si>
  <si>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</si>
  <si>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</si>
  <si>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</si>
  <si>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</si>
  <si>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</si>
  <si>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</si>
  <si>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</si>
  <si>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</si>
  <si>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</si>
  <si>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</si>
  <si>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</si>
  <si>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</si>
  <si>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</si>
  <si>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</si>
  <si>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</si>
  <si>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</si>
  <si>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</si>
  <si>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</si>
  <si>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</si>
  <si>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</si>
  <si>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</si>
  <si>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</si>
  <si>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</si>
  <si>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</si>
  <si>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</si>
  <si>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</si>
  <si>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</si>
  <si>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</si>
  <si>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</si>
  <si>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</si>
  <si>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</si>
  <si>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</si>
  <si>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</si>
  <si>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</si>
  <si>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</si>
  <si>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</si>
  <si>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</si>
  <si>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</si>
  <si>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</si>
  <si>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</si>
  <si>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</si>
  <si>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</si>
  <si>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</si>
  <si>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</si>
  <si>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</si>
  <si>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</si>
  <si>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</si>
  <si>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</si>
  <si>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</si>
  <si>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</si>
  <si>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</si>
  <si>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</si>
  <si>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</si>
  <si>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</si>
  <si>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</si>
  <si>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</si>
  <si>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</si>
  <si>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</si>
  <si>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</si>
  <si>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</si>
  <si>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</si>
  <si>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</si>
  <si>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</si>
  <si>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</si>
  <si>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</si>
  <si>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</si>
  <si>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</si>
  <si>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</si>
  <si>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</si>
  <si>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</si>
  <si>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</si>
  <si>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</si>
  <si>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</si>
  <si>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</si>
  <si>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</si>
  <si>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</si>
  <si>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</si>
  <si>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</si>
  <si>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</si>
  <si>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</si>
  <si>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</si>
  <si>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</si>
  <si>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</si>
  <si>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</si>
  <si>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</si>
  <si>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</si>
  <si>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</si>
  <si>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</si>
  <si>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</si>
  <si>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</si>
  <si>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</si>
  <si>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</si>
  <si>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</si>
  <si>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</si>
  <si>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</si>
  <si>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</si>
  <si>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</si>
  <si>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</si>
  <si>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</si>
  <si>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</si>
  <si>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</si>
  <si>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</si>
  <si>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</si>
  <si>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</si>
  <si>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</si>
  <si>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</si>
  <si>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</si>
  <si>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</si>
  <si>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</si>
  <si>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</si>
  <si>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</si>
  <si>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</si>
  <si>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</si>
  <si>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</si>
  <si>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</si>
  <si>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</si>
  <si>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</si>
  <si>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</si>
  <si>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</si>
  <si>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</si>
  <si>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</si>
  <si>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</si>
  <si>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</si>
  <si>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</si>
  <si>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</si>
  <si>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</si>
  <si>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</si>
  <si>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</si>
  <si>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</si>
  <si>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</si>
  <si>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</si>
  <si>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</si>
  <si>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</si>
  <si>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</si>
  <si>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</si>
  <si>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</si>
  <si>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</si>
  <si>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</si>
  <si>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</si>
  <si>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</si>
  <si>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</si>
  <si>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</si>
  <si>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</si>
  <si>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</si>
  <si>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</si>
  <si>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</si>
  <si>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</si>
  <si>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</si>
  <si>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</si>
  <si>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</si>
  <si>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</si>
  <si>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</si>
  <si>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</si>
  <si>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</si>
  <si>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</si>
  <si>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</si>
  <si>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</si>
  <si>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</si>
  <si>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</si>
  <si>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</si>
  <si>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</si>
  <si>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</si>
  <si>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</si>
  <si>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</si>
  <si>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</si>
  <si>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</si>
  <si>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</si>
  <si>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</si>
  <si>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</si>
  <si>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</si>
  <si>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</si>
  <si>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</si>
  <si>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</si>
  <si>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</si>
  <si>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</si>
  <si>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</si>
  <si>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</si>
  <si>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</si>
  <si>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</si>
  <si>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</si>
  <si>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</si>
  <si>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</si>
  <si>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</si>
  <si>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</si>
  <si>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</si>
  <si>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</si>
  <si>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</si>
  <si>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</si>
  <si>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</si>
  <si>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</si>
  <si>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</si>
  <si>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</si>
  <si>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</si>
  <si>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</si>
  <si>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</si>
  <si>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</si>
  <si>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</si>
  <si>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</si>
  <si>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</si>
  <si>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</si>
  <si>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</si>
  <si>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</si>
  <si>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</si>
  <si>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</si>
  <si>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</si>
  <si>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</si>
  <si>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</si>
  <si>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</si>
  <si>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</si>
  <si>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</si>
  <si>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</si>
  <si>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</si>
  <si>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</si>
  <si>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</si>
  <si>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</si>
  <si>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</si>
  <si>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</si>
  <si>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</si>
  <si>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</si>
  <si>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</si>
  <si>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</si>
  <si>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</si>
  <si>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</si>
  <si>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</si>
  <si>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</si>
  <si>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</si>
  <si>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</si>
  <si>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</si>
  <si>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</si>
  <si>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</si>
  <si>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</si>
  <si>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</si>
  <si>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</si>
  <si>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</si>
  <si>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</si>
  <si>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</si>
  <si>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</si>
  <si>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</si>
  <si>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</si>
  <si>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</si>
  <si>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</si>
  <si>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</si>
  <si>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</si>
  <si>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</si>
  <si>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</si>
  <si>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</si>
  <si>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</si>
  <si>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</si>
  <si>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</si>
  <si>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</si>
  <si>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</si>
  <si>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</si>
  <si>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</si>
  <si>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</si>
  <si>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</si>
  <si>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</si>
  <si>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</si>
  <si>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</si>
  <si>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</si>
  <si>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</si>
  <si>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</si>
  <si>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</si>
  <si>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</si>
  <si>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</si>
  <si>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</si>
  <si>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</si>
  <si>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</si>
  <si>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</si>
  <si>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</si>
  <si>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</si>
  <si>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</si>
  <si>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</si>
  <si>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</si>
  <si>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</si>
  <si>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</si>
  <si>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</si>
  <si>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</si>
  <si>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</si>
  <si>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</si>
  <si>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</si>
  <si>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</si>
  <si>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</si>
  <si>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</si>
  <si>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</si>
  <si>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</si>
  <si>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</si>
  <si>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</si>
  <si>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</si>
  <si>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</si>
  <si>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</si>
  <si>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</si>
  <si>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</si>
  <si>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</si>
  <si>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</si>
  <si>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</si>
  <si>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</si>
  <si>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</si>
  <si>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</si>
  <si>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</si>
  <si>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</si>
  <si>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</si>
  <si>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</si>
  <si>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</si>
  <si>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</si>
  <si>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</si>
  <si>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</si>
  <si>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</si>
  <si>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</si>
  <si>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</si>
  <si>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</si>
  <si>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</si>
  <si>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</si>
  <si>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</si>
  <si>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</si>
  <si>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</si>
  <si>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</si>
  <si>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</si>
  <si>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</si>
  <si>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</si>
  <si>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</si>
  <si>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</si>
  <si>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</si>
  <si>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</si>
  <si>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</si>
  <si>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</si>
  <si>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</si>
  <si>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</si>
  <si>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</si>
  <si>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</si>
  <si>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</si>
  <si>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</si>
  <si>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</si>
  <si>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</si>
  <si>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</si>
  <si>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</si>
  <si>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</si>
  <si>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</si>
  <si>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</si>
  <si>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</si>
  <si>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</si>
  <si>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</si>
  <si>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</si>
  <si>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</si>
  <si>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</si>
  <si>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</si>
  <si>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</si>
  <si>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</si>
  <si>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</si>
  <si>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</si>
  <si>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</si>
  <si>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</si>
  <si>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</si>
  <si>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</si>
  <si>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</si>
  <si>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</si>
  <si>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</si>
  <si>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</si>
  <si>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</si>
  <si>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</si>
  <si>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</si>
  <si>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</si>
  <si>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</si>
  <si>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</si>
  <si>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</si>
  <si>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</si>
  <si>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</si>
  <si>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</si>
  <si>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</si>
  <si>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</si>
  <si>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</si>
  <si>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</si>
  <si>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</si>
  <si>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</si>
  <si>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</si>
  <si>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</si>
  <si>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</si>
  <si>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</si>
  <si>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</si>
  <si>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</si>
  <si>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</si>
  <si>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</si>
  <si>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</si>
  <si>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</si>
  <si>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</si>
  <si>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</si>
  <si>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</si>
  <si>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</si>
  <si>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</si>
  <si>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</si>
  <si>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</si>
  <si>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</si>
  <si>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</si>
  <si>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</si>
  <si>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</si>
  <si>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</si>
  <si>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</si>
  <si>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</si>
  <si>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</si>
  <si>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</si>
  <si>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</si>
  <si>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</si>
  <si>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</si>
  <si>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</si>
  <si>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</si>
  <si>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</si>
  <si>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</si>
  <si>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</si>
  <si>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</si>
  <si>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</si>
  <si>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</si>
  <si>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</si>
  <si>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</si>
  <si>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</si>
  <si>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</si>
  <si>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</si>
  <si>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</si>
  <si>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</si>
  <si>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</si>
  <si>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</si>
  <si>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</si>
  <si>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</si>
  <si>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</si>
  <si>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</si>
  <si>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</si>
  <si>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</si>
  <si>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</si>
  <si>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</si>
  <si>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</si>
  <si>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</si>
  <si>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</si>
  <si>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</si>
  <si>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</si>
  <si>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</si>
  <si>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</si>
  <si>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</si>
  <si>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</si>
  <si>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</si>
  <si>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</si>
  <si>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</si>
  <si>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</si>
  <si>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</si>
  <si>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</si>
  <si>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</si>
  <si>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</si>
  <si>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</si>
  <si>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</si>
  <si>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</si>
  <si>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</si>
  <si>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</si>
  <si>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</si>
  <si>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</si>
  <si>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</si>
  <si>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</si>
  <si>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</si>
  <si>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</si>
  <si>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</si>
  <si>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</si>
  <si>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</si>
  <si>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</si>
  <si>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</si>
  <si>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</si>
  <si>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</si>
  <si>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</si>
  <si>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</si>
  <si>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</si>
  <si>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</si>
  <si>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</si>
  <si>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</si>
  <si>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</si>
  <si>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</si>
  <si>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</si>
  <si>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</si>
  <si>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</si>
  <si>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</si>
  <si>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</si>
  <si>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</si>
  <si>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</si>
  <si>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</si>
  <si>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</si>
  <si>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</si>
  <si>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</si>
  <si>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</si>
  <si>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</si>
  <si>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</si>
  <si>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</si>
  <si>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</si>
  <si>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</si>
  <si>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</si>
  <si>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</si>
  <si>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</si>
  <si>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</si>
  <si>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</si>
  <si>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</si>
  <si>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</si>
  <si>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</si>
  <si>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</si>
  <si>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</si>
  <si>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</si>
  <si>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</si>
  <si>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</si>
  <si>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</si>
  <si>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</si>
  <si>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</si>
  <si>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</si>
  <si>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</si>
  <si>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</si>
  <si>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</si>
  <si>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</si>
  <si>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</si>
  <si>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</si>
  <si>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</si>
  <si>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</si>
  <si>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</si>
  <si>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</si>
  <si>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</si>
  <si>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</si>
  <si>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</si>
  <si>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</si>
  <si>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</si>
  <si>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</si>
  <si>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</si>
  <si>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</si>
  <si>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</si>
  <si>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</si>
  <si>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</si>
  <si>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</si>
  <si>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</si>
  <si>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</si>
  <si>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</si>
  <si>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</si>
  <si>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</si>
  <si>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</si>
  <si>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</si>
  <si>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</si>
  <si>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</si>
  <si>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</si>
  <si>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</si>
  <si>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</si>
  <si>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</si>
  <si>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</si>
  <si>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</si>
  <si>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</si>
  <si>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</si>
  <si>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</si>
  <si>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</si>
  <si>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</si>
  <si>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</si>
  <si>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</si>
  <si>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</si>
  <si>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</si>
  <si>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</si>
  <si>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</si>
  <si>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</si>
  <si>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</si>
  <si>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</si>
  <si>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</si>
  <si>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</si>
  <si>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</si>
  <si>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</si>
  <si>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</si>
  <si>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</si>
  <si>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</si>
  <si>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</si>
  <si>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</si>
  <si>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</si>
  <si>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</si>
  <si>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</si>
  <si>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</si>
  <si>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</si>
  <si>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</si>
  <si>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</si>
  <si>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</si>
  <si>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</si>
  <si>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</si>
  <si>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</si>
  <si>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</si>
  <si>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</si>
  <si>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</si>
  <si>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</si>
  <si>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</si>
  <si>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</si>
  <si>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</si>
  <si>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</si>
  <si>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</si>
  <si>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</si>
  <si>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</si>
  <si>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</si>
  <si>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</si>
  <si>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</si>
  <si>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</si>
  <si>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</si>
  <si>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</si>
  <si>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</si>
  <si>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</si>
  <si>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</si>
  <si>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</si>
  <si>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</si>
  <si>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</si>
  <si>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</si>
  <si>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</si>
  <si>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</si>
  <si>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</si>
  <si>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</si>
  <si>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</si>
  <si>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</si>
  <si>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</si>
  <si>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</si>
  <si>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</si>
  <si>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</si>
  <si>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</si>
  <si>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</si>
  <si>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</si>
  <si>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</si>
  <si>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</si>
  <si>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</si>
  <si>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</si>
  <si>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</si>
  <si>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</si>
  <si>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</si>
  <si>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</si>
  <si>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</si>
  <si>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</si>
  <si>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</si>
  <si>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</si>
  <si>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</si>
  <si>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</si>
  <si>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</si>
  <si>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</si>
  <si>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</si>
  <si>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</si>
  <si>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</si>
  <si>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</si>
  <si>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</si>
  <si>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</si>
  <si>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</si>
  <si>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</si>
  <si>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</si>
  <si>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</si>
  <si>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</si>
  <si>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</si>
  <si>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</si>
  <si>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</si>
  <si>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</si>
  <si>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</si>
  <si>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</si>
  <si>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</si>
  <si>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</si>
  <si>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</si>
  <si>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</si>
  <si>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</si>
  <si>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</si>
  <si>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</si>
  <si>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</si>
  <si>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</si>
  <si>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</si>
  <si>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</si>
  <si>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</si>
  <si>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</si>
  <si>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</si>
  <si>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</si>
  <si>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</si>
  <si>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</si>
  <si>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</si>
  <si>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</si>
  <si>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</si>
  <si>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</si>
  <si>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</si>
  <si>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</si>
  <si>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</si>
  <si>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</si>
  <si>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</si>
  <si>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</si>
  <si>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</si>
  <si>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</si>
  <si>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</si>
  <si>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</si>
  <si>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</si>
  <si>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</si>
  <si>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</si>
  <si>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</si>
  <si>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</si>
  <si>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</si>
  <si>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</si>
  <si>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</si>
  <si>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</si>
  <si>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</si>
  <si>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</si>
  <si>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</si>
  <si>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</si>
  <si>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</si>
  <si>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</si>
  <si>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</si>
  <si>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</si>
  <si>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</si>
  <si>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</si>
  <si>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</si>
  <si>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</si>
  <si>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</si>
  <si>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</si>
  <si>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</si>
  <si>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</si>
  <si>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</si>
  <si>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</si>
  <si>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</si>
  <si>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</si>
  <si>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</si>
  <si>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</si>
  <si>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</si>
  <si>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</si>
  <si>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</si>
  <si>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</si>
  <si>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</si>
  <si>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</si>
  <si>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</si>
  <si>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</si>
  <si>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</si>
  <si>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</si>
  <si>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</si>
  <si>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</si>
  <si>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</si>
  <si>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</si>
  <si>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</si>
  <si>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</si>
  <si>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</si>
  <si>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</si>
  <si>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</si>
  <si>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</si>
  <si>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</si>
  <si>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</si>
  <si>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</si>
  <si>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</si>
  <si>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</si>
  <si>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</si>
  <si>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</si>
  <si>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</si>
  <si>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</si>
  <si>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</si>
  <si>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</si>
  <si>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</si>
  <si>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</si>
  <si>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</si>
  <si>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</si>
  <si>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</si>
  <si>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</si>
  <si>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</si>
  <si>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</si>
  <si>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</si>
  <si>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</si>
  <si>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</si>
  <si>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</si>
  <si>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</si>
  <si>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</si>
  <si>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</si>
  <si>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</si>
  <si>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</si>
  <si>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</si>
  <si>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</si>
  <si>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</si>
  <si>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</si>
  <si>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</si>
  <si>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</si>
  <si>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</si>
  <si>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</si>
  <si>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</si>
  <si>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</si>
  <si>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</si>
  <si>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</si>
  <si>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</si>
  <si>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</si>
  <si>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</si>
  <si>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</si>
  <si>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</si>
  <si>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</si>
  <si>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</si>
  <si>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</si>
  <si>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</si>
  <si>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</si>
  <si>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</si>
  <si>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</si>
  <si>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</si>
  <si>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</si>
  <si>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</si>
  <si>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</si>
  <si>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</si>
  <si>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</si>
  <si>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</si>
  <si>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</si>
  <si>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</si>
  <si>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</si>
  <si>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</si>
  <si>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</si>
  <si>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</si>
  <si>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</si>
  <si>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</si>
  <si>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</si>
  <si>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</si>
  <si>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</si>
  <si>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</si>
  <si>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</si>
  <si>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</si>
  <si>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</si>
  <si>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</si>
  <si>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</si>
  <si>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</si>
  <si>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</si>
  <si>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</si>
  <si>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</si>
  <si>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</si>
  <si>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</si>
  <si>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</si>
  <si>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</si>
  <si>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</si>
  <si>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</si>
  <si>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</si>
  <si>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</si>
  <si>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</si>
  <si>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</si>
  <si>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</si>
  <si>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</si>
  <si>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</si>
  <si>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</si>
  <si>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</si>
  <si>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</si>
  <si>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</si>
  <si>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</si>
  <si>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</si>
  <si>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</si>
  <si>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</si>
  <si>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</si>
  <si>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</si>
  <si>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</si>
  <si>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</si>
  <si>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</si>
  <si>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</si>
  <si>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</si>
  <si>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</si>
  <si>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</si>
  <si>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</si>
  <si>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</si>
  <si>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</si>
  <si>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</si>
  <si>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</si>
  <si>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</si>
  <si>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</si>
  <si>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</si>
  <si>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</si>
  <si>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</si>
  <si>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</si>
  <si>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</si>
  <si>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</si>
  <si>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</si>
  <si>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</si>
  <si>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</si>
  <si>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</si>
  <si>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</si>
  <si>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</si>
  <si>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</si>
  <si>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</si>
  <si>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</si>
  <si>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</si>
  <si>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</si>
  <si>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</si>
  <si>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</si>
  <si>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</si>
  <si>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</si>
  <si>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</si>
  <si>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</si>
  <si>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</si>
  <si>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</si>
  <si>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</si>
  <si>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</si>
  <si>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</si>
  <si>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</si>
  <si>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</si>
  <si>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</si>
  <si>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</si>
  <si>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</si>
  <si>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</si>
  <si>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</si>
  <si>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</si>
  <si>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</si>
  <si>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</si>
  <si>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</si>
  <si>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</si>
  <si>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</si>
  <si>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</si>
  <si>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</si>
  <si>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</si>
  <si>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</si>
  <si>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</si>
  <si>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</si>
  <si>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</si>
  <si>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</si>
  <si>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</si>
  <si>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</si>
  <si>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</si>
  <si>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</si>
  <si>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</si>
  <si>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</si>
  <si>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</si>
  <si>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</si>
  <si>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</si>
  <si>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</si>
  <si>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</si>
  <si>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</si>
  <si>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</si>
  <si>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</si>
  <si>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</si>
  <si>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</si>
  <si>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</si>
  <si>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</si>
  <si>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</si>
  <si>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</si>
  <si>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</si>
  <si>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</si>
  <si>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</si>
  <si>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</si>
  <si>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</si>
  <si>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</si>
  <si>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</si>
  <si>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</si>
  <si>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</si>
  <si>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</si>
  <si>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</si>
  <si>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</si>
  <si>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</si>
  <si>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</si>
  <si>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</si>
  <si>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</si>
  <si>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</si>
  <si>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</si>
  <si>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</si>
  <si>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</si>
  <si>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</si>
  <si>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</si>
  <si>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</si>
  <si>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</si>
  <si>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</si>
  <si>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</si>
  <si>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</si>
  <si>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</si>
  <si>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</si>
  <si>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</si>
  <si>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</si>
  <si>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</si>
  <si>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</si>
  <si>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</si>
  <si>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</si>
  <si>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</si>
  <si>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</si>
  <si>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</si>
  <si>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</si>
  <si>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</si>
  <si>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</si>
  <si>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</si>
  <si>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</si>
  <si>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</si>
  <si>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</si>
  <si>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</si>
  <si>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</si>
  <si>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</si>
  <si>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</si>
  <si>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</si>
  <si>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</si>
  <si>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</si>
  <si>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</si>
  <si>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</si>
  <si>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</si>
  <si>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</si>
  <si>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</si>
  <si>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</si>
  <si>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</si>
  <si>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</si>
  <si>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</si>
  <si>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</si>
  <si>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</si>
  <si>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</si>
  <si>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</si>
  <si>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</si>
  <si>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</si>
  <si>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</si>
  <si>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</si>
  <si>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</si>
  <si>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</si>
  <si>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</si>
  <si>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</si>
  <si>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</si>
  <si>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</si>
  <si>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</si>
  <si>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</si>
  <si>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</si>
  <si>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</si>
  <si>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</si>
  <si>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</si>
  <si>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</si>
  <si>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</si>
  <si>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</si>
  <si>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</si>
  <si>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</si>
  <si>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</si>
  <si>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</si>
  <si>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</si>
  <si>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</si>
  <si>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</si>
  <si>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</si>
  <si>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</si>
  <si>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</si>
  <si>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</si>
  <si>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</si>
  <si>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</si>
  <si>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</si>
  <si>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</si>
  <si>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</si>
  <si>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</si>
  <si>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</si>
  <si>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</si>
  <si>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</si>
  <si>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</si>
  <si>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</si>
  <si>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</si>
  <si>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</si>
  <si>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</si>
  <si>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</si>
  <si>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</si>
  <si>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</si>
  <si>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</si>
  <si>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</si>
  <si>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</si>
  <si>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</si>
  <si>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</si>
  <si>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</si>
  <si>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</si>
  <si>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</si>
  <si>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</si>
  <si>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</si>
  <si>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</si>
  <si>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</si>
  <si>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</si>
  <si>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</si>
  <si>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</si>
  <si>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</si>
  <si>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</si>
  <si>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</si>
  <si>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</si>
  <si>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</si>
  <si>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</si>
  <si>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</si>
  <si>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</si>
  <si>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</si>
  <si>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</si>
  <si>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</si>
  <si>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</si>
  <si>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</si>
  <si>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</si>
  <si>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</si>
  <si>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</si>
  <si>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</si>
  <si>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</si>
  <si>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</si>
  <si>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</si>
  <si>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</si>
  <si>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</si>
  <si>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</si>
  <si>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</si>
  <si>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</si>
  <si>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</si>
  <si>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</si>
  <si>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</si>
  <si>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</si>
  <si>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</si>
  <si>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</si>
  <si>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</si>
  <si>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</si>
  <si>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</si>
  <si>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</si>
  <si>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</si>
  <si>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</si>
  <si>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</si>
  <si>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</si>
  <si>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</si>
  <si>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</si>
  <si>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</si>
  <si>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</si>
  <si>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</si>
  <si>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</si>
  <si>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</si>
  <si>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</si>
  <si>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</si>
  <si>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</si>
  <si>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</si>
  <si>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</si>
  <si>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</si>
  <si>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</si>
  <si>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</si>
  <si>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</si>
  <si>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</si>
  <si>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</si>
  <si>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</si>
  <si>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</si>
  <si>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</si>
  <si>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</si>
  <si>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</si>
  <si>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</si>
  <si>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</si>
  <si>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</si>
  <si>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</si>
  <si>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</si>
  <si>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</si>
  <si>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</si>
  <si>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</si>
  <si>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</si>
  <si>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</si>
  <si>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</si>
  <si>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</si>
  <si>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</si>
  <si>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</si>
  <si>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</si>
  <si>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</si>
  <si>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</si>
  <si>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</si>
  <si>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</si>
  <si>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</si>
  <si>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</si>
  <si>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</si>
  <si>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</si>
  <si>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</si>
  <si>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</si>
  <si>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</si>
  <si>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</si>
  <si>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</si>
  <si>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</si>
  <si>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</si>
  <si>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</si>
  <si>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</si>
  <si>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</si>
  <si>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</si>
  <si>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</si>
  <si>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</si>
  <si>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</si>
  <si>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</si>
  <si>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</si>
  <si>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</si>
  <si>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</si>
  <si>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</si>
  <si>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</si>
  <si>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</si>
  <si>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</si>
  <si>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</si>
  <si>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</si>
  <si>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</si>
  <si>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</si>
  <si>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</si>
  <si>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</si>
  <si>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</si>
  <si>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</si>
  <si>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</si>
  <si>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</si>
  <si>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</si>
  <si>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</si>
  <si>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</si>
  <si>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</si>
  <si>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</si>
  <si>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</si>
  <si>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</si>
  <si>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</si>
  <si>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</si>
  <si>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</si>
  <si>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</si>
  <si>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</si>
  <si>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</si>
  <si>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</si>
  <si>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</si>
  <si>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</si>
  <si>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</si>
  <si>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</si>
  <si>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</si>
  <si>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</si>
  <si>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</si>
  <si>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</si>
  <si>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</si>
  <si>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</si>
  <si>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</si>
  <si>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</si>
  <si>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</si>
  <si>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</si>
  <si>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</si>
  <si>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</si>
  <si>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</si>
  <si>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</si>
  <si>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</si>
  <si>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</si>
  <si>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</si>
  <si>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</si>
  <si>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</si>
  <si>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</si>
  <si>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</si>
  <si>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</si>
  <si>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</si>
  <si>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</si>
  <si>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</si>
  <si>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</si>
  <si>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</si>
  <si>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</si>
  <si>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</si>
  <si>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</si>
  <si>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</si>
  <si>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</si>
  <si>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</si>
  <si>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</si>
  <si>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</si>
  <si>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</si>
  <si>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</si>
  <si>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</si>
  <si>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</si>
  <si>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</si>
  <si>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</si>
  <si>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</si>
  <si>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</si>
  <si>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</si>
  <si>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</si>
  <si>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</si>
  <si>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</si>
  <si>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</si>
  <si>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</si>
  <si>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</si>
  <si>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</si>
  <si>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</si>
  <si>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</si>
  <si>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</si>
  <si>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</si>
  <si>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</si>
  <si>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</si>
  <si>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</si>
  <si>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</si>
  <si>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</si>
  <si>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</si>
  <si>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</si>
  <si>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</si>
  <si>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</si>
  <si>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</si>
  <si>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</si>
  <si>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</si>
  <si>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</si>
  <si>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</si>
  <si>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</si>
  <si>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</si>
  <si>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</si>
  <si>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</si>
  <si>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</si>
  <si>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</si>
  <si>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</si>
  <si>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</si>
  <si>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</si>
  <si>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</si>
  <si>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</si>
  <si>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</si>
  <si>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</si>
  <si>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</si>
  <si>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</si>
  <si>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</si>
  <si>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</si>
  <si>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</si>
  <si>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</si>
  <si>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</si>
  <si>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</si>
  <si>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</si>
  <si>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</si>
  <si>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</si>
  <si>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</si>
  <si>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</si>
  <si>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</si>
  <si>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</si>
  <si>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</si>
  <si>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</si>
  <si>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</si>
  <si>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</si>
  <si>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</si>
  <si>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</si>
  <si>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</si>
  <si>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</si>
  <si>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</si>
  <si>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</si>
  <si>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</si>
  <si>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</si>
  <si>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</si>
  <si>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</si>
  <si>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</si>
  <si>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</si>
  <si>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</si>
  <si>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</si>
  <si>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</si>
  <si>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</si>
  <si>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</si>
  <si>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</si>
  <si>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</si>
  <si>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</si>
  <si>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</si>
  <si>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</si>
  <si>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</si>
  <si>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</si>
  <si>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</si>
  <si>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</si>
  <si>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</si>
  <si>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</si>
  <si>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</si>
  <si>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</si>
  <si>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</si>
  <si>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</si>
  <si>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</si>
  <si>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</si>
  <si>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</si>
  <si>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</si>
  <si>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</si>
  <si>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</si>
  <si>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</si>
  <si>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</si>
  <si>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</si>
  <si>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</si>
  <si>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</si>
  <si>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</si>
  <si>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</si>
  <si>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</si>
  <si>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</si>
  <si>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</si>
  <si>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</si>
  <si>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</si>
  <si>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</si>
  <si>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</si>
  <si>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</si>
  <si>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</si>
  <si>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</si>
  <si>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</si>
  <si>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</si>
  <si>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</si>
  <si>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</si>
  <si>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</si>
  <si>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</si>
  <si>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</si>
  <si>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</si>
  <si>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</si>
  <si>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</si>
  <si>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</si>
  <si>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</si>
  <si>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</si>
  <si>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</si>
  <si>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</si>
  <si>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</si>
  <si>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</si>
  <si>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</si>
  <si>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</si>
  <si>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</si>
  <si>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</si>
  <si>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</si>
  <si>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</si>
  <si>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</si>
  <si>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</si>
  <si>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</si>
  <si>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</si>
  <si>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</si>
  <si>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</si>
  <si>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</si>
  <si>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</si>
  <si>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</si>
  <si>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</si>
  <si>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</si>
  <si>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</si>
  <si>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</si>
  <si>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</si>
  <si>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</si>
  <si>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</si>
  <si>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</si>
  <si>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</si>
  <si>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</si>
  <si>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</si>
  <si>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</si>
  <si>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</si>
  <si>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</si>
  <si>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</si>
  <si>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</si>
  <si>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</si>
  <si>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</si>
  <si>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</si>
  <si>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</si>
  <si>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</si>
  <si>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</si>
  <si>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</si>
  <si>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</si>
  <si>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</si>
  <si>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</si>
  <si>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</si>
  <si>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</si>
  <si>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</si>
  <si>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</si>
  <si>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</si>
  <si>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</si>
  <si>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</si>
  <si>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</si>
  <si>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</si>
  <si>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</si>
  <si>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</si>
  <si>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</si>
  <si>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</si>
  <si>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</si>
  <si>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</si>
  <si>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</si>
  <si>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</si>
  <si>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</si>
  <si>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</si>
  <si>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</si>
  <si>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</si>
  <si>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</si>
  <si>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</si>
  <si>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</si>
  <si>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</si>
  <si>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</si>
  <si>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</si>
  <si>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</si>
  <si>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</si>
  <si>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</si>
  <si>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</si>
  <si>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</si>
  <si>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</si>
  <si>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</si>
  <si>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</si>
  <si>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</si>
  <si>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</si>
  <si>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</si>
  <si>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</si>
  <si>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</si>
  <si>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</si>
  <si>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</si>
  <si>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</si>
  <si>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</si>
  <si>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</si>
  <si>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</si>
  <si>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</si>
  <si>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</si>
  <si>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</si>
  <si>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</si>
  <si>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</si>
  <si>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</si>
  <si>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</si>
  <si>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</si>
  <si>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</si>
  <si>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</si>
  <si>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</si>
  <si>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</si>
  <si>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</si>
  <si>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</si>
  <si>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</si>
  <si>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</si>
  <si>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</si>
  <si>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</si>
  <si>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</si>
  <si>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</si>
  <si>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</si>
  <si>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</si>
  <si>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</si>
  <si>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</si>
  <si>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</si>
  <si>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</si>
  <si>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</si>
  <si>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</si>
  <si>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</si>
  <si>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</si>
  <si>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</si>
  <si>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</si>
  <si>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</si>
  <si>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</si>
  <si>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</si>
  <si>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</si>
  <si>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</si>
  <si>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</si>
  <si>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</si>
  <si>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</si>
  <si>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</si>
  <si>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</si>
  <si>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</si>
  <si>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</si>
  <si>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</si>
  <si>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</si>
  <si>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</si>
  <si>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</si>
  <si>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</si>
  <si>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</si>
  <si>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</si>
  <si>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</si>
  <si>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</si>
  <si>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</si>
  <si>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</si>
  <si>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</si>
  <si>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</si>
  <si>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</si>
  <si>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</si>
  <si>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</si>
  <si>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</si>
  <si>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</si>
  <si>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</si>
  <si>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</si>
  <si>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</si>
  <si>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</si>
  <si>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</si>
  <si>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</si>
  <si>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</si>
  <si>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</si>
  <si>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</si>
  <si>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</si>
  <si>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</si>
  <si>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</si>
  <si>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</si>
  <si>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</si>
  <si>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</si>
  <si>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</si>
  <si>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</si>
  <si>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</si>
  <si>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</si>
  <si>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</si>
  <si>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</si>
  <si>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</si>
  <si>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</si>
  <si>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</si>
  <si>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</si>
  <si>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</si>
  <si>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</si>
  <si>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</si>
  <si>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</si>
  <si>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</si>
  <si>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</si>
  <si>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</si>
  <si>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</si>
  <si>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</si>
  <si>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</si>
  <si>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</si>
  <si>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</si>
  <si>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</si>
  <si>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</si>
  <si>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</si>
  <si>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</si>
  <si>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</si>
  <si>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</si>
  <si>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</si>
  <si>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</si>
  <si>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</si>
  <si>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</si>
  <si>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</si>
  <si>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</si>
  <si>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</si>
  <si>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</si>
  <si>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</si>
  <si>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</si>
  <si>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</si>
  <si>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</si>
  <si>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</si>
  <si>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</si>
  <si>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</si>
  <si>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</si>
  <si>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</si>
  <si>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</si>
  <si>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</si>
  <si>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</si>
  <si>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</si>
  <si>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</si>
  <si>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</si>
  <si>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</si>
  <si>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</si>
  <si>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</si>
  <si>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</si>
  <si>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</si>
  <si>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</si>
  <si>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</si>
  <si>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</si>
  <si>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</si>
  <si>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</si>
  <si>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</si>
  <si>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</si>
  <si>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</si>
  <si>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</si>
  <si>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</si>
  <si>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</si>
  <si>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</si>
  <si>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</si>
  <si>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</si>
  <si>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</si>
  <si>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</si>
  <si>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</si>
  <si>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</si>
  <si>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</si>
  <si>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</si>
  <si>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</si>
  <si>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</si>
  <si>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</si>
  <si>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</si>
  <si>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</si>
  <si>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</si>
  <si>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</si>
  <si>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</si>
  <si>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</si>
  <si>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</si>
  <si>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</si>
  <si>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</si>
  <si>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</si>
  <si>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</si>
  <si>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</si>
  <si>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</si>
  <si>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</si>
  <si>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</si>
  <si>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</si>
  <si>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</si>
  <si>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</si>
  <si>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</si>
  <si>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</si>
  <si>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</si>
  <si>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</si>
  <si>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</si>
  <si>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</si>
  <si>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</si>
  <si>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</si>
  <si>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</si>
  <si>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</si>
  <si>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</si>
  <si>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</si>
  <si>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</si>
  <si>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</si>
  <si>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</si>
  <si>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</si>
  <si>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</si>
  <si>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</si>
  <si>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</si>
  <si>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</si>
  <si>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</si>
  <si>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</si>
  <si>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</si>
  <si>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</si>
  <si>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</si>
  <si>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</si>
  <si>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</si>
  <si>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</si>
  <si>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</si>
  <si>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</si>
  <si>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</si>
  <si>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</si>
  <si>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</si>
  <si>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</si>
  <si>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</si>
  <si>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</si>
  <si>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</si>
  <si>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</si>
  <si>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</si>
  <si>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</si>
  <si>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</si>
  <si>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</si>
  <si>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</si>
  <si>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</si>
  <si>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</si>
  <si>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</si>
  <si>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</si>
  <si>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</si>
  <si>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</si>
  <si>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</si>
  <si>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</si>
  <si>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</si>
  <si>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</si>
  <si>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</si>
  <si>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</si>
  <si>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</si>
  <si>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</si>
  <si>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</si>
  <si>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</si>
  <si>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</si>
  <si>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</si>
  <si>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</si>
  <si>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</si>
  <si>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</si>
  <si>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</si>
  <si>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</si>
  <si>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</si>
  <si>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</si>
  <si>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</si>
  <si>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</si>
  <si>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</si>
  <si>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</si>
  <si>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</si>
  <si>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</si>
  <si>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</si>
  <si>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</si>
  <si>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</si>
  <si>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</si>
  <si>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</si>
  <si>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</si>
  <si>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</si>
  <si>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</si>
  <si>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</si>
  <si>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</si>
  <si>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</si>
  <si>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</si>
  <si>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</si>
  <si>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</si>
  <si>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</si>
  <si>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</si>
  <si>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</si>
  <si>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</si>
  <si>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</si>
  <si>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</si>
  <si>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</si>
  <si>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</si>
  <si>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</si>
  <si>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</si>
  <si>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</si>
  <si>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</si>
  <si>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</si>
  <si>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</si>
  <si>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</si>
  <si>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</si>
  <si>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</si>
  <si>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</si>
  <si>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</si>
  <si>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</si>
  <si>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</si>
  <si>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</si>
  <si>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</si>
  <si>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</si>
  <si>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</si>
  <si>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</si>
  <si>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</si>
  <si>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</si>
  <si>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</si>
  <si>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</si>
  <si>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</si>
  <si>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</si>
  <si>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</si>
  <si>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</si>
  <si>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</si>
  <si>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</si>
  <si>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</si>
  <si>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</si>
  <si>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</si>
  <si>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</si>
  <si>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</si>
  <si>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</si>
  <si>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</si>
  <si>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</si>
  <si>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</si>
  <si>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</si>
  <si>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</si>
  <si>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</si>
  <si>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</si>
  <si>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</si>
  <si>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</si>
  <si>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</si>
  <si>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</si>
  <si>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</si>
  <si>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</si>
  <si>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</si>
  <si>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</si>
  <si>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</si>
  <si>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</si>
  <si>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</si>
  <si>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</si>
  <si>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</si>
  <si>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</si>
  <si>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</si>
  <si>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</si>
  <si>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</si>
  <si>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</si>
  <si>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</si>
  <si>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</si>
  <si>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</si>
  <si>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</si>
  <si>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</si>
  <si>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</si>
  <si>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</si>
  <si>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</si>
  <si>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</si>
  <si>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</si>
  <si>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</si>
  <si>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</si>
  <si>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</si>
  <si>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</si>
  <si>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</si>
  <si>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</si>
  <si>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</si>
  <si>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</si>
  <si>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</si>
  <si>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</si>
  <si>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</si>
  <si>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</si>
  <si>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</si>
  <si>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</si>
  <si>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</si>
  <si>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</si>
  <si>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</si>
  <si>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</si>
  <si>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</si>
  <si>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</si>
  <si>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</si>
  <si>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</si>
  <si>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</si>
  <si>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</si>
  <si>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</si>
  <si>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</si>
  <si>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</si>
  <si>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</si>
  <si>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</si>
  <si>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</si>
  <si>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</si>
  <si>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</si>
  <si>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</si>
  <si>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</si>
  <si>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</si>
  <si>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</si>
  <si>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</si>
  <si>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</si>
  <si>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</si>
  <si>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</si>
  <si>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</si>
  <si>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</si>
  <si>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</si>
  <si>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</si>
  <si>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</si>
  <si>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</si>
  <si>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</si>
  <si>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</si>
  <si>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</si>
  <si>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</si>
  <si>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</si>
  <si>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</si>
  <si>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</si>
  <si>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</si>
  <si>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</si>
  <si>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</si>
  <si>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</si>
  <si>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</si>
  <si>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</si>
  <si>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</si>
  <si>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</si>
  <si>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</si>
  <si>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</si>
  <si>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</si>
  <si>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</si>
  <si>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</si>
  <si>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</si>
  <si>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</si>
  <si>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</si>
  <si>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</si>
  <si>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</si>
  <si>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</si>
  <si>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</si>
  <si>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</si>
  <si>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</si>
  <si>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</si>
  <si>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</si>
  <si>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</si>
  <si>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</si>
  <si>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</si>
  <si>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</si>
  <si>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</si>
  <si>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</si>
  <si>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</si>
  <si>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</si>
  <si>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</si>
  <si>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</si>
  <si>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</si>
  <si>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</si>
  <si>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</si>
  <si>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</si>
  <si>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</si>
  <si>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</si>
  <si>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</si>
  <si>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</si>
  <si>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</si>
  <si>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</si>
  <si>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</si>
  <si>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</si>
  <si>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</si>
  <si>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</si>
  <si>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</si>
  <si>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</si>
  <si>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</si>
  <si>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</si>
  <si>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</si>
  <si>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</si>
  <si>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</si>
  <si>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</si>
  <si>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</si>
  <si>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</si>
  <si>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</si>
  <si>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</si>
  <si>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</si>
  <si>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</si>
  <si>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</si>
  <si>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</si>
  <si>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</si>
  <si>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</si>
  <si>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</si>
  <si>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</si>
  <si>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</si>
  <si>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</si>
  <si>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</si>
  <si>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</si>
  <si>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</si>
  <si>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</si>
  <si>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</si>
  <si>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</si>
  <si>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</si>
  <si>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</si>
  <si>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</si>
  <si>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</si>
  <si>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</si>
  <si>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</si>
  <si>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</si>
  <si>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</si>
  <si>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</si>
  <si>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</si>
  <si>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</si>
  <si>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</si>
  <si>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</si>
  <si>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</si>
  <si>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</si>
  <si>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</si>
  <si>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</si>
  <si>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</si>
  <si>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</si>
  <si>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</si>
  <si>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</si>
  <si>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</si>
  <si>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</si>
  <si>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</si>
  <si>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</si>
  <si>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</si>
  <si>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</si>
  <si>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</si>
  <si>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</si>
  <si>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</si>
  <si>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</si>
  <si>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</si>
  <si>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</si>
  <si>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</si>
  <si>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</si>
  <si>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</si>
  <si>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</si>
  <si>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</si>
  <si>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</si>
  <si>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</si>
  <si>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</si>
  <si>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</si>
  <si>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</si>
  <si>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</si>
  <si>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</si>
  <si>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</si>
  <si>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</si>
  <si>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</si>
  <si>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</si>
  <si>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</si>
  <si>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</si>
  <si>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</si>
  <si>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</si>
  <si>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</si>
  <si>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</si>
  <si>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</si>
  <si>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</si>
  <si>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</si>
  <si>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</si>
  <si>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</si>
  <si>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</si>
  <si>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</si>
  <si>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</si>
  <si>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</si>
  <si>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</si>
  <si>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</si>
  <si>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</si>
  <si>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</si>
  <si>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</si>
  <si>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</si>
  <si>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</si>
  <si>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</si>
  <si>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</si>
  <si>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</si>
  <si>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</si>
  <si>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</si>
  <si>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</si>
  <si>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</si>
  <si>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</si>
  <si>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</si>
  <si>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</si>
  <si>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</si>
  <si>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</si>
  <si>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</si>
  <si>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</si>
  <si>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</si>
  <si>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</si>
  <si>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</si>
  <si>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</si>
  <si>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</si>
  <si>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</si>
  <si>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</si>
  <si>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</si>
  <si>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</si>
  <si>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</si>
  <si>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</si>
  <si>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</si>
  <si>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</si>
  <si>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</si>
  <si>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</si>
  <si>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</si>
  <si>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</si>
  <si>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</si>
  <si>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</si>
  <si>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</si>
  <si>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</si>
  <si>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</si>
  <si>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</si>
  <si>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</si>
  <si>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</si>
  <si>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</si>
  <si>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</si>
  <si>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</si>
  <si>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</si>
  <si>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</si>
  <si>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</si>
  <si>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</si>
  <si>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</si>
  <si>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</si>
  <si>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</si>
  <si>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</si>
  <si>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</si>
  <si>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</si>
  <si>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</si>
  <si>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</si>
  <si>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</si>
  <si>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</si>
  <si>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</si>
  <si>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</si>
  <si>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</si>
  <si>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</si>
  <si>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</si>
  <si>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</si>
  <si>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</si>
  <si>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</si>
  <si>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</si>
  <si>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</si>
  <si>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</si>
  <si>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</si>
  <si>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</si>
  <si>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</si>
  <si>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</si>
  <si>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</si>
  <si>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</si>
  <si>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</si>
  <si>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</si>
  <si>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</si>
  <si>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</si>
  <si>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</si>
  <si>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</si>
  <si>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</si>
  <si>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</si>
  <si>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</si>
  <si>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</si>
  <si>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</si>
  <si>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</si>
  <si>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</si>
  <si>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</si>
  <si>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</si>
  <si>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</si>
  <si>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</si>
  <si>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</si>
  <si>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</si>
  <si>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</si>
  <si>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</si>
  <si>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</si>
  <si>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</si>
  <si>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</si>
  <si>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</si>
  <si>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</si>
  <si>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</si>
  <si>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</si>
  <si>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</si>
  <si>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</si>
  <si>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</si>
  <si>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</si>
  <si>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</si>
  <si>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</si>
  <si>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</si>
  <si>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</si>
  <si>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</si>
  <si>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</si>
  <si>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</si>
  <si>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</si>
  <si>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</si>
  <si>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</si>
  <si>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</si>
  <si>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</si>
  <si>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</si>
  <si>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</si>
  <si>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</si>
  <si>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</si>
  <si>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</si>
  <si>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</si>
  <si>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</si>
  <si>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</si>
  <si>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</si>
  <si>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</si>
  <si>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</si>
  <si>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</si>
  <si>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</si>
  <si>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</si>
  <si>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</si>
  <si>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</si>
  <si>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</si>
  <si>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</si>
  <si>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</si>
  <si>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</si>
  <si>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</si>
  <si>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</si>
  <si>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</si>
  <si>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</si>
  <si>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</si>
  <si>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</si>
  <si>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</si>
  <si>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</si>
  <si>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</si>
  <si>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</si>
  <si>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</si>
  <si>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</si>
  <si>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</si>
  <si>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</si>
  <si>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</si>
  <si>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</si>
  <si>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</si>
  <si>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</si>
  <si>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</si>
  <si>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</si>
  <si>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</si>
  <si>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</si>
  <si>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</si>
  <si>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</si>
  <si>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</si>
  <si>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</si>
  <si>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</si>
  <si>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</si>
  <si>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</si>
  <si>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</si>
  <si>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</si>
  <si>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</si>
  <si>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</si>
  <si>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</si>
  <si>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</si>
  <si>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</si>
  <si>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</si>
  <si>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</si>
  <si>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</si>
  <si>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</si>
  <si>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</si>
  <si>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</si>
  <si>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</si>
  <si>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</si>
  <si>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</si>
  <si>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</si>
  <si>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</si>
  <si>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</si>
  <si>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</si>
  <si>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</si>
  <si>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</si>
  <si>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</si>
  <si>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</si>
  <si>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</si>
  <si>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</si>
  <si>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</si>
  <si>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</si>
  <si>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</si>
  <si>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</si>
  <si>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</si>
  <si>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</si>
  <si>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</si>
  <si>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</si>
  <si>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</si>
  <si>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</si>
  <si>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</si>
  <si>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</si>
  <si>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</si>
  <si>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</si>
  <si>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</si>
  <si>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</si>
  <si>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</si>
  <si>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</si>
  <si>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</si>
  <si>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</si>
  <si>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</si>
  <si>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</si>
  <si>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</si>
  <si>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</si>
  <si>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</si>
  <si>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</si>
  <si>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</si>
  <si>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</si>
  <si>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</si>
  <si>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</si>
  <si>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</si>
  <si>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</si>
  <si>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</si>
  <si>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</si>
  <si>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</si>
  <si>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</si>
  <si>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</si>
  <si>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</si>
  <si>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</si>
  <si>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</si>
  <si>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</si>
  <si>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</si>
  <si>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</si>
  <si>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</si>
  <si>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</si>
  <si>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</si>
  <si>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</si>
  <si>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</si>
  <si>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</si>
  <si>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</si>
  <si>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</si>
  <si>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</si>
  <si>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</si>
  <si>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</si>
  <si>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</si>
  <si>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</si>
  <si>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</si>
  <si>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</si>
  <si>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</si>
  <si>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</si>
  <si>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</si>
  <si>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</si>
  <si>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</si>
  <si>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</si>
  <si>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</si>
  <si>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</si>
  <si>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</si>
  <si>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</si>
  <si>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</si>
  <si>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</si>
  <si>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</si>
  <si>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</si>
  <si>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</si>
  <si>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</si>
  <si>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</si>
  <si>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</si>
  <si>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</si>
  <si>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</si>
  <si>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</si>
  <si>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</si>
  <si>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</si>
  <si>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</si>
  <si>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</si>
  <si>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</si>
  <si>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</si>
  <si>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</si>
  <si>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</si>
  <si>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</si>
  <si>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</si>
  <si>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</si>
  <si>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</si>
  <si>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</si>
  <si>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</si>
  <si>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</si>
  <si>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</si>
  <si>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</si>
  <si>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</si>
  <si>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</si>
  <si>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</si>
  <si>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</si>
  <si>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</si>
  <si>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</si>
  <si>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</si>
  <si>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</si>
  <si>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</si>
  <si>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</si>
  <si>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</si>
  <si>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</si>
  <si>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</si>
  <si>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</si>
  <si>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</si>
  <si>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</si>
  <si>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</si>
  <si>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</si>
  <si>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</si>
  <si>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</si>
  <si>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</si>
  <si>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</si>
  <si>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</si>
  <si>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</si>
  <si>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</si>
  <si>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</si>
  <si>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</si>
  <si>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</si>
  <si>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</si>
  <si>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</si>
  <si>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</si>
  <si>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</si>
  <si>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</si>
  <si>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</si>
  <si>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</si>
  <si>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</si>
  <si>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</si>
  <si>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</si>
  <si>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</si>
  <si>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</si>
  <si>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</si>
  <si>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</si>
  <si>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</si>
  <si>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</si>
  <si>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</si>
  <si>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</si>
  <si>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</si>
  <si>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</si>
  <si>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</si>
  <si>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</si>
  <si>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</si>
  <si>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</si>
  <si>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</si>
  <si>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</si>
  <si>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</si>
  <si>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</si>
  <si>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</si>
  <si>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</si>
  <si>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</si>
  <si>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</si>
  <si>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</si>
  <si>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</si>
  <si>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</si>
  <si>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</si>
  <si>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</si>
  <si>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</si>
  <si>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</si>
  <si>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</si>
  <si>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</si>
  <si>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</si>
  <si>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</si>
  <si>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</si>
  <si>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</si>
  <si>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</si>
  <si>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</si>
  <si>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</si>
  <si>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</si>
  <si>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</si>
  <si>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</si>
  <si>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</si>
  <si>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</si>
  <si>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</si>
  <si>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</si>
  <si>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</si>
  <si>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</si>
  <si>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</si>
  <si>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</si>
  <si>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</si>
  <si>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</si>
  <si>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</si>
  <si>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</si>
  <si>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</si>
  <si>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</si>
  <si>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</si>
  <si>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</si>
  <si>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</si>
  <si>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</si>
  <si>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</si>
  <si>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</si>
  <si>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</si>
  <si>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</si>
  <si>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</si>
  <si>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</si>
  <si>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</si>
  <si>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</si>
  <si>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</si>
  <si>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</si>
  <si>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</si>
  <si>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</si>
  <si>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</si>
  <si>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</si>
  <si>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</si>
  <si>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</si>
  <si>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</si>
  <si>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</si>
  <si>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</si>
  <si>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</si>
  <si>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</si>
  <si>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</si>
  <si>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</si>
  <si>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</si>
  <si>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</si>
  <si>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</si>
  <si>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</si>
  <si>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</si>
  <si>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</si>
  <si>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</si>
  <si>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</si>
  <si>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</si>
  <si>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</si>
  <si>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</si>
  <si>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</si>
  <si>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</si>
  <si>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</si>
  <si>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</si>
  <si>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</si>
  <si>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</si>
  <si>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</si>
  <si>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</si>
  <si>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</si>
  <si>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</si>
  <si>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</si>
  <si>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</si>
  <si>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</si>
  <si>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</si>
  <si>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</si>
  <si>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</si>
  <si>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</si>
  <si>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</si>
  <si>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</si>
  <si>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</si>
  <si>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</si>
  <si>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</si>
  <si>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</si>
  <si>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</si>
  <si>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</si>
  <si>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</si>
  <si>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</si>
  <si>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</si>
  <si>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</si>
  <si>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</si>
  <si>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</si>
  <si>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</si>
  <si>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</si>
  <si>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</si>
  <si>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</si>
  <si>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</si>
  <si>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</si>
  <si>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</si>
  <si>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</si>
  <si>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</si>
  <si>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</si>
  <si>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</si>
  <si>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</si>
  <si>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</si>
  <si>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</si>
  <si>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</si>
  <si>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</si>
  <si>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</si>
  <si>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</si>
  <si>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</si>
  <si>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</si>
  <si>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</si>
  <si>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</si>
  <si>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</si>
  <si>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</si>
  <si>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</si>
  <si>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</si>
  <si>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</si>
  <si>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</si>
  <si>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</si>
  <si>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</si>
  <si>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</si>
  <si>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</si>
  <si>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</si>
  <si>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</si>
  <si>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</si>
  <si>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</si>
  <si>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</si>
  <si>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</si>
  <si>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</si>
  <si>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</si>
  <si>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</si>
  <si>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</si>
  <si>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</si>
  <si>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</si>
  <si>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</si>
  <si>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</si>
  <si>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</si>
  <si>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</si>
  <si>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</si>
  <si>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</si>
  <si>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</si>
  <si>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</si>
  <si>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</si>
  <si>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</si>
  <si>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</si>
  <si>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</si>
  <si>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</si>
  <si>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</si>
  <si>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</si>
  <si>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</si>
  <si>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</si>
  <si>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</si>
  <si>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</si>
  <si>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</si>
  <si>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</si>
  <si>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</si>
  <si>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</si>
  <si>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</si>
  <si>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</si>
  <si>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</si>
  <si>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</si>
  <si>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</si>
  <si>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</si>
  <si>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</si>
  <si>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</si>
  <si>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</si>
  <si>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</si>
  <si>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</si>
  <si>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</si>
  <si>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</si>
  <si>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</si>
  <si>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</si>
  <si>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</si>
  <si>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</si>
  <si>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</si>
  <si>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</si>
  <si>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</si>
  <si>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</si>
  <si>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</si>
  <si>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</si>
  <si>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</si>
  <si>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</si>
  <si>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</si>
  <si>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</si>
  <si>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</si>
  <si>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</si>
  <si>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</si>
  <si>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</si>
  <si>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</si>
  <si>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</si>
  <si>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</si>
  <si>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</si>
  <si>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</si>
  <si>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</si>
  <si>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</si>
  <si>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</si>
  <si>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</si>
  <si>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</si>
  <si>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</si>
  <si>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</si>
  <si>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</si>
  <si>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</si>
  <si>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</si>
  <si>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</si>
  <si>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</si>
  <si>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</si>
  <si>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</si>
  <si>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</si>
  <si>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</si>
  <si>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</si>
  <si>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</si>
  <si>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</si>
  <si>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</si>
  <si>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</si>
  <si>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</si>
  <si>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</si>
  <si>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</si>
  <si>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</si>
  <si>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</si>
  <si>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</si>
  <si>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</si>
  <si>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</si>
  <si>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</si>
  <si>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</si>
  <si>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</si>
  <si>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</si>
  <si>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</si>
  <si>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</si>
  <si>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</si>
  <si>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</si>
  <si>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</si>
  <si>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</si>
  <si>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</si>
  <si>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</si>
  <si>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</si>
  <si>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</si>
  <si>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</si>
  <si>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</si>
  <si>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</si>
  <si>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</si>
  <si>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</si>
  <si>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</si>
  <si>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</si>
  <si>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</si>
  <si>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</si>
  <si>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</si>
  <si>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</si>
  <si>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</si>
  <si>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</si>
  <si>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</si>
  <si>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</si>
  <si>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</si>
  <si>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</si>
  <si>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</si>
  <si>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</si>
  <si>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</si>
  <si>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</si>
  <si>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</si>
  <si>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</si>
  <si>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</si>
  <si>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</si>
  <si>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</si>
  <si>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</si>
  <si>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</si>
  <si>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</si>
  <si>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</si>
  <si>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</si>
  <si>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</si>
  <si>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</si>
  <si>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</si>
  <si>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</si>
  <si>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</si>
  <si>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</si>
  <si>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</si>
  <si>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</si>
  <si>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</si>
  <si>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</si>
  <si>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</si>
  <si>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</si>
  <si>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</si>
  <si>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</si>
  <si>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</si>
  <si>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</si>
  <si>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</si>
  <si>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</si>
  <si>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</si>
  <si>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</si>
  <si>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</si>
  <si>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</si>
  <si>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</si>
  <si>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</si>
  <si>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</si>
  <si>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</si>
  <si>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</si>
  <si>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</si>
  <si>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</si>
  <si>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</si>
  <si>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</si>
  <si>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</si>
  <si>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</si>
  <si>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</si>
  <si>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</si>
  <si>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</si>
  <si>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</si>
  <si>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</si>
  <si>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</si>
  <si>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</si>
  <si>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</si>
  <si>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</si>
  <si>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</si>
  <si>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</si>
  <si>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</si>
  <si>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</si>
  <si>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</si>
  <si>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</si>
  <si>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</si>
  <si>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</si>
  <si>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</si>
  <si>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</si>
  <si>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</si>
  <si>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</si>
  <si>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</si>
  <si>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</si>
  <si>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</si>
  <si>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</si>
  <si>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</si>
  <si>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</si>
  <si>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</si>
  <si>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</si>
  <si>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</si>
  <si>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</si>
  <si>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</si>
  <si>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</si>
  <si>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</si>
  <si>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</si>
  <si>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</si>
  <si>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</si>
  <si>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</si>
  <si>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</si>
  <si>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</si>
  <si>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</si>
  <si>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</si>
  <si>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</si>
  <si>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</si>
  <si>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</si>
  <si>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</si>
  <si>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</si>
  <si>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</si>
  <si>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</si>
  <si>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</si>
  <si>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</si>
  <si>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</si>
  <si>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</si>
  <si>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</si>
  <si>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</si>
  <si>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</si>
  <si>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</si>
  <si>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</si>
  <si>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</si>
  <si>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</si>
  <si>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</si>
  <si>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</si>
  <si>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</si>
  <si>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</si>
  <si>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</si>
  <si>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</si>
  <si>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</si>
  <si>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</si>
  <si>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</si>
  <si>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</si>
  <si>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</si>
  <si>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</si>
  <si>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</si>
  <si>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</si>
  <si>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</si>
  <si>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</si>
  <si>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</si>
  <si>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</si>
  <si>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</si>
  <si>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</si>
  <si>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</si>
  <si>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</si>
  <si>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</si>
  <si>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</si>
  <si>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</si>
  <si>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</si>
  <si>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</si>
  <si>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</si>
  <si>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</si>
  <si>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</si>
  <si>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</si>
  <si>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</si>
  <si>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</si>
  <si>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</si>
  <si>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</si>
  <si>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</si>
  <si>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</si>
  <si>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</si>
  <si>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</si>
  <si>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</si>
  <si>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</si>
  <si>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</si>
  <si>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</si>
  <si>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</si>
  <si>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</si>
  <si>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</si>
  <si>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</si>
  <si>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</si>
  <si>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</si>
  <si>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</si>
  <si>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</si>
  <si>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</si>
  <si>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</si>
  <si>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</si>
  <si>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</si>
  <si>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</si>
  <si>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</si>
  <si>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</si>
  <si>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</si>
  <si>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</si>
  <si>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</si>
  <si>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</si>
  <si>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</si>
  <si>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</si>
  <si>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</si>
  <si>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</si>
  <si>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</si>
  <si>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</si>
  <si>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</si>
  <si>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</si>
  <si>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</si>
  <si>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</si>
  <si>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</si>
  <si>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</si>
  <si>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</si>
  <si>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</si>
  <si>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</si>
  <si>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</si>
  <si>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</si>
  <si>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</si>
  <si>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</si>
  <si>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</si>
  <si>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</si>
  <si>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</si>
  <si>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</si>
  <si>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</si>
  <si>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</si>
  <si>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</si>
  <si>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</si>
  <si>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</si>
  <si>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</si>
  <si>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</si>
  <si>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</si>
  <si>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</si>
  <si>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</si>
  <si>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</si>
  <si>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</si>
  <si>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</si>
  <si>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</si>
  <si>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</si>
  <si>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</si>
  <si>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</si>
  <si>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</si>
  <si>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</si>
  <si>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</si>
  <si>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</si>
  <si>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</si>
  <si>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</si>
  <si>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</si>
  <si>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</si>
  <si>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</si>
  <si>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</si>
  <si>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</si>
  <si>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</si>
  <si>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</si>
  <si>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</si>
  <si>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</si>
  <si>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</si>
  <si>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</si>
  <si>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</si>
  <si>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</si>
  <si>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</si>
  <si>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</si>
  <si>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</si>
  <si>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</si>
  <si>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</si>
  <si>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</si>
  <si>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</si>
  <si>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</si>
  <si>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</si>
  <si>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</si>
  <si>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</si>
  <si>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</si>
  <si>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</si>
  <si>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</si>
  <si>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</si>
  <si>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</si>
  <si>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</si>
  <si>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</si>
  <si>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</si>
  <si>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</si>
  <si>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</si>
  <si>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</si>
  <si>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</si>
  <si>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</si>
  <si>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</si>
  <si>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</si>
  <si>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</si>
  <si>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</si>
  <si>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</si>
  <si>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</si>
  <si>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</si>
  <si>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</si>
  <si>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</si>
  <si>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</si>
  <si>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</si>
  <si>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</si>
  <si>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</si>
  <si>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</si>
  <si>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</si>
  <si>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</si>
  <si>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</si>
  <si>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</si>
  <si>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</si>
  <si>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</si>
  <si>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</si>
  <si>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</si>
  <si>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</si>
  <si>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</si>
  <si>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</si>
  <si>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</si>
  <si>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</si>
  <si>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</si>
  <si>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</si>
  <si>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</si>
  <si>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</si>
  <si>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</si>
  <si>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</si>
  <si>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</si>
  <si>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</si>
  <si>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</si>
  <si>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</si>
  <si>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</si>
  <si>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</si>
  <si>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</si>
  <si>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</si>
  <si>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</si>
  <si>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</si>
  <si>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</si>
  <si>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</si>
  <si>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</si>
  <si>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</si>
  <si>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</si>
  <si>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</si>
  <si>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</si>
  <si>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</si>
  <si>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</si>
  <si>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</si>
  <si>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</si>
  <si>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</si>
  <si>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</si>
  <si>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</si>
  <si>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</si>
  <si>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</si>
  <si>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</si>
  <si>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</si>
  <si>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</si>
  <si>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</si>
  <si>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</si>
  <si>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</si>
  <si>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</si>
  <si>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</si>
  <si>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</si>
  <si>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</si>
  <si>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</si>
  <si>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</si>
  <si>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</si>
  <si>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</si>
  <si>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</si>
  <si>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</si>
  <si>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</si>
  <si>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</si>
  <si>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</si>
  <si>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</si>
  <si>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</si>
  <si>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</si>
  <si>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</si>
  <si>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</si>
  <si>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</si>
  <si>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</si>
  <si>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</si>
  <si>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</si>
  <si>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</si>
  <si>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</si>
  <si>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</si>
  <si>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</si>
  <si>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</si>
  <si>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</si>
  <si>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</si>
  <si>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</si>
  <si>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</si>
  <si>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</si>
  <si>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</si>
  <si>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</si>
  <si>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</si>
  <si>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</si>
  <si>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</si>
  <si>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</si>
  <si>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</si>
  <si>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</si>
  <si>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</si>
  <si>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</si>
  <si>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</si>
  <si>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</si>
  <si>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</si>
  <si>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</si>
  <si>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</si>
  <si>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</si>
  <si>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</si>
  <si>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</si>
  <si>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</si>
  <si>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</si>
  <si>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</si>
  <si>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</si>
  <si>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</si>
  <si>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</si>
  <si>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</si>
  <si>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</si>
  <si>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</si>
  <si>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</si>
  <si>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</si>
  <si>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</si>
  <si>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</si>
  <si>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</si>
  <si>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</si>
  <si>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</si>
  <si>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</si>
  <si>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</si>
  <si>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</si>
  <si>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</si>
  <si>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</si>
  <si>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</si>
  <si>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</si>
  <si>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</si>
  <si>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</si>
  <si>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</si>
  <si>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</si>
  <si>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</si>
  <si>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</si>
  <si>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</si>
  <si>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</si>
  <si>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</si>
  <si>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</si>
  <si>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</si>
  <si>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</si>
  <si>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</si>
  <si>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</si>
  <si>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</si>
  <si>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</si>
  <si>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</si>
  <si>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</si>
  <si>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</si>
  <si>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</si>
  <si>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</si>
  <si>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</si>
  <si>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</si>
  <si>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</si>
  <si>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</si>
  <si>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</si>
  <si>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</si>
  <si>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</si>
  <si>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</si>
  <si>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</si>
  <si>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</si>
  <si>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</si>
  <si>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</si>
  <si>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</si>
  <si>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</si>
  <si>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</si>
  <si>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</si>
  <si>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</si>
  <si>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</si>
  <si>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</si>
  <si>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</si>
  <si>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</si>
  <si>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</si>
  <si>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</si>
  <si>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</si>
  <si>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</si>
  <si>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</si>
  <si>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</si>
  <si>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</si>
  <si>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</si>
  <si>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</si>
  <si>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</si>
  <si>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</si>
  <si>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</si>
  <si>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</si>
  <si>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</si>
  <si>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</si>
  <si>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</si>
  <si>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</si>
  <si>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</si>
  <si>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</si>
  <si>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</si>
  <si>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</si>
  <si>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</si>
  <si>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</si>
  <si>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</si>
  <si>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</si>
  <si>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</si>
  <si>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</si>
  <si>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</si>
  <si>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</si>
  <si>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</si>
  <si>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</si>
  <si>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</si>
  <si>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</si>
  <si>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</si>
  <si>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</si>
  <si>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</si>
  <si>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</si>
  <si>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</si>
  <si>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</si>
  <si>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</si>
  <si>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</si>
  <si>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</si>
  <si>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</si>
  <si>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</si>
  <si>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</si>
  <si>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</si>
  <si>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</si>
  <si>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</si>
  <si>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</si>
  <si>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</si>
  <si>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</si>
  <si>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</si>
  <si>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</si>
  <si>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</si>
  <si>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</si>
  <si>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</si>
  <si>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</si>
  <si>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</si>
  <si>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</si>
  <si>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</si>
  <si>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</si>
  <si>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</si>
  <si>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</si>
  <si>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</si>
  <si>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</si>
  <si>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</si>
  <si>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</si>
  <si>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</si>
  <si>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</si>
  <si>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</si>
  <si>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</si>
  <si>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</si>
  <si>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</si>
  <si>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</si>
  <si>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</si>
  <si>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</si>
  <si>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</si>
  <si>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</si>
  <si>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</si>
  <si>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</si>
  <si>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</si>
  <si>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</si>
  <si>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</si>
  <si>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</si>
  <si>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</si>
  <si>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</si>
  <si>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</si>
  <si>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</si>
  <si>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</si>
  <si>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</si>
  <si>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</si>
  <si>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</si>
  <si>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</si>
  <si>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</si>
  <si>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</si>
  <si>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</si>
  <si>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</si>
  <si>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</si>
  <si>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</si>
  <si>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</si>
  <si>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</si>
  <si>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</si>
  <si>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</si>
  <si>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</si>
  <si>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</si>
  <si>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</si>
  <si>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</si>
  <si>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</si>
  <si>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</si>
  <si>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</si>
  <si>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</si>
  <si>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</si>
  <si>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</si>
  <si>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</si>
  <si>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</si>
  <si>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</si>
  <si>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</si>
  <si>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</si>
  <si>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</si>
  <si>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</si>
  <si>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</si>
  <si>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</si>
  <si>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</si>
  <si>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</si>
  <si>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</si>
  <si>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</si>
  <si>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</si>
  <si>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</si>
  <si>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</si>
  <si>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</si>
  <si>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</si>
  <si>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</si>
  <si>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</si>
  <si>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</si>
  <si>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</si>
  <si>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</si>
  <si>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</si>
  <si>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</si>
  <si>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</si>
  <si>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</si>
  <si>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</si>
  <si>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</si>
  <si>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</si>
  <si>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</si>
  <si>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</si>
  <si>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</si>
  <si>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</si>
  <si>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</si>
  <si>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</si>
  <si>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</si>
  <si>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</si>
  <si>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</si>
  <si>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</si>
  <si>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</si>
  <si>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</si>
  <si>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</si>
  <si>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</si>
  <si>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</si>
  <si>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</si>
  <si>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</si>
  <si>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</si>
  <si>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</si>
  <si>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</si>
  <si>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</si>
  <si>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</si>
  <si>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</si>
  <si>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</si>
  <si>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</si>
  <si>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</si>
  <si>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</si>
  <si>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</si>
  <si>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</si>
  <si>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</si>
  <si>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</si>
  <si>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</si>
  <si>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</si>
  <si>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</si>
  <si>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</si>
  <si>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</si>
  <si>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</si>
  <si>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</si>
  <si>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</si>
  <si>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</si>
  <si>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</si>
  <si>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</si>
  <si>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</si>
  <si>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</si>
  <si>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</si>
  <si>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</si>
  <si>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</si>
  <si>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</si>
  <si>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</si>
  <si>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</si>
  <si>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</si>
  <si>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</si>
  <si>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</si>
  <si>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</si>
  <si>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</si>
  <si>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</si>
  <si>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</si>
  <si>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</si>
  <si>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</si>
  <si>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</si>
  <si>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</si>
  <si>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</si>
  <si>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</si>
  <si>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</si>
  <si>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</si>
  <si>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</si>
  <si>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</si>
  <si>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</si>
  <si>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</si>
  <si>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</si>
  <si>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</si>
  <si>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</si>
  <si>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</si>
  <si>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</si>
  <si>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</si>
  <si>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</si>
  <si>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</si>
  <si>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</si>
  <si>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</si>
  <si>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</si>
  <si>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</si>
  <si>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</si>
  <si>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</si>
  <si>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</si>
  <si>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</si>
  <si>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</si>
  <si>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</si>
  <si>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</si>
  <si>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</si>
  <si>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</si>
  <si>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</si>
  <si>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</si>
  <si>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</si>
  <si>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</si>
  <si>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</si>
  <si>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</si>
  <si>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</si>
  <si>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</si>
  <si>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</si>
  <si>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</si>
  <si>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</si>
  <si>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</si>
  <si>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</si>
  <si>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</si>
  <si>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</si>
  <si>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</si>
  <si>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</si>
  <si>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</si>
  <si>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</si>
  <si>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</si>
  <si>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</si>
  <si>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</si>
  <si>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</si>
  <si>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</si>
  <si>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</si>
  <si>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</si>
  <si>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</si>
  <si>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</si>
  <si>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</si>
  <si>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</si>
  <si>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</si>
  <si>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</si>
  <si>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</si>
  <si>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</si>
  <si>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</si>
  <si>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</si>
  <si>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</si>
  <si>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</si>
  <si>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</si>
  <si>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</si>
  <si>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</si>
  <si>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</si>
  <si>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</si>
  <si>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</si>
  <si>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</si>
  <si>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</si>
  <si>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</si>
  <si>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</si>
  <si>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</si>
  <si>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</si>
  <si>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</si>
  <si>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</si>
  <si>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</si>
  <si>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</si>
  <si>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</si>
  <si>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</si>
  <si>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</si>
  <si>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</si>
  <si>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</si>
  <si>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</si>
  <si>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</si>
  <si>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</si>
  <si>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宁小鳗</t>
  </si>
  <si>
    <t>划拨</t>
  </si>
  <si>
    <t>小区</t>
  </si>
  <si>
    <t>平米租金(元/㎡·月)</t>
  </si>
  <si>
    <t>套均租金(元/套·月)</t>
  </si>
  <si>
    <t>参考售价(元/㎡)</t>
  </si>
  <si>
    <t>租售比</t>
  </si>
  <si>
    <t>西草市东街甲34号院&lt;天坛、龙潭、体育馆路&lt;东城区</t>
  </si>
  <si>
    <t>1:710</t>
  </si>
  <si>
    <t>1:777</t>
  </si>
  <si>
    <t>1:776</t>
  </si>
  <si>
    <t>金鱼池中街2号院&lt;天坛、龙潭、体育馆路&lt;东城区</t>
  </si>
  <si>
    <t>1:860</t>
  </si>
  <si>
    <t>1:896</t>
  </si>
  <si>
    <t>1:927</t>
  </si>
  <si>
    <t>1:934</t>
  </si>
  <si>
    <t>1:914</t>
  </si>
  <si>
    <t>1:944</t>
  </si>
  <si>
    <t>1:858</t>
  </si>
  <si>
    <t>1:965</t>
  </si>
  <si>
    <t>1:998</t>
  </si>
  <si>
    <t>1:943</t>
  </si>
  <si>
    <t>1:986</t>
  </si>
  <si>
    <t>新裕家园&lt;天坛、龙潭、体育馆路&lt;东城区</t>
  </si>
  <si>
    <t>1:1028</t>
  </si>
  <si>
    <t>1:1119</t>
  </si>
  <si>
    <t>1:1106</t>
  </si>
  <si>
    <t>1:1060</t>
  </si>
  <si>
    <t>1:1029</t>
  </si>
  <si>
    <t>1:1013</t>
  </si>
  <si>
    <t>1:1017</t>
  </si>
  <si>
    <t>1:1051</t>
  </si>
  <si>
    <t>1:1088</t>
  </si>
  <si>
    <t>1:1090</t>
  </si>
  <si>
    <t>1:1132</t>
  </si>
  <si>
    <t>东方财富&lt;天坛、龙潭、体育馆路&lt;东城区</t>
  </si>
  <si>
    <t>1:885</t>
  </si>
  <si>
    <t>1:837</t>
  </si>
  <si>
    <t>1:832</t>
  </si>
  <si>
    <t>1:782</t>
  </si>
  <si>
    <t>1:790</t>
  </si>
  <si>
    <t>1:929</t>
  </si>
  <si>
    <t>1:989</t>
  </si>
  <si>
    <t>1:908</t>
  </si>
  <si>
    <t>1:901</t>
  </si>
  <si>
    <t>1:893</t>
  </si>
  <si>
    <t>1:868</t>
  </si>
  <si>
    <t>保利蔷薇&lt;天坛、龙潭、体育馆路&lt;东城区</t>
  </si>
  <si>
    <t>1:1075</t>
  </si>
  <si>
    <t>1:1062</t>
  </si>
  <si>
    <t>1:1015</t>
  </si>
  <si>
    <t>1:1008</t>
  </si>
  <si>
    <t>1:1031</t>
  </si>
  <si>
    <t>1:1038</t>
  </si>
  <si>
    <t>1:1011</t>
  </si>
  <si>
    <t>1:1023</t>
  </si>
  <si>
    <t>1:984</t>
  </si>
  <si>
    <t>1:1006</t>
  </si>
  <si>
    <t>幸福家园&lt;天坛、龙潭、体育馆路&lt;东城区</t>
  </si>
  <si>
    <t>1:1068</t>
  </si>
  <si>
    <t>1:1043</t>
  </si>
  <si>
    <t>1:1007</t>
  </si>
  <si>
    <t>1:1069</t>
  </si>
  <si>
    <t>1:1097</t>
  </si>
  <si>
    <t>1:1124</t>
  </si>
  <si>
    <t>1:1194</t>
  </si>
  <si>
    <t>1:1163</t>
  </si>
  <si>
    <t>1:1109</t>
  </si>
  <si>
    <t>广渠门内大街12号&lt;天坛、龙潭、体育馆路&lt;东城区</t>
  </si>
  <si>
    <t>1:852</t>
  </si>
  <si>
    <t>1:962</t>
  </si>
  <si>
    <t>1:918</t>
  </si>
  <si>
    <t>1:891</t>
  </si>
  <si>
    <t>1:948</t>
  </si>
  <si>
    <t>1:1018</t>
  </si>
  <si>
    <t>1:947</t>
  </si>
  <si>
    <t>广渠门内大街&lt;天坛、龙潭、体育馆路&lt;东城区</t>
  </si>
  <si>
    <t>1:933</t>
  </si>
  <si>
    <t>1:937</t>
  </si>
  <si>
    <t>1:924</t>
  </si>
  <si>
    <t>1:945</t>
  </si>
  <si>
    <t>1:935</t>
  </si>
  <si>
    <t>1:980</t>
  </si>
  <si>
    <t>1:976</t>
  </si>
  <si>
    <t>1:983</t>
  </si>
  <si>
    <t>1:988</t>
  </si>
  <si>
    <t>绿景苑&lt;天坛、龙潭、体育馆路&lt;东城区</t>
  </si>
  <si>
    <t>1:951</t>
  </si>
  <si>
    <t>1:938</t>
  </si>
  <si>
    <t>1:930</t>
  </si>
  <si>
    <t>1:958</t>
  </si>
  <si>
    <t>1:979</t>
  </si>
  <si>
    <t>1:990</t>
  </si>
  <si>
    <t>1:995</t>
  </si>
  <si>
    <t>1:981</t>
  </si>
  <si>
    <t>1:1030</t>
  </si>
  <si>
    <t>天华公馆&lt;天坛、龙潭、体育馆路&lt;东城区</t>
  </si>
  <si>
    <t>1:333</t>
  </si>
  <si>
    <t>1:360</t>
  </si>
  <si>
    <t>1:457</t>
  </si>
  <si>
    <t>1:520</t>
  </si>
  <si>
    <t>1:328</t>
  </si>
  <si>
    <t>双玉中街小区&lt;天坛、龙潭、体育馆路&lt;东城区</t>
  </si>
  <si>
    <t>1:854</t>
  </si>
  <si>
    <t>1:1002</t>
  </si>
  <si>
    <t>1:1070</t>
  </si>
  <si>
    <t>1:1142</t>
  </si>
  <si>
    <t>东晓市&lt;天坛、龙潭、体育馆路&lt;东城区</t>
  </si>
  <si>
    <t>1:671</t>
  </si>
  <si>
    <t>1:687</t>
  </si>
  <si>
    <t>1:735</t>
  </si>
  <si>
    <t>1:764</t>
  </si>
  <si>
    <t>1:963</t>
  </si>
  <si>
    <t>1:1045</t>
  </si>
  <si>
    <t>1:978</t>
  </si>
  <si>
    <t>金鱼池小区&lt;天坛、龙潭、体育馆路&lt;东城区</t>
  </si>
  <si>
    <t>1:767</t>
  </si>
  <si>
    <t>1:813</t>
  </si>
  <si>
    <t>1:819</t>
  </si>
  <si>
    <t>1:760</t>
  </si>
  <si>
    <t>1:801</t>
  </si>
  <si>
    <t>1:807</t>
  </si>
  <si>
    <t>1:829</t>
  </si>
  <si>
    <t>1:836</t>
  </si>
  <si>
    <t>1:851</t>
  </si>
  <si>
    <t>夕照寺西里小区&lt;天坛、龙潭、体育馆路&lt;东城区</t>
  </si>
  <si>
    <t>1:971</t>
  </si>
  <si>
    <t>1:1004</t>
  </si>
  <si>
    <t>1:1042</t>
  </si>
  <si>
    <t>1:1022</t>
  </si>
  <si>
    <t>1:1033</t>
  </si>
  <si>
    <t>1:956</t>
  </si>
  <si>
    <t>体育馆西路&lt;天坛、龙潭、体育馆路&lt;东城区</t>
  </si>
  <si>
    <t>1:861</t>
  </si>
  <si>
    <t>1:906</t>
  </si>
  <si>
    <t>1:991</t>
  </si>
  <si>
    <t>1:1024</t>
  </si>
  <si>
    <t>1:1052</t>
  </si>
  <si>
    <t>1:1053</t>
  </si>
  <si>
    <t>1:1055</t>
  </si>
  <si>
    <t>1:1016</t>
  </si>
  <si>
    <t>1:1064</t>
  </si>
  <si>
    <t>领行国际中心&lt;天坛、龙潭、体育馆路&lt;东城区</t>
  </si>
  <si>
    <t>1:773</t>
  </si>
  <si>
    <t>1:785</t>
  </si>
  <si>
    <t>1:814</t>
  </si>
  <si>
    <t>1:808</t>
  </si>
  <si>
    <t>1:917</t>
  </si>
  <si>
    <t>1:910</t>
  </si>
  <si>
    <t>1:880</t>
  </si>
  <si>
    <t>1:863</t>
  </si>
  <si>
    <t>1:853</t>
  </si>
  <si>
    <t>天坛东路64号&lt;天坛、龙潭、体育馆路&lt;东城区</t>
  </si>
  <si>
    <t>1:877</t>
  </si>
  <si>
    <t>1:859</t>
  </si>
  <si>
    <t>1:999</t>
  </si>
  <si>
    <t>光明中街小区&lt;天坛、龙潭、体育馆路&lt;东城区</t>
  </si>
  <si>
    <t>1:1009</t>
  </si>
  <si>
    <t>1:975</t>
  </si>
  <si>
    <t>1:996</t>
  </si>
  <si>
    <t>1:1131</t>
  </si>
  <si>
    <t>安化北里&lt;天坛、龙潭、体育馆路&lt;东城区</t>
  </si>
  <si>
    <t>1:969</t>
  </si>
  <si>
    <t>1:1035</t>
  </si>
  <si>
    <t>1:1092</t>
  </si>
  <si>
    <t>1:1027</t>
  </si>
  <si>
    <t>1:1072</t>
  </si>
  <si>
    <t>1:1050</t>
  </si>
  <si>
    <t>1:1113</t>
  </si>
  <si>
    <t>龙潭西里&lt;天坛、龙潭、体育馆路&lt;东城区</t>
  </si>
  <si>
    <t>1:913</t>
  </si>
  <si>
    <t>1:1000</t>
  </si>
  <si>
    <t>1:1074</t>
  </si>
  <si>
    <t>1:1083</t>
  </si>
  <si>
    <t>1:1056</t>
  </si>
  <si>
    <t>1:1046</t>
  </si>
  <si>
    <t>1:1021</t>
  </si>
  <si>
    <t>1:992</t>
  </si>
  <si>
    <t>天坛东里&lt;天坛、龙潭、体育馆路&lt;东城区</t>
  </si>
  <si>
    <t>1:872</t>
  </si>
  <si>
    <t>1:931</t>
  </si>
  <si>
    <t>1:871</t>
  </si>
  <si>
    <t>1:887</t>
  </si>
  <si>
    <t>体育馆路&lt;天坛、龙潭、体育馆路&lt;东城区</t>
  </si>
  <si>
    <t>1:912</t>
  </si>
  <si>
    <t>1:932</t>
  </si>
  <si>
    <t>1:1025</t>
  </si>
  <si>
    <t>板厂南里&lt;天坛、龙潭、体育馆路&lt;东城区</t>
  </si>
  <si>
    <t>1:997</t>
  </si>
  <si>
    <t>1:1078</t>
  </si>
  <si>
    <t>1:1034</t>
  </si>
  <si>
    <t>1:1128</t>
  </si>
  <si>
    <t>1:1159</t>
  </si>
  <si>
    <t>1:1202</t>
  </si>
  <si>
    <t>1:1173</t>
  </si>
  <si>
    <t>1:1114</t>
  </si>
  <si>
    <t>培新街乙5号院&lt;天坛、龙潭、体育馆路&lt;东城区</t>
  </si>
  <si>
    <t>1:1135</t>
  </si>
  <si>
    <t>1:1100</t>
  </si>
  <si>
    <t>1:1077</t>
  </si>
  <si>
    <t>水上华城&lt;天坛、龙潭、体育馆路&lt;东城区</t>
  </si>
  <si>
    <t>1:1117</t>
  </si>
  <si>
    <t>1:1121</t>
  </si>
  <si>
    <t>绿景馨园&lt;天坛、龙潭、体育馆路&lt;东城区</t>
  </si>
  <si>
    <t>1:1073</t>
  </si>
  <si>
    <t>1:1066</t>
  </si>
  <si>
    <t>1:1067</t>
  </si>
  <si>
    <t>1:1081</t>
  </si>
  <si>
    <t>1:1093</t>
  </si>
  <si>
    <t>1:1094</t>
  </si>
  <si>
    <t>幸福北里&lt;天坛、龙潭、体育馆路&lt;东城区</t>
  </si>
  <si>
    <t>1:1003</t>
  </si>
  <si>
    <t>1:994</t>
  </si>
  <si>
    <t>1:985</t>
  </si>
  <si>
    <t>1:1086</t>
  </si>
  <si>
    <t>天坛北里&lt;天坛、龙潭、体育馆路&lt;东城区</t>
  </si>
  <si>
    <t>1:796</t>
  </si>
  <si>
    <t>1:848</t>
  </si>
  <si>
    <t>1:803</t>
  </si>
  <si>
    <t>1:771</t>
  </si>
  <si>
    <t>1:840</t>
  </si>
  <si>
    <t>1:903</t>
  </si>
  <si>
    <t>1:870</t>
  </si>
  <si>
    <t>1:855</t>
  </si>
  <si>
    <t>1:817</t>
  </si>
  <si>
    <t>光明楼小区&lt;天坛、龙潭、体育馆路&lt;东城区</t>
  </si>
  <si>
    <t>1:1001</t>
  </si>
  <si>
    <t>1:1044</t>
  </si>
  <si>
    <t>1:1063</t>
  </si>
  <si>
    <t>光明西里&lt;天坛、龙潭、体育馆路&lt;东城区</t>
  </si>
  <si>
    <t>1:1014</t>
  </si>
  <si>
    <t>1:1010</t>
  </si>
  <si>
    <t>南水关&lt;天坛、龙潭、体育馆路&lt;东城区</t>
  </si>
  <si>
    <t>1:904</t>
  </si>
  <si>
    <t>1:961</t>
  </si>
  <si>
    <t>法华寺南里&lt;天坛、龙潭、体育馆路&lt;东城区</t>
  </si>
  <si>
    <t>1:941</t>
  </si>
  <si>
    <t>1:902</t>
  </si>
  <si>
    <t>1:838</t>
  </si>
  <si>
    <t>1:816</t>
  </si>
  <si>
    <t>安化南里&lt;天坛、龙潭、体育馆路&lt;东城区</t>
  </si>
  <si>
    <t>1:953</t>
  </si>
  <si>
    <t>1:1104</t>
  </si>
  <si>
    <t>1:1102</t>
  </si>
  <si>
    <t>1:1180</t>
  </si>
  <si>
    <t>1:1266</t>
  </si>
  <si>
    <t>1:1165</t>
  </si>
  <si>
    <t>营房西街&lt;天坛、龙潭、体育馆路&lt;东城区</t>
  </si>
  <si>
    <t>1:1039</t>
  </si>
  <si>
    <t>1:987</t>
  </si>
  <si>
    <t>天利园&lt;天坛、龙潭、体育馆路&lt;东城区</t>
  </si>
  <si>
    <t>1:972</t>
  </si>
  <si>
    <t>1:955</t>
  </si>
  <si>
    <t>1:936</t>
  </si>
  <si>
    <t>1:1212</t>
  </si>
  <si>
    <t>北京上舍&lt;天坛、龙潭、体育馆路&lt;东城区</t>
  </si>
  <si>
    <t>1:950</t>
  </si>
  <si>
    <t>1:973</t>
  </si>
  <si>
    <t>1:977</t>
  </si>
  <si>
    <t>1:959</t>
  </si>
  <si>
    <t>永定门东街&lt;天坛、龙潭、体育馆路&lt;东城区</t>
  </si>
  <si>
    <t>1:897</t>
  </si>
  <si>
    <t>1:946</t>
  </si>
  <si>
    <t>1:940</t>
  </si>
  <si>
    <t>幸福南里&lt;天坛、龙潭、体育馆路&lt;东城区</t>
  </si>
  <si>
    <t>1:954</t>
  </si>
  <si>
    <t>1:1161</t>
  </si>
  <si>
    <t>1:1208</t>
  </si>
  <si>
    <t>龙潭北里&lt;天坛、龙潭、体育馆路&lt;东城区</t>
  </si>
  <si>
    <t>1:968</t>
  </si>
  <si>
    <t>1:1026</t>
  </si>
  <si>
    <t>南岗子58号&lt;天坛、龙潭、体育馆路&lt;东城区</t>
  </si>
  <si>
    <t>1:1065</t>
  </si>
  <si>
    <t>1:1187</t>
  </si>
  <si>
    <t>1:1193</t>
  </si>
  <si>
    <t>FREE自由季&lt;天坛、龙潭、体育馆路&lt;东城区</t>
  </si>
  <si>
    <t>1:357</t>
  </si>
  <si>
    <t>1:389</t>
  </si>
  <si>
    <t>1:393</t>
  </si>
  <si>
    <t>1:448</t>
  </si>
  <si>
    <t>向新西里&lt;天坛、龙潭、体育馆路&lt;东城区</t>
  </si>
  <si>
    <t>1:926</t>
  </si>
  <si>
    <t>1:921</t>
  </si>
  <si>
    <t>1:1143</t>
  </si>
  <si>
    <t>南岗子小区&lt;天坛、龙潭、体育馆路&lt;东城区</t>
  </si>
  <si>
    <t>1:1091</t>
  </si>
  <si>
    <t>1:1137</t>
  </si>
  <si>
    <t>1:1139</t>
  </si>
  <si>
    <t>1:1082</t>
  </si>
  <si>
    <t>1:1071</t>
  </si>
  <si>
    <t>天坛医院宿舍&lt;天坛、龙潭、体育馆路&lt;东城区</t>
  </si>
  <si>
    <t>1:892</t>
  </si>
  <si>
    <t>天坛西里东区&lt;天坛、龙潭、体育馆路&lt;东城区</t>
  </si>
  <si>
    <t>天坛南里西区&lt;天坛、龙潭、体育馆路&lt;东城区</t>
  </si>
  <si>
    <t>东四块玉北街小区&lt;天坛、龙潭、体育馆路&lt;东城区</t>
  </si>
  <si>
    <t>1:907</t>
  </si>
  <si>
    <t>1:884</t>
  </si>
  <si>
    <t>1:873</t>
  </si>
  <si>
    <t>左安浦园&lt;天坛、龙潭、体育馆路&lt;东城区</t>
  </si>
  <si>
    <t>1:1005</t>
  </si>
  <si>
    <t>1:1057</t>
  </si>
  <si>
    <t>1:1061</t>
  </si>
  <si>
    <t>长青园&lt;天坛、龙潭、体育馆路&lt;东城区</t>
  </si>
  <si>
    <t>1:1059</t>
  </si>
  <si>
    <t>1:1112</t>
  </si>
  <si>
    <t>火桥北里&lt;天坛、龙潭、体育馆路&lt;东城区</t>
  </si>
  <si>
    <t>1:1032</t>
  </si>
  <si>
    <t>1:1047</t>
  </si>
  <si>
    <t>1:1036</t>
  </si>
  <si>
    <t>1:1049</t>
  </si>
  <si>
    <t>1:1012</t>
  </si>
  <si>
    <t>1:964</t>
  </si>
  <si>
    <t>左安漪园&lt;天坛、龙潭、体育馆路&lt;东城区</t>
  </si>
  <si>
    <t>1:1089</t>
  </si>
  <si>
    <t>1:916</t>
  </si>
  <si>
    <t>1:925</t>
  </si>
  <si>
    <t>东四块玉南街&lt;天坛、龙潭、体育馆路&lt;东城区</t>
  </si>
  <si>
    <t>1:1076</t>
  </si>
  <si>
    <t>1:1162</t>
  </si>
  <si>
    <t>1:1098</t>
  </si>
  <si>
    <t>1:1138</t>
  </si>
  <si>
    <t>永内东街&lt;天坛、龙潭、体育馆路&lt;东城区</t>
  </si>
  <si>
    <t>1:864</t>
  </si>
  <si>
    <t>1:831</t>
  </si>
  <si>
    <t>1:792</t>
  </si>
  <si>
    <t>1:846</t>
  </si>
  <si>
    <t>1:843</t>
  </si>
  <si>
    <t>崇文区左安浦园小区3号楼</t>
    <phoneticPr fontId="3" type="noConversion"/>
  </si>
  <si>
    <t>左安浦园</t>
    <phoneticPr fontId="3" type="noConversion"/>
  </si>
  <si>
    <r>
      <t>6/14</t>
    </r>
    <r>
      <rPr>
        <sz val="11"/>
        <color indexed="8"/>
        <rFont val="宋体"/>
        <family val="3"/>
        <charset val="134"/>
      </rPr>
      <t>（中楼层）</t>
    </r>
    <phoneticPr fontId="24" type="noConversion"/>
  </si>
  <si>
    <r>
      <rPr>
        <sz val="11"/>
        <color indexed="8"/>
        <rFont val="宋体"/>
        <family val="3"/>
        <charset val="134"/>
      </rPr>
      <t>高</t>
    </r>
    <r>
      <rPr>
        <sz val="11"/>
        <color indexed="8"/>
        <rFont val="Arial"/>
        <family val="2"/>
      </rPr>
      <t>/14</t>
    </r>
    <phoneticPr fontId="24" type="noConversion"/>
  </si>
  <si>
    <t>东</t>
  </si>
  <si>
    <t>西</t>
  </si>
  <si>
    <r>
      <rPr>
        <sz val="11"/>
        <color indexed="8"/>
        <rFont val="宋体"/>
        <family val="3"/>
        <charset val="134"/>
      </rPr>
      <t>中</t>
    </r>
    <r>
      <rPr>
        <sz val="11"/>
        <color indexed="8"/>
        <rFont val="Arial"/>
        <family val="2"/>
      </rPr>
      <t>/14</t>
    </r>
    <phoneticPr fontId="24" type="noConversion"/>
  </si>
  <si>
    <r>
      <rPr>
        <sz val="11"/>
        <color indexed="8"/>
        <rFont val="宋体"/>
        <family val="3"/>
        <charset val="134"/>
      </rPr>
      <t>中</t>
    </r>
    <r>
      <rPr>
        <sz val="11"/>
        <color indexed="8"/>
        <rFont val="Arial"/>
        <family val="2"/>
      </rPr>
      <t>/16</t>
    </r>
    <phoneticPr fontId="24" type="noConversion"/>
  </si>
  <si>
    <t>东南</t>
  </si>
  <si>
    <t>东南</t>
    <phoneticPr fontId="24" type="noConversion"/>
  </si>
  <si>
    <t>东</t>
    <phoneticPr fontId="24" type="noConversion"/>
  </si>
  <si>
    <t>西北</t>
  </si>
  <si>
    <t>西北</t>
    <phoneticPr fontId="24" type="noConversion"/>
  </si>
  <si>
    <t>西</t>
    <phoneticPr fontId="24" type="noConversion"/>
  </si>
  <si>
    <t>估价对象周边有左安漪园、向新西里、芳城园等社区，综合评价居住社区成熟度较好</t>
    <phoneticPr fontId="40" type="noConversion"/>
  </si>
  <si>
    <t>估价对象紧邻城市主干道——左安门内大街，有12路、84路、139路、352路等多条公共交通线路，距离最近的地铁14号线（方庄站）约1公里，综合评价交通便捷度较好</t>
    <phoneticPr fontId="40" type="noConversion"/>
  </si>
  <si>
    <t>楼面单价</t>
  </si>
  <si>
    <t>塔楼</t>
  </si>
  <si>
    <t>塔楼</t>
    <phoneticPr fontId="24" type="noConversion"/>
  </si>
  <si>
    <t>按经适房管理</t>
    <phoneticPr fontId="8" type="noConversion"/>
  </si>
  <si>
    <t>房屋性质</t>
    <phoneticPr fontId="24" type="noConversion"/>
  </si>
  <si>
    <t>商品房</t>
    <phoneticPr fontId="24" type="noConversion"/>
  </si>
  <si>
    <t>经适房</t>
    <phoneticPr fontId="24" type="noConversion"/>
  </si>
  <si>
    <t>商品房</t>
    <phoneticPr fontId="24" type="noConversion"/>
  </si>
  <si>
    <t>区域自然环境：龙潭公园、护城河；人文环境：龙潭湖体育馆、角楼图书馆；综合评价环境状况较好。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</si>
</sst>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49" fontId="269" fillId="0" borderId="42" xfId="0" applyNumberFormat="1" applyFont="1" applyFill="1" applyBorder="1" applyAlignment="1" applyProtection="1">
      <alignment vertical="center"/>
      <protection locked="0"/>
    </xf>
    <xf numFmtId="179" fontId="52" fillId="9" borderId="24" xfId="0" applyNumberFormat="1" applyFont="1" applyFill="1" applyBorder="1" applyAlignment="1" applyProtection="1">
      <alignment horizontal="center" vertical="center"/>
    </xf>
    <xf numFmtId="0" fontId="270" fillId="0" borderId="0" xfId="19" applyNumberFormat="1"/>
    <xf numFmtId="0" fontId="270" fillId="5" borderId="0" xfId="19" applyNumberFormat="1" applyFill="1"/>
    <xf numFmtId="183" fontId="44" fillId="7" borderId="7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3" fillId="0" borderId="23" xfId="0" applyFont="1" applyBorder="1" applyAlignment="1" applyProtection="1">
      <alignment horizontal="center"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4" fontId="270" fillId="0" borderId="0" xfId="19" applyNumberFormat="1"/>
    <xf numFmtId="0" fontId="270" fillId="0" borderId="0" xfId="19" applyNumberFormat="1"/>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531790</xdr:colOff>
      <xdr:row>30</xdr:row>
      <xdr:rowOff>75548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876190" cy="5219048"/>
        </a:xfrm>
        <a:prstGeom prst="rect">
          <a:avLst/>
        </a:prstGeom>
      </xdr:spPr>
    </xdr:pic>
    <xdr:clientData/>
  </xdr:twoCellAnchor>
  <xdr:twoCellAnchor editAs="oneCell">
    <xdr:from>
      <xdr:col>0</xdr:col>
      <xdr:colOff>0</xdr:colOff>
      <xdr:row>31</xdr:row>
      <xdr:rowOff>0</xdr:rowOff>
    </xdr:from>
    <xdr:to>
      <xdr:col>4</xdr:col>
      <xdr:colOff>583814</xdr:colOff>
      <xdr:row>72</xdr:row>
      <xdr:rowOff>170550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3327014" cy="7200000"/>
        </a:xfrm>
        <a:prstGeom prst="rect">
          <a:avLst/>
        </a:prstGeom>
      </xdr:spPr>
    </xdr:pic>
    <xdr:clientData/>
  </xdr:twoCellAnchor>
  <xdr:twoCellAnchor editAs="oneCell">
    <xdr:from>
      <xdr:col>4</xdr:col>
      <xdr:colOff>561975</xdr:colOff>
      <xdr:row>30</xdr:row>
      <xdr:rowOff>142875</xdr:rowOff>
    </xdr:from>
    <xdr:to>
      <xdr:col>9</xdr:col>
      <xdr:colOff>459989</xdr:colOff>
      <xdr:row>72</xdr:row>
      <xdr:rowOff>141975</xdr:rowOff>
    </xdr:to>
    <xdr:pic>
      <xdr:nvPicPr>
        <xdr:cNvPr id="4" name="图片 3"/>
        <xdr:cNvPicPr>
          <a:picLocks noChangeAspect="1"/>
        </xdr:cNvPicPr>
      </xdr:nvPicPr>
      <xdr:blipFill>
        <a:blip xmlns:r="http://schemas.openxmlformats.org/officeDocument/2006/relationships" r:embed="rId3"/>
        <a:stretch>
          <a:fillRect/>
        </a:stretch>
      </xdr:blipFill>
      <xdr:spPr>
        <a:xfrm>
          <a:off x="3305175" y="5286375"/>
          <a:ext cx="3327014" cy="7200000"/>
        </a:xfrm>
        <a:prstGeom prst="rect">
          <a:avLst/>
        </a:prstGeom>
      </xdr:spPr>
    </xdr:pic>
    <xdr:clientData/>
  </xdr:twoCellAnchor>
  <xdr:twoCellAnchor editAs="oneCell">
    <xdr:from>
      <xdr:col>9</xdr:col>
      <xdr:colOff>381000</xdr:colOff>
      <xdr:row>30</xdr:row>
      <xdr:rowOff>142875</xdr:rowOff>
    </xdr:from>
    <xdr:to>
      <xdr:col>14</xdr:col>
      <xdr:colOff>279014</xdr:colOff>
      <xdr:row>72</xdr:row>
      <xdr:rowOff>141975</xdr:rowOff>
    </xdr:to>
    <xdr:pic>
      <xdr:nvPicPr>
        <xdr:cNvPr id="5" name="图片 4"/>
        <xdr:cNvPicPr>
          <a:picLocks noChangeAspect="1"/>
        </xdr:cNvPicPr>
      </xdr:nvPicPr>
      <xdr:blipFill>
        <a:blip xmlns:r="http://schemas.openxmlformats.org/officeDocument/2006/relationships" r:embed="rId4"/>
        <a:stretch>
          <a:fillRect/>
        </a:stretch>
      </xdr:blipFill>
      <xdr:spPr>
        <a:xfrm>
          <a:off x="6553200" y="5286375"/>
          <a:ext cx="3327014" cy="7200000"/>
        </a:xfrm>
        <a:prstGeom prst="rect">
          <a:avLst/>
        </a:prstGeom>
      </xdr:spPr>
    </xdr:pic>
    <xdr:clientData/>
  </xdr:twoCellAnchor>
  <xdr:twoCellAnchor editAs="oneCell">
    <xdr:from>
      <xdr:col>0</xdr:col>
      <xdr:colOff>0</xdr:colOff>
      <xdr:row>72</xdr:row>
      <xdr:rowOff>133350</xdr:rowOff>
    </xdr:from>
    <xdr:to>
      <xdr:col>4</xdr:col>
      <xdr:colOff>583814</xdr:colOff>
      <xdr:row>114</xdr:row>
      <xdr:rowOff>132450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477750"/>
          <a:ext cx="3327014" cy="7200000"/>
        </a:xfrm>
        <a:prstGeom prst="rect">
          <a:avLst/>
        </a:prstGeom>
      </xdr:spPr>
    </xdr:pic>
    <xdr:clientData/>
  </xdr:twoCellAnchor>
  <xdr:twoCellAnchor editAs="oneCell">
    <xdr:from>
      <xdr:col>4</xdr:col>
      <xdr:colOff>542925</xdr:colOff>
      <xdr:row>72</xdr:row>
      <xdr:rowOff>142875</xdr:rowOff>
    </xdr:from>
    <xdr:to>
      <xdr:col>9</xdr:col>
      <xdr:colOff>440939</xdr:colOff>
      <xdr:row>114</xdr:row>
      <xdr:rowOff>141975</xdr:rowOff>
    </xdr:to>
    <xdr:pic>
      <xdr:nvPicPr>
        <xdr:cNvPr id="7" name="图片 6"/>
        <xdr:cNvPicPr>
          <a:picLocks noChangeAspect="1"/>
        </xdr:cNvPicPr>
      </xdr:nvPicPr>
      <xdr:blipFill>
        <a:blip xmlns:r="http://schemas.openxmlformats.org/officeDocument/2006/relationships" r:embed="rId6"/>
        <a:stretch>
          <a:fillRect/>
        </a:stretch>
      </xdr:blipFill>
      <xdr:spPr>
        <a:xfrm>
          <a:off x="3286125" y="12487275"/>
          <a:ext cx="3327014" cy="7200000"/>
        </a:xfrm>
        <a:prstGeom prst="rect">
          <a:avLst/>
        </a:prstGeom>
      </xdr:spPr>
    </xdr:pic>
    <xdr:clientData/>
  </xdr:twoCellAnchor>
  <xdr:twoCellAnchor editAs="oneCell">
    <xdr:from>
      <xdr:col>9</xdr:col>
      <xdr:colOff>457200</xdr:colOff>
      <xdr:row>73</xdr:row>
      <xdr:rowOff>0</xdr:rowOff>
    </xdr:from>
    <xdr:to>
      <xdr:col>20</xdr:col>
      <xdr:colOff>484828</xdr:colOff>
      <xdr:row>115</xdr:row>
      <xdr:rowOff>75290</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2515850"/>
          <a:ext cx="7571428"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551</v>
      </c>
    </row>
    <row r="21" spans="1:2" s="1203" customFormat="1">
      <c r="A21" s="1201" t="s">
        <v>537</v>
      </c>
      <c r="B21" s="1202">
        <f ca="1">'预评函-2'!D7</f>
        <v>79119</v>
      </c>
    </row>
    <row r="22" spans="1:2" s="1203" customFormat="1">
      <c r="A22" s="1201" t="s">
        <v>538</v>
      </c>
      <c r="B22" s="1202" t="str">
        <f ca="1">'预评函-2'!D6</f>
        <v>伍佰伍拾壹万元整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551</v>
      </c>
    </row>
    <row r="31" spans="1:2" s="1203" customFormat="1">
      <c r="A31" s="1201" t="s">
        <v>576</v>
      </c>
      <c r="B31" s="1202">
        <f ca="1">'预评函-2'!D15</f>
        <v>79119</v>
      </c>
    </row>
    <row r="32" spans="1:2" s="1203" customFormat="1">
      <c r="A32" s="1201" t="s">
        <v>543</v>
      </c>
      <c r="B32" s="1202" t="str">
        <f ca="1">'预评函-2'!D14</f>
        <v>伍佰伍拾壹万元整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2577</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2578</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0" t="s">
        <v>2580</v>
      </c>
      <c r="J2" s="3510"/>
      <c r="K2" s="3510"/>
      <c r="L2" s="3510"/>
      <c r="M2" s="3510"/>
      <c r="N2" s="3510"/>
      <c r="O2" s="3510"/>
      <c r="P2" s="3510"/>
      <c r="Q2" s="3510"/>
      <c r="R2" s="3510"/>
    </row>
    <row r="3" spans="1:18">
      <c r="A3" s="3019" t="s">
        <v>2501</v>
      </c>
      <c r="B3" s="3020">
        <f>项目基本情况!D3</f>
        <v>45274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45274</v>
      </c>
      <c r="C3" s="2374" t="s">
        <v>2170</v>
      </c>
      <c r="D3" s="2373">
        <f>B3</f>
        <v>45274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1120060040</v>
      </c>
      <c r="D4" s="2375" t="s">
        <v>3424</v>
      </c>
      <c r="E4" s="2377">
        <f>SUMIF(注册房地产估价师,D4,估价师及机构信息!B3:B24)</f>
        <v>1120210056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3377</v>
      </c>
      <c r="C8" s="2390"/>
      <c r="D8" s="3522" t="s">
        <v>2176</v>
      </c>
      <c r="E8" s="2391"/>
      <c r="F8" s="2392"/>
      <c r="G8" s="2662"/>
      <c r="H8" s="2662"/>
      <c r="I8" s="2662"/>
      <c r="J8" s="2439"/>
      <c r="K8" s="2613"/>
      <c r="L8" s="2612"/>
      <c r="M8" s="2612"/>
      <c r="N8" s="2439"/>
      <c r="O8" s="2450"/>
      <c r="P8" s="2439"/>
      <c r="Q8" s="2439"/>
      <c r="R8" s="2439"/>
    </row>
    <row r="9" spans="1:30" ht="13.5" thickBot="1">
      <c r="A9" s="2393" t="s">
        <v>2177</v>
      </c>
      <c r="B9" s="2394" t="s">
        <v>3378</v>
      </c>
      <c r="C9" s="2395"/>
      <c r="D9" s="3523"/>
      <c r="E9" s="2394"/>
      <c r="F9" s="2396"/>
      <c r="G9" s="2664"/>
      <c r="H9" s="2664"/>
      <c r="I9" s="2664"/>
      <c r="J9" s="2439"/>
      <c r="K9" s="2615"/>
      <c r="L9" s="2612"/>
      <c r="M9" s="2612"/>
      <c r="N9" s="2439"/>
      <c r="O9" s="2450"/>
      <c r="P9" s="2439"/>
      <c r="Q9" s="2439"/>
      <c r="R9" s="2439"/>
    </row>
    <row r="10" spans="1:30" ht="13.5" thickTop="1">
      <c r="A10" s="2397" t="s">
        <v>2178</v>
      </c>
      <c r="B10" s="2398" t="s">
        <v>3379</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3380</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3425</v>
      </c>
      <c r="B13" s="2407" t="s">
        <v>2189</v>
      </c>
      <c r="C13" s="856">
        <v>70829</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3"/>
      <c r="K15" s="2451"/>
      <c r="L15" s="2451"/>
      <c r="M15" s="2508"/>
      <c r="N15" s="2451"/>
      <c r="O15" s="2508"/>
      <c r="P15" s="2439"/>
      <c r="Q15" s="2439"/>
      <c r="AD15" s="1745"/>
    </row>
    <row r="16" spans="1:30">
      <c r="A16" s="2400" t="s">
        <v>2192</v>
      </c>
      <c r="B16" s="3529"/>
      <c r="C16" s="3530"/>
      <c r="D16" s="3531"/>
      <c r="E16" s="2413" t="s">
        <v>2193</v>
      </c>
      <c r="F16" s="3532"/>
      <c r="G16" s="3533"/>
      <c r="H16" s="3533"/>
      <c r="I16" s="3534"/>
      <c r="J16" s="2439"/>
      <c r="K16" s="2616"/>
      <c r="L16" s="2451"/>
      <c r="M16" s="2451"/>
      <c r="N16" s="2508"/>
      <c r="O16" s="2451"/>
      <c r="P16" s="2508"/>
      <c r="Q16" s="2439"/>
      <c r="R16" s="2439"/>
    </row>
    <row r="17" spans="1:28">
      <c r="A17" s="313" t="s">
        <v>2194</v>
      </c>
      <c r="B17" s="302" t="s">
        <v>2195</v>
      </c>
      <c r="C17" s="8">
        <f>'数据-汇总表'!E3</f>
        <v>69.7</v>
      </c>
      <c r="D17" s="2322" t="s">
        <v>2196</v>
      </c>
      <c r="E17" s="3535" t="s">
        <v>2197</v>
      </c>
      <c r="F17" s="3536"/>
      <c r="G17" s="3536"/>
      <c r="H17" s="3536"/>
      <c r="I17" s="3537"/>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38" t="s">
        <v>2201</v>
      </c>
      <c r="F18" s="3539"/>
      <c r="G18" s="3539"/>
      <c r="H18" s="3539"/>
      <c r="I18" s="3540"/>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25" t="s">
        <v>2205</v>
      </c>
      <c r="C20" s="3526"/>
      <c r="D20" s="3527" t="s">
        <v>2206</v>
      </c>
      <c r="E20" s="3528"/>
      <c r="F20" s="2646" t="s">
        <v>1056</v>
      </c>
      <c r="G20" s="2663"/>
      <c r="H20" s="2663"/>
      <c r="I20" s="2663"/>
      <c r="J20" s="2439"/>
      <c r="K20" s="352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12"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12"/>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12"/>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13"/>
      <c r="B30" s="302" t="s">
        <v>2217</v>
      </c>
      <c r="C30" s="3514"/>
      <c r="D30" s="3515"/>
      <c r="E30" s="2663"/>
      <c r="F30" s="2663"/>
      <c r="G30" s="2663"/>
      <c r="H30" s="2663"/>
      <c r="I30" s="2663"/>
      <c r="J30" s="2439"/>
      <c r="K30" s="2615"/>
      <c r="L30" s="2612"/>
      <c r="M30" s="2612"/>
      <c r="N30" s="2439"/>
      <c r="O30" s="2450"/>
      <c r="P30" s="2439"/>
      <c r="Q30" s="2439"/>
      <c r="R30" s="2439"/>
      <c r="S30" s="2439"/>
      <c r="T30" s="2439"/>
      <c r="U30" s="2439"/>
      <c r="V30" s="2439"/>
    </row>
    <row r="31" spans="1:28">
      <c r="A31" s="3516"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11" t="s">
        <v>2227</v>
      </c>
      <c r="T34" s="2428" t="str">
        <f>NUMBERSTRING(7-K34,1)&amp;"通"</f>
        <v>七通</v>
      </c>
      <c r="U34" s="2439"/>
      <c r="V34" s="2439"/>
    </row>
    <row r="35" spans="1:30">
      <c r="A35" s="2429"/>
      <c r="B35" s="3518" t="s">
        <v>2228</v>
      </c>
      <c r="C35" s="3518"/>
      <c r="D35" s="3518"/>
      <c r="E35" s="3518"/>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29</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234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69.7</v>
      </c>
      <c r="H5" s="13">
        <f t="shared" ref="H5:AT5" si="0">SUM(H13:H656)</f>
        <v>69.7</v>
      </c>
      <c r="I5" s="13">
        <f t="shared" si="0"/>
        <v>69.7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69.7</v>
      </c>
      <c r="BA5" s="15">
        <f t="shared" si="1"/>
        <v>69.7</v>
      </c>
      <c r="BB5" s="15">
        <f t="shared" si="1"/>
        <v>69.7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69.7</v>
      </c>
      <c r="H13" s="17">
        <f>SUMIF(I$12:AB$12,"总值",I13:AB13)</f>
        <v>69.7</v>
      </c>
      <c r="I13" s="1626">
        <v>69.7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69.7</v>
      </c>
      <c r="BA13" s="13">
        <f>SUM(BB13:BK13)</f>
        <v>69.7</v>
      </c>
      <c r="BB13" s="13">
        <f>IF($D13="是",I13-J13,0)</f>
        <v>69.7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8"/>
      <c r="G2" s="2649"/>
      <c r="H2" s="2650"/>
      <c r="I2" s="2325" t="s">
        <v>1132</v>
      </c>
      <c r="J2" s="2658"/>
      <c r="K2" s="2658"/>
      <c r="L2" s="2658"/>
      <c r="M2" s="2658"/>
      <c r="N2" s="2660"/>
      <c r="O2" s="2658"/>
      <c r="P2" s="2658"/>
    </row>
    <row r="3" spans="1:16" ht="15.75" thickBot="1">
      <c r="A3" s="3551" t="s">
        <v>1105</v>
      </c>
      <c r="B3" s="3551"/>
      <c r="C3" s="3551"/>
      <c r="D3" s="43">
        <f>'数据-基础表'!AY6</f>
        <v>0</v>
      </c>
      <c r="E3" s="43">
        <f>'数据-基础表'!AZ5</f>
        <v>69.7</v>
      </c>
      <c r="F3" s="2658"/>
      <c r="G3" s="1145"/>
      <c r="H3" s="1026" t="s">
        <v>1106</v>
      </c>
      <c r="I3" s="855" t="e">
        <f>ROUND('数据-基础表'!B3/'数据-基础表'!A3,2)</f>
        <v>#DIV/0!</v>
      </c>
      <c r="J3" s="2658"/>
      <c r="K3" s="2658"/>
      <c r="L3" s="2658"/>
      <c r="M3" s="2658"/>
      <c r="N3" s="2660"/>
      <c r="O3" s="2658"/>
      <c r="P3" s="2658"/>
    </row>
    <row r="4" spans="1:16" ht="15">
      <c r="A4" s="3552"/>
      <c r="B4" s="3553"/>
      <c r="C4" s="355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5" t="s">
        <v>1111</v>
      </c>
      <c r="C6" s="3555"/>
      <c r="D6" s="45">
        <f>ROUND($D$3*E6/$E$3,2)</f>
        <v>0</v>
      </c>
      <c r="E6" s="46">
        <f>E3-E5</f>
        <v>69.7</v>
      </c>
      <c r="F6" s="2658"/>
      <c r="G6" s="2652" t="s">
        <v>1112</v>
      </c>
      <c r="H6" s="1146" t="s">
        <v>1113</v>
      </c>
      <c r="I6" s="2653" t="e">
        <f>ROUND(F31/D31,2)</f>
        <v>#DIV/0!</v>
      </c>
      <c r="J6" s="2658"/>
      <c r="K6" s="2658"/>
      <c r="L6" s="2658"/>
      <c r="M6" s="2658"/>
      <c r="N6" s="2658"/>
      <c r="O6" s="2658"/>
      <c r="P6" s="2658"/>
    </row>
    <row r="7" spans="1:16" ht="15.75" thickBot="1">
      <c r="A7" s="3547"/>
      <c r="B7" s="3548"/>
      <c r="C7" s="3549"/>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69.7</v>
      </c>
      <c r="F16" s="2658"/>
      <c r="G16" s="2659"/>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69.7</v>
      </c>
      <c r="F19" s="2794">
        <f>'数据-基础表'!I13</f>
        <v>69.7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69.7</v>
      </c>
      <c r="F27" s="1140">
        <f>IF(SUM(F19:F26)=E8,SUM(F19:F26),"地上面积有误")</f>
        <v>69.7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69.7</v>
      </c>
      <c r="F31" s="677">
        <f>F27+F30</f>
        <v>69.7</v>
      </c>
      <c r="G31" s="678">
        <f>G27+G30</f>
        <v>0</v>
      </c>
      <c r="H31" s="2658"/>
      <c r="I31" s="2658"/>
      <c r="J31" s="2658"/>
      <c r="K31" s="2658"/>
      <c r="L31" s="2658"/>
      <c r="M31" s="2658"/>
      <c r="N31" s="2658"/>
      <c r="O31" s="2658"/>
      <c r="P31" s="2658"/>
    </row>
    <row r="32" spans="1:19">
      <c r="A32" s="1643"/>
      <c r="B32" s="1643" t="s">
        <v>1159</v>
      </c>
      <c r="C32" s="1643"/>
      <c r="D32" s="1643"/>
      <c r="E32" s="1053">
        <f>SUMIF(C19:C26,"*住宅*",E19:E26)</f>
        <v>69.7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E23" sqref="AE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70829</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69.7</v>
      </c>
      <c r="L6" s="733">
        <v>3500</v>
      </c>
      <c r="M6" s="67">
        <f t="shared" ref="M6:M14" si="0">ROUND(K6*L6/10000,0)</f>
        <v>24</v>
      </c>
      <c r="N6" s="731">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100</v>
      </c>
      <c r="V6" s="70">
        <v>3.5000000000000003E-2</v>
      </c>
      <c r="W6" s="70">
        <v>0.08</v>
      </c>
      <c r="X6" s="1040"/>
      <c r="Y6" s="71">
        <f>N6</f>
        <v>0.75</v>
      </c>
      <c r="Z6" s="72"/>
      <c r="AA6" s="66"/>
      <c r="AB6" s="66"/>
      <c r="AC6" s="1040"/>
      <c r="AD6" s="73"/>
      <c r="AE6" s="1041">
        <f ca="1">IF(AN6="",0,SUMIF(INDIRECT("'"&amp;AN6&amp;"'"&amp;"!E:E"),$AE$5,INDIRECT("'"&amp;AN6&amp;"'"&amp;"!F:F")))</f>
        <v>70</v>
      </c>
      <c r="AF6" s="1348"/>
      <c r="AG6" s="138">
        <f>IF(AF6="",0,AE6-AF6)</f>
        <v>0</v>
      </c>
      <c r="AH6" s="74">
        <f>'数据-汇总表'!F19</f>
        <v>69.7</v>
      </c>
      <c r="AI6" s="76">
        <v>12</v>
      </c>
      <c r="AJ6" s="77"/>
      <c r="AK6" s="78">
        <v>0.01</v>
      </c>
      <c r="AL6" s="79">
        <v>1.5E-3</v>
      </c>
      <c r="AM6" s="80">
        <v>0.01</v>
      </c>
      <c r="AN6" s="1715" t="s">
        <v>3387</v>
      </c>
      <c r="AO6" s="52">
        <f ca="1">SUMIF(INDIRECT("'"&amp;AN6&amp;"'"&amp;"!A:A"),"总价",INDIRECT("'"&amp;AN6&amp;"'"&amp;"!B:B"))</f>
        <v>341.70119999999997</v>
      </c>
      <c r="AP6" s="1716">
        <f>IF(C6="住宅",K6*L6,0)</f>
        <v>243950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69.7</v>
      </c>
      <c r="L16" s="93">
        <f>ROUND(M16*10000/SUM(K6:K14),0)</f>
        <v>3443</v>
      </c>
      <c r="M16" s="93">
        <f>SUM(M6:M14)</f>
        <v>24</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6" t="s">
        <v>2283</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3765</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7" t="s">
        <v>3766</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3417</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3401</v>
      </c>
      <c r="D8" s="2470"/>
      <c r="E8" s="2470"/>
      <c r="F8" s="2474"/>
      <c r="G8" s="2474"/>
      <c r="H8" s="799"/>
      <c r="I8" s="799"/>
      <c r="J8" s="799"/>
      <c r="K8" s="799"/>
      <c r="L8" s="799"/>
      <c r="M8" s="799"/>
      <c r="N8" s="799"/>
      <c r="O8" s="799"/>
      <c r="P8" s="799"/>
      <c r="Q8" s="799"/>
      <c r="R8" s="799"/>
    </row>
    <row r="9" spans="1:29" ht="48">
      <c r="A9" s="2442"/>
      <c r="B9" s="323" t="s">
        <v>2266</v>
      </c>
      <c r="C9" s="3458" t="s">
        <v>3775</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估价对象周边有左安漪园、向新西里、芳城园等社区，综合评价居住社区成熟度较好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76.5">
      <c r="A18" s="2446"/>
      <c r="B18" s="2501" t="s">
        <v>2261</v>
      </c>
      <c r="C18" s="2502" t="str">
        <f>C6</f>
        <v>估价对象紧邻城市主干道——左安门内大街，有12路、84路、139路、352路等多条公共交通线路，距离最近的地铁14号线（方庄站）约1公里，综合评价交通便捷度较好</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51">
      <c r="A20" s="2446"/>
      <c r="B20" s="2501" t="s">
        <v>2275</v>
      </c>
      <c r="C20" s="2500" t="str">
        <f>C9</f>
        <v>区域自然环境：龙潭公园、护城河；人文环境：龙潭湖体育馆、角楼图书馆；综合评价环境状况较好。</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69.7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45274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551.45943</v>
      </c>
      <c r="C5" s="2511">
        <f ca="1">IF(B5=D14,结果表!H102,ROUND(B5*10000/$B$1,0))</f>
        <v>79119</v>
      </c>
      <c r="D5" s="2511" t="e">
        <f ca="1">ROUND(B5*10000/$B$2,0)</f>
        <v>#DIV/0!</v>
      </c>
      <c r="E5" s="2685"/>
      <c r="F5" s="2686"/>
      <c r="G5" s="2686"/>
      <c r="H5" s="2687"/>
      <c r="I5" s="2687"/>
      <c r="J5" s="2687"/>
      <c r="K5" s="2687"/>
    </row>
    <row r="6" spans="1:11" ht="16.5">
      <c r="A6" s="2511" t="s">
        <v>656</v>
      </c>
      <c r="B6" s="2511">
        <f>SUM(G14:G23)</f>
        <v>0</v>
      </c>
      <c r="C6" s="2511">
        <f ca="1">IF(B6=G14,结果表!H108,ROUND(B6*10000/$B$1,0))</f>
        <v>79119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69.7</v>
      </c>
      <c r="C14" s="2517"/>
      <c r="D14" s="2517">
        <f ca="1">结果表!G20*B14/10000</f>
        <v>551.45943</v>
      </c>
      <c r="E14" s="2517">
        <f ca="1">ROUND(D14*10000/B14,0)</f>
        <v>79119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 zoomScaleNormal="100" zoomScaleSheetLayoutView="100" zoomScalePageLayoutView="80" workbookViewId="0">
      <selection activeCell="D27" sqref="D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3409</v>
      </c>
      <c r="D4" s="1756" t="s">
        <v>3387</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v>8</v>
      </c>
      <c r="D5" s="3595">
        <f>10-C5</f>
        <v>2</v>
      </c>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c r="D14" s="3595"/>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82" t="s">
        <v>2130</v>
      </c>
      <c r="F18" s="3583"/>
      <c r="G18" s="3583"/>
      <c r="H18" s="3583"/>
      <c r="I18" s="3583"/>
      <c r="K18" s="302" t="s">
        <v>1289</v>
      </c>
      <c r="L18" s="302">
        <f>IF(C1="",'数据-汇总表'!E3,SUMIF(项目类型,C1,'数据-汇总表'!E17:E26)+SUMIF(项目类型,C1,'数据-汇总表'!I17:I26))</f>
        <v>69.7</v>
      </c>
      <c r="M18" s="302">
        <f>IF(C1="",'数据-汇总表'!E3,SUMIF(项目类型,C1,'数据-汇总表'!E17:E26))</f>
        <v>69.7</v>
      </c>
    </row>
    <row r="19" spans="1:36" ht="15">
      <c r="A19" s="1761" t="s">
        <v>1290</v>
      </c>
      <c r="B19" s="1762" t="s">
        <v>1291</v>
      </c>
      <c r="C19" s="134">
        <f ca="1">SUMIF(INDIRECT("'"&amp;C4&amp;"'"&amp;"!A:A"),结果表!B19,INDIRECT("'"&amp;C4&amp;"'"&amp;"!B:B"))</f>
        <v>603.90170000000001</v>
      </c>
      <c r="D19" s="135">
        <f ca="1">SUMIF(INDIRECT("'"&amp;D4&amp;"'"&amp;"!A:A"),结果表!B19,INDIRECT("'"&amp;D4&amp;"'"&amp;"!B:B"))</f>
        <v>341.70119999999997</v>
      </c>
      <c r="E19" s="1761" t="s">
        <v>1292</v>
      </c>
      <c r="F19" s="1762" t="s">
        <v>1291</v>
      </c>
      <c r="G19" s="136">
        <f ca="1">ROUND(C19*$C$18+D19*$D$18,0)</f>
        <v>551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86643</v>
      </c>
      <c r="D20" s="138">
        <f ca="1">SUMIF(INDIRECT("'"&amp;D4&amp;"'"&amp;"!A:A"),结果表!B20,INDIRECT("'"&amp;D4&amp;"'"&amp;"!B:B"))</f>
        <v>49025</v>
      </c>
      <c r="E20" s="1764"/>
      <c r="F20" s="1026" t="s">
        <v>1295</v>
      </c>
      <c r="G20" s="139">
        <f ca="1">ROUND(C20*$C$18+D20*$D$18,0)</f>
        <v>79119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0.76733854022169101</v>
      </c>
      <c r="E22" s="129"/>
      <c r="F22" s="129"/>
      <c r="G22" s="142">
        <f ca="1">ROUND(G20*B27,0)</f>
        <v>5514594</v>
      </c>
      <c r="H22" s="129"/>
      <c r="I22" s="129"/>
    </row>
    <row r="23" spans="1:36" ht="13.5" thickBot="1">
      <c r="A23" s="1747"/>
      <c r="B23" s="1747"/>
      <c r="C23" s="1747"/>
      <c r="D23" s="1747"/>
      <c r="E23" s="129"/>
      <c r="F23" s="129"/>
      <c r="G23" s="129">
        <f ca="1">(C19*C18+D19*D18)*10000</f>
        <v>5514616</v>
      </c>
      <c r="H23" s="129"/>
      <c r="I23" s="129"/>
    </row>
    <row r="24" spans="1:36" ht="14.25">
      <c r="A24" s="3566" t="s">
        <v>1299</v>
      </c>
      <c r="B24" s="1762" t="s">
        <v>1291</v>
      </c>
      <c r="C24" s="136">
        <f>IF(B30=0,0,D30)</f>
        <v>0</v>
      </c>
      <c r="D24" s="1769"/>
      <c r="E24" s="129"/>
      <c r="F24" s="129"/>
      <c r="G24" s="129">
        <f ca="1">G23/B27</f>
        <v>79119.311334289814</v>
      </c>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3466" t="s">
        <v>3770</v>
      </c>
      <c r="B27" s="142">
        <f>项目基本情况!C17</f>
        <v>69.7</v>
      </c>
      <c r="C27" s="142">
        <f ca="1">ROUND(D27/B27,0)</f>
        <v>2374</v>
      </c>
      <c r="D27" s="143">
        <f ca="1">ROUND(G23*0.03,0)</f>
        <v>165438</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f ca="1">G20-C27</f>
        <v>76745</v>
      </c>
      <c r="D30" s="142">
        <f ca="1">G23-D27</f>
        <v>5349178</v>
      </c>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79119</v>
      </c>
      <c r="D32" s="1775" t="s">
        <v>3767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551</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2">
        <v>1</v>
      </c>
      <c r="K46" s="3622" t="s">
        <v>1331</v>
      </c>
      <c r="L46" s="3622"/>
      <c r="M46" s="3642"/>
      <c r="N46" s="3642"/>
      <c r="O46" s="3642"/>
    </row>
    <row r="47" spans="1:15" ht="12" customHeight="1">
      <c r="A47" s="160" t="s">
        <v>1332</v>
      </c>
      <c r="B47" s="161"/>
      <c r="C47" s="162"/>
      <c r="D47" s="1087" t="s">
        <v>1333</v>
      </c>
      <c r="E47" s="302" t="s">
        <v>1334</v>
      </c>
      <c r="F47" s="163" t="s">
        <v>1335</v>
      </c>
      <c r="G47" s="2545" t="s">
        <v>1336</v>
      </c>
      <c r="H47" s="2546"/>
      <c r="I47" s="159"/>
      <c r="J47" s="2522">
        <v>2</v>
      </c>
      <c r="K47" s="3622" t="s">
        <v>1337</v>
      </c>
      <c r="L47" s="3622"/>
      <c r="M47" s="3643">
        <f>'数据-取费表'!B2</f>
        <v>45274</v>
      </c>
      <c r="N47" s="3643"/>
      <c r="O47" s="3643"/>
    </row>
    <row r="48" spans="1:15" ht="25.5">
      <c r="A48" s="3591" t="s">
        <v>1338</v>
      </c>
      <c r="B48" s="3574"/>
      <c r="C48" s="357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22" t="s">
        <v>1340</v>
      </c>
      <c r="L48" s="3622"/>
      <c r="M48" s="3644">
        <f ca="1">H101</f>
        <v>551</v>
      </c>
      <c r="N48" s="3644"/>
      <c r="O48" s="3644"/>
    </row>
    <row r="49" spans="1:35" ht="25.5" customHeight="1">
      <c r="A49" s="2333" t="s">
        <v>1341</v>
      </c>
      <c r="B49" s="3558" t="s">
        <v>1342</v>
      </c>
      <c r="C49" s="3558"/>
      <c r="D49" s="1590">
        <v>0</v>
      </c>
      <c r="E49" s="324" t="s">
        <v>1343</v>
      </c>
      <c r="F49" s="2424" t="s">
        <v>28</v>
      </c>
      <c r="G49" s="3628"/>
      <c r="H49" s="2310" t="s">
        <v>2133</v>
      </c>
      <c r="I49" s="2311"/>
      <c r="J49" s="2522">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50"/>
      <c r="B50" s="3558" t="s">
        <v>1344</v>
      </c>
      <c r="C50" s="3558"/>
      <c r="D50" s="2551"/>
      <c r="E50" s="332"/>
      <c r="F50" s="2424"/>
      <c r="G50" s="3629"/>
      <c r="H50" s="2312" t="s">
        <v>2134</v>
      </c>
      <c r="I50" s="2311"/>
      <c r="J50" s="3641" t="s">
        <v>1345</v>
      </c>
      <c r="K50" s="3641"/>
      <c r="L50" s="3641"/>
      <c r="M50" s="3641"/>
      <c r="N50" s="3641"/>
      <c r="O50" s="3641"/>
    </row>
    <row r="51" spans="1:35" ht="20.45" customHeight="1">
      <c r="A51" s="2552"/>
      <c r="B51" s="3558" t="s">
        <v>1346</v>
      </c>
      <c r="C51" s="3558"/>
      <c r="D51" s="1087"/>
      <c r="E51" s="327"/>
      <c r="F51" s="2424"/>
      <c r="G51" s="3630"/>
      <c r="H51" s="2312" t="s">
        <v>2135</v>
      </c>
      <c r="I51" s="2311"/>
      <c r="J51" s="2523" t="s">
        <v>1347</v>
      </c>
      <c r="K51" s="3622" t="s">
        <v>1348</v>
      </c>
      <c r="L51" s="3622"/>
      <c r="M51" s="2523" t="s">
        <v>1349</v>
      </c>
      <c r="N51" s="2523" t="s">
        <v>1350</v>
      </c>
      <c r="O51" s="2523" t="s">
        <v>1351</v>
      </c>
    </row>
    <row r="52" spans="1:35" ht="24" customHeight="1">
      <c r="A52" s="2335" t="s">
        <v>1352</v>
      </c>
      <c r="B52" s="3558" t="s">
        <v>1353</v>
      </c>
      <c r="C52" s="3558"/>
      <c r="D52" s="1087">
        <f ca="1">ROUND(D45*'数据-取费表'!B41/(1+'数据-取费表'!C42),0)</f>
        <v>29</v>
      </c>
      <c r="E52" s="2334" t="s">
        <v>1354</v>
      </c>
      <c r="F52" s="2553">
        <f>'数据-取费表'!B41</f>
        <v>5.6000000000000001E-2</v>
      </c>
      <c r="G52" s="2554"/>
      <c r="H52" s="2543"/>
      <c r="I52" s="1807"/>
      <c r="J52" s="2522">
        <v>1</v>
      </c>
      <c r="K52" s="3623" t="s">
        <v>1355</v>
      </c>
      <c r="L52" s="3623"/>
      <c r="M52" s="2524" t="b">
        <f>D48</f>
        <v>0</v>
      </c>
      <c r="N52" s="2522" t="str">
        <f>E48</f>
        <v>销售额×税（费）率</v>
      </c>
      <c r="O52" s="2525">
        <f>F48</f>
        <v>5.6000000000000001E-2</v>
      </c>
    </row>
    <row r="53" spans="1:35" ht="12" customHeight="1">
      <c r="A53" s="2335" t="s">
        <v>1356</v>
      </c>
      <c r="B53" s="3584" t="s">
        <v>2288</v>
      </c>
      <c r="C53" s="3585"/>
      <c r="D53" s="1087">
        <f ca="1">ROUND(D45*'数据-取费表'!B41/(1+'数据-取费表'!C42),0)</f>
        <v>29</v>
      </c>
      <c r="E53" s="2334" t="s">
        <v>1354</v>
      </c>
      <c r="F53" s="2553">
        <f>'数据-取费表'!B41</f>
        <v>5.6000000000000001E-2</v>
      </c>
      <c r="G53" s="2554"/>
      <c r="H53" s="2543"/>
      <c r="I53" s="1807"/>
      <c r="J53" s="2522">
        <v>2</v>
      </c>
      <c r="K53" s="3623" t="s">
        <v>1357</v>
      </c>
      <c r="L53" s="3623"/>
      <c r="M53" s="2524">
        <f t="shared" ref="M53:O54" ca="1" si="0">D55</f>
        <v>0</v>
      </c>
      <c r="N53" s="2522" t="str">
        <f t="shared" si="0"/>
        <v>销售额×税（费）率</v>
      </c>
      <c r="O53" s="2525" t="str">
        <f t="shared" si="0"/>
        <v>免征</v>
      </c>
    </row>
    <row r="54" spans="1:35" ht="12" customHeight="1">
      <c r="A54" s="2335" t="s">
        <v>1358</v>
      </c>
      <c r="B54" s="3584" t="s">
        <v>2289</v>
      </c>
      <c r="C54" s="3585"/>
      <c r="D54" s="1087">
        <f ca="1">C68</f>
        <v>29</v>
      </c>
      <c r="E54" s="327" t="s">
        <v>1359</v>
      </c>
      <c r="F54" s="2553">
        <f>'数据-取费表'!B41</f>
        <v>5.6000000000000001E-2</v>
      </c>
      <c r="G54" s="2554"/>
      <c r="H54" s="2555"/>
      <c r="I54" s="1807"/>
      <c r="J54" s="2522">
        <v>3</v>
      </c>
      <c r="K54" s="3623" t="s">
        <v>1360</v>
      </c>
      <c r="L54" s="3623"/>
      <c r="M54" s="2524">
        <f t="shared" ca="1" si="0"/>
        <v>312</v>
      </c>
      <c r="N54" s="2522" t="str">
        <f t="shared" si="0"/>
        <v>增值额×税（费）率</v>
      </c>
      <c r="O54" s="2526" t="str">
        <f t="shared" si="0"/>
        <v>免征</v>
      </c>
    </row>
    <row r="55" spans="1:35" ht="24" customHeight="1">
      <c r="A55" s="3573" t="s">
        <v>1361</v>
      </c>
      <c r="B55" s="3574"/>
      <c r="C55" s="3574"/>
      <c r="D55" s="2324">
        <f ca="1">IF(H55="个人住宅",0,ROUND(D45*I55,0))</f>
        <v>0</v>
      </c>
      <c r="E55" s="2334" t="s">
        <v>1362</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5</v>
      </c>
      <c r="N55" s="2040" t="str">
        <f>E59</f>
        <v>差额计税</v>
      </c>
      <c r="O55" s="2528">
        <f>F59</f>
        <v>0.01</v>
      </c>
    </row>
    <row r="56" spans="1:35" ht="24.75">
      <c r="A56" s="3573" t="s">
        <v>1363</v>
      </c>
      <c r="B56" s="3574"/>
      <c r="C56" s="3574"/>
      <c r="D56" s="2324">
        <f ca="1">IF(H56="个人住宅",D57,D58)</f>
        <v>312</v>
      </c>
      <c r="E56" s="2334" t="s">
        <v>1364</v>
      </c>
      <c r="F56" s="2553" t="str">
        <f>IF(H56="正常",F58,"免征")</f>
        <v>免征</v>
      </c>
      <c r="G56" s="2556" t="s">
        <v>1365</v>
      </c>
      <c r="H56" s="2557"/>
      <c r="I56" s="1808"/>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4"/>
      <c r="H57" s="2558"/>
      <c r="I57" s="1808"/>
      <c r="J57" s="3623">
        <f>IF(AND(J55="",J56=""),4,IF(项目基本情况!K6="上海银行",结果表!J56+1,结果表!J55+1))</f>
        <v>5</v>
      </c>
      <c r="K57" s="3623" t="s">
        <v>1367</v>
      </c>
      <c r="L57" s="2529" t="s">
        <v>1368</v>
      </c>
      <c r="M57" s="2530"/>
      <c r="N57" s="2531">
        <f ca="1">SUMIF(M52:M56,"&lt;9e307")</f>
        <v>317</v>
      </c>
      <c r="O57" s="2532"/>
      <c r="P57" s="2689" t="e">
        <f ca="1">N57/M49</f>
        <v>#VALUE!</v>
      </c>
    </row>
    <row r="58" spans="1:35" ht="24.75">
      <c r="A58" s="2335" t="s">
        <v>1352</v>
      </c>
      <c r="B58" s="3584" t="s">
        <v>1369</v>
      </c>
      <c r="C58" s="3558"/>
      <c r="D58" s="2324">
        <f ca="1">IF(H58="转让取得",C81,C97)</f>
        <v>312</v>
      </c>
      <c r="E58" s="2334" t="s">
        <v>1364</v>
      </c>
      <c r="F58" s="302" t="s">
        <v>28</v>
      </c>
      <c r="G58" s="2554"/>
      <c r="H58" s="2557"/>
      <c r="I58" s="1808"/>
      <c r="J58" s="3623"/>
      <c r="K58" s="3623"/>
      <c r="L58" s="2529" t="s">
        <v>1370</v>
      </c>
      <c r="M58" s="2533"/>
      <c r="N58" s="2534" t="str">
        <f ca="1">NUMBERSTRING(INT(N57*10000),2)&amp;"元整"</f>
        <v>叁佰壹拾柒万元整</v>
      </c>
      <c r="O58" s="2535"/>
    </row>
    <row r="59" spans="1:35" ht="24.75" thickBot="1">
      <c r="A59" s="3626" t="s">
        <v>1371</v>
      </c>
      <c r="B59" s="3627"/>
      <c r="C59" s="3627"/>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24">
        <f>J57+1</f>
        <v>6</v>
      </c>
      <c r="K59" s="3623" t="s">
        <v>1372</v>
      </c>
      <c r="L59" s="2522" t="s">
        <v>1368</v>
      </c>
      <c r="M59" s="2536"/>
      <c r="N59" s="2537" t="e">
        <f ca="1">M49-N57</f>
        <v>#VALUE!</v>
      </c>
      <c r="O59" s="2538"/>
    </row>
    <row r="60" spans="1:35" ht="12" customHeight="1">
      <c r="A60" s="1809"/>
      <c r="B60" s="1747"/>
      <c r="C60" s="1747"/>
      <c r="D60" s="1747"/>
      <c r="E60" s="1578"/>
      <c r="F60" s="1808"/>
      <c r="G60" s="1808"/>
      <c r="H60" s="1810"/>
      <c r="I60" s="129"/>
      <c r="J60" s="3625"/>
      <c r="K60" s="3623"/>
      <c r="L60" s="2529" t="s">
        <v>1370</v>
      </c>
      <c r="M60" s="2533"/>
      <c r="N60" s="2534" t="e">
        <f ca="1">NUMBERSTRING(INT(N59*10000),2)&amp;"元整"</f>
        <v>#VALUE!</v>
      </c>
      <c r="O60" s="2535"/>
    </row>
    <row r="61" spans="1:35" ht="13.5" thickBot="1">
      <c r="A61" s="3571" t="s">
        <v>1373</v>
      </c>
      <c r="B61" s="3571"/>
      <c r="C61" s="3571"/>
      <c r="D61" s="3571"/>
      <c r="E61" s="3571"/>
      <c r="F61" s="1808"/>
      <c r="G61" s="1808"/>
      <c r="H61" s="1810"/>
      <c r="I61" s="129"/>
      <c r="J61" s="2522">
        <f>J59+1</f>
        <v>7</v>
      </c>
      <c r="K61" s="3623" t="s">
        <v>1374</v>
      </c>
      <c r="L61" s="3623"/>
      <c r="M61" s="2539"/>
      <c r="N61" s="2540" t="e">
        <f ca="1">ROUND(N59*10000/'数据-汇总表'!E3,0)</f>
        <v>#VALUE!</v>
      </c>
      <c r="O61" s="2541"/>
    </row>
    <row r="62" spans="1:35" ht="12.75">
      <c r="A62" s="3589" t="s">
        <v>1375</v>
      </c>
      <c r="B62" s="3590"/>
      <c r="C62" s="2021"/>
      <c r="D62" s="2021" t="s">
        <v>1376</v>
      </c>
      <c r="E62" s="166" t="s">
        <v>1377</v>
      </c>
      <c r="F62" s="1808"/>
      <c r="G62" s="1808"/>
      <c r="H62" s="1810"/>
      <c r="I62" s="129"/>
    </row>
    <row r="63" spans="1:35" ht="12.75">
      <c r="A63" s="173" t="s">
        <v>330</v>
      </c>
      <c r="B63" s="167" t="s">
        <v>1378</v>
      </c>
      <c r="C63" s="2563">
        <f ca="1">ROUND((C64+C65)/(1+'数据-取费表'!C42),0)</f>
        <v>525</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551</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48"/>
      <c r="K66" s="1332" t="s">
        <v>1387</v>
      </c>
      <c r="L66" s="1332" t="e">
        <f>M49*0.5%</f>
        <v>#VALUE!</v>
      </c>
      <c r="M66" s="302" t="e">
        <f>IF(L66&gt;0.5,0.5,ROUND(L66,0))</f>
        <v>#VALUE!</v>
      </c>
      <c r="N66" s="2543" t="s">
        <v>1388</v>
      </c>
      <c r="Z66" s="1752"/>
      <c r="AI66" s="1753"/>
    </row>
    <row r="67" spans="1:35" ht="14.25" customHeight="1">
      <c r="A67" s="173" t="s">
        <v>328</v>
      </c>
      <c r="B67" s="174" t="s">
        <v>1389</v>
      </c>
      <c r="C67" s="2567">
        <f ca="1">C63-C66</f>
        <v>525</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29</v>
      </c>
      <c r="D68" s="2569">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525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312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50" t="s">
        <v>2128</v>
      </c>
      <c r="H90" s="3651"/>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8" t="s">
        <v>1422</v>
      </c>
      <c r="F92" s="3569"/>
      <c r="G92" s="3569"/>
      <c r="H92" s="3578"/>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比较法-住宅</v>
      </c>
      <c r="D101" s="2585" t="str">
        <f>D4</f>
        <v>收益法 (元)</v>
      </c>
      <c r="E101" s="3645" t="s">
        <v>1431</v>
      </c>
      <c r="F101" s="3602"/>
      <c r="G101" s="1827" t="s">
        <v>1432</v>
      </c>
      <c r="H101" s="2594">
        <f ca="1">H118</f>
        <v>551</v>
      </c>
      <c r="I101" s="129"/>
    </row>
    <row r="102" spans="1:35" ht="18.75" customHeight="1">
      <c r="A102" s="3604" t="s">
        <v>1433</v>
      </c>
      <c r="B102" s="2583" t="s">
        <v>1432</v>
      </c>
      <c r="C102" s="2584">
        <f ca="1">IF(D32="楼面单价",ROUND(C19,0),C19)</f>
        <v>604</v>
      </c>
      <c r="D102" s="2585">
        <f ca="1">IF(D32="楼面单价",ROUND(D19,0),D19)</f>
        <v>342</v>
      </c>
      <c r="E102" s="3645"/>
      <c r="F102" s="3602"/>
      <c r="G102" s="1827" t="s">
        <v>1434</v>
      </c>
      <c r="H102" s="2554">
        <f ca="1">I118</f>
        <v>79119</v>
      </c>
      <c r="I102" s="129"/>
    </row>
    <row r="103" spans="1:35" ht="42.75" customHeight="1">
      <c r="A103" s="3604"/>
      <c r="B103" s="2583" t="s">
        <v>1434</v>
      </c>
      <c r="C103" s="2586">
        <f ca="1">C20</f>
        <v>86643</v>
      </c>
      <c r="D103" s="2587">
        <f ca="1">D20</f>
        <v>49025</v>
      </c>
      <c r="E103" s="3639" t="s">
        <v>1435</v>
      </c>
      <c r="F103" s="3640"/>
      <c r="G103" s="1828" t="s">
        <v>1436</v>
      </c>
      <c r="H103" s="2594">
        <f>IF(D36="正常操作",H104+H105+H106,H105+H106)</f>
        <v>0</v>
      </c>
      <c r="I103" s="129"/>
    </row>
    <row r="104" spans="1:35" ht="18.75" customHeight="1">
      <c r="A104" s="3604" t="s">
        <v>1437</v>
      </c>
      <c r="B104" s="2588" t="s">
        <v>1432</v>
      </c>
      <c r="C104" s="2589">
        <f ca="1">H118</f>
        <v>551</v>
      </c>
      <c r="D104" s="2590"/>
      <c r="E104" s="1674" t="s">
        <v>1438</v>
      </c>
      <c r="F104" s="1666"/>
      <c r="G104" s="1828" t="s">
        <v>1436</v>
      </c>
      <c r="H104" s="2595">
        <f>IF(D36="同一抵押权人同一抵押物续贷",C36&amp;"（续贷，未扣减，详见特别提示）",C36)</f>
        <v>0</v>
      </c>
      <c r="I104" s="129"/>
    </row>
    <row r="105" spans="1:35" ht="18.75" customHeight="1" thickBot="1">
      <c r="A105" s="3605"/>
      <c r="B105" s="2591" t="s">
        <v>1434</v>
      </c>
      <c r="C105" s="2592">
        <f ca="1">I118</f>
        <v>79119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1" t="str">
        <f>IF(项目基本情况!E8="已注销","——","3.房地产抵押价值")</f>
        <v>3.房地产抵押价值</v>
      </c>
      <c r="F107" s="3602"/>
      <c r="G107" s="1827" t="s">
        <v>1432</v>
      </c>
      <c r="H107" s="2594">
        <f ca="1">IF(E107="——","——",H101-H103)</f>
        <v>551</v>
      </c>
      <c r="I107" s="129"/>
    </row>
    <row r="108" spans="1:35" ht="18.75" customHeight="1">
      <c r="A108" s="129"/>
      <c r="B108" s="129"/>
      <c r="C108" s="129"/>
      <c r="D108" s="129"/>
      <c r="E108" s="3601"/>
      <c r="F108" s="3602"/>
      <c r="G108" s="1827" t="s">
        <v>1434</v>
      </c>
      <c r="H108" s="2554">
        <f ca="1">IF(H107=H101,H102,ROUND(H107*10000/'数据-汇总表'!E3,0))</f>
        <v>79119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7" t="str">
        <f>IF(E109="——","——",H101-H105-H106)</f>
        <v>——</v>
      </c>
      <c r="I109" s="129"/>
    </row>
    <row r="110" spans="1:35" ht="18.75" customHeight="1">
      <c r="A110" s="129"/>
      <c r="B110" s="129"/>
      <c r="C110" s="129"/>
      <c r="D110" s="129"/>
      <c r="E110" s="3601"/>
      <c r="F110" s="3602"/>
      <c r="G110" s="1827"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4" t="str">
        <f>IF(E111="——","——",N59)</f>
        <v>——</v>
      </c>
      <c r="I111" s="129"/>
    </row>
    <row r="112" spans="1:35" ht="18.75" customHeight="1" thickBot="1">
      <c r="A112" s="129"/>
      <c r="B112" s="129"/>
      <c r="C112" s="129"/>
      <c r="D112" s="129"/>
      <c r="E112" s="3634"/>
      <c r="F112" s="3635"/>
      <c r="G112" s="1830"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551</v>
      </c>
      <c r="I118" s="2329">
        <f ca="1">ROUND(IF(D32="楼面单价",C32,H118*10000/B118),0)</f>
        <v>79119</v>
      </c>
    </row>
    <row r="119" spans="1:27" ht="18.75" customHeight="1">
      <c r="A119" s="3572" t="s">
        <v>1452</v>
      </c>
      <c r="B119" s="3572"/>
      <c r="C119" s="3572"/>
      <c r="D119" s="3612" t="e">
        <f ca="1">NUMBERSTRING(INT(D118*10000),2)&amp;"元整"</f>
        <v>#REF!</v>
      </c>
      <c r="E119" s="3614"/>
      <c r="F119" s="3612" t="e">
        <f ca="1">NUMBERSTRING(INT(F118*10000),2)&amp;"元整"</f>
        <v>#REF!</v>
      </c>
      <c r="G119" s="3614"/>
      <c r="H119" s="3612" t="str">
        <f ca="1">NUMBERSTRING(INT(H118*10000),2)&amp;"元整"</f>
        <v>伍佰伍拾壹万元整</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f ca="1">H107</f>
        <v>551</v>
      </c>
      <c r="E122" s="3637"/>
      <c r="F122" s="3637"/>
      <c r="G122" s="3637"/>
      <c r="H122" s="3637"/>
      <c r="I122" s="3638"/>
      <c r="AA122" s="725"/>
    </row>
    <row r="123" spans="1:27" ht="18.75" customHeight="1">
      <c r="A123" s="3572" t="s">
        <v>1452</v>
      </c>
      <c r="B123" s="3572"/>
      <c r="C123" s="3572"/>
      <c r="D123" s="3612" t="str">
        <f ca="1">NUMBERSTRING(INT(D122*10000),2)&amp;"元整"</f>
        <v>伍佰伍拾壹万元整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218.8963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1241725.6000000001</v>
      </c>
      <c r="D5" s="211" t="s">
        <v>1469</v>
      </c>
      <c r="E5" s="212" t="s">
        <v>1470</v>
      </c>
      <c r="F5" s="212" t="s">
        <v>1471</v>
      </c>
      <c r="G5" s="213"/>
    </row>
    <row r="6" spans="1:8" s="214" customFormat="1" ht="13.5" customHeight="1">
      <c r="A6" s="778" t="s">
        <v>1472</v>
      </c>
      <c r="B6" s="215" t="s">
        <v>1473</v>
      </c>
      <c r="C6" s="216">
        <f ca="1">基准地价修正!C33*D9</f>
        <v>1204973.6000000001</v>
      </c>
      <c r="D6" s="217"/>
      <c r="E6" s="218"/>
      <c r="F6" s="218"/>
      <c r="G6" s="219"/>
    </row>
    <row r="7" spans="1:8" s="214" customFormat="1" ht="13.5" customHeight="1">
      <c r="A7" s="778" t="s">
        <v>1474</v>
      </c>
      <c r="B7" s="215" t="s">
        <v>1475</v>
      </c>
      <c r="C7" s="220">
        <f ca="1">ROUND(C6*F7,0)</f>
        <v>36752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11152</v>
      </c>
      <c r="D9" s="845">
        <f ca="1">IF(B1="",'数据-汇总表'!E5,IF(INDIRECT("'数据-取费表'!c"&amp;$G$1)="住宅",INDIRECT("'数据-取费表'!k"&amp;$G$1),0))</f>
        <v>69.7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13940</v>
      </c>
      <c r="D19" s="849">
        <f ca="1">D9+D10</f>
        <v>69.7</v>
      </c>
      <c r="E19" s="211">
        <f>'数据-取费表'!B31</f>
        <v>200</v>
      </c>
      <c r="F19" s="231"/>
      <c r="G19" s="1856" t="s">
        <v>436</v>
      </c>
    </row>
    <row r="20" spans="1:7" s="214" customFormat="1" ht="13.5" customHeight="1">
      <c r="A20" s="255" t="s">
        <v>1574</v>
      </c>
      <c r="B20" s="210" t="s">
        <v>1575</v>
      </c>
      <c r="C20" s="232">
        <f ca="1">ROUND((C5+C19)*F20,0)</f>
        <v>25113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123315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120766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1356</v>
      </c>
      <c r="D24" s="238"/>
      <c r="E24" s="238"/>
      <c r="F24" s="239"/>
      <c r="G24" s="240" t="s">
        <v>1586</v>
      </c>
    </row>
    <row r="25" spans="1:7" s="214" customFormat="1" ht="24">
      <c r="A25" s="780" t="s">
        <v>1476</v>
      </c>
      <c r="B25" s="215" t="s">
        <v>1587</v>
      </c>
      <c r="C25" s="1128">
        <f ca="1">ROUND(IF('数据-取费表'!B22&lt;=1,C20*F22*'数据-取费表'!B22/2,C20*(POWER((1+F22),'数据-取费表'!B22/2)-1)),0)</f>
        <v>1193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320195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320195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1872802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293263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243950</v>
      </c>
      <c r="D34" s="217"/>
      <c r="E34" s="220"/>
      <c r="F34" s="257"/>
      <c r="G34" s="219"/>
    </row>
    <row r="35" spans="1:7" ht="13.5" customHeight="1">
      <c r="A35" s="780" t="s">
        <v>351</v>
      </c>
      <c r="B35" s="215" t="s">
        <v>1527</v>
      </c>
      <c r="C35" s="220">
        <f ca="1">ROUND(C34*F35,0)</f>
        <v>7319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24395</v>
      </c>
      <c r="D36" s="220"/>
      <c r="E36" s="220"/>
      <c r="F36" s="259">
        <f>'数据-取费表'!B34</f>
        <v>0.1</v>
      </c>
      <c r="G36" s="260" t="s">
        <v>1530</v>
      </c>
    </row>
    <row r="37" spans="1:7" s="258" customFormat="1" ht="13.5" customHeight="1">
      <c r="A37" s="780" t="s">
        <v>353</v>
      </c>
      <c r="B37" s="215" t="s">
        <v>1531</v>
      </c>
      <c r="C37" s="249">
        <f ca="1">ROUND(E37*D37,0)</f>
        <v>13940</v>
      </c>
      <c r="D37" s="217">
        <f ca="1">D19</f>
        <v>69.7</v>
      </c>
      <c r="E37" s="249">
        <f>'数据-取费表'!B35</f>
        <v>200</v>
      </c>
      <c r="F37" s="259"/>
      <c r="G37" s="261"/>
    </row>
    <row r="38" spans="1:7" ht="13.5" customHeight="1">
      <c r="A38" s="780" t="s">
        <v>354</v>
      </c>
      <c r="B38" s="215" t="s">
        <v>1533</v>
      </c>
      <c r="C38" s="220">
        <f ca="1">ROUND(C34*F38,0)</f>
        <v>3659</v>
      </c>
      <c r="D38" s="220"/>
      <c r="E38" s="220"/>
      <c r="F38" s="259">
        <f>'数据-取费表'!B36</f>
        <v>1.4999999999999999E-2</v>
      </c>
      <c r="G38" s="219" t="s">
        <v>1528</v>
      </c>
    </row>
    <row r="39" spans="1:7" s="214" customFormat="1" ht="13.5" customHeight="1">
      <c r="A39" s="255" t="s">
        <v>1534</v>
      </c>
      <c r="B39" s="210" t="s">
        <v>1535</v>
      </c>
      <c r="C39" s="232">
        <f ca="1">ROUND(C33*F20,0)</f>
        <v>5865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14209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13930</v>
      </c>
      <c r="D42" s="238"/>
      <c r="E42" s="238"/>
      <c r="F42" s="239"/>
      <c r="G42" s="3652" t="s">
        <v>1591</v>
      </c>
    </row>
    <row r="43" spans="1:7" ht="13.5" customHeight="1">
      <c r="A43" s="780" t="s">
        <v>347</v>
      </c>
      <c r="B43" s="215" t="s">
        <v>1545</v>
      </c>
      <c r="C43" s="238">
        <f ca="1">ROUND(IF('数据-取费表'!B22&lt;=1,C39*F22*'数据-取费表'!B20/2,C39*(POWER((1+F22),'数据-取费表'!B20/2)-1)),0)</f>
        <v>279</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74782</v>
      </c>
      <c r="D45" s="235">
        <f ca="1">C47</f>
        <v>5.0000000000000001E-3</v>
      </c>
      <c r="E45" s="236" t="s">
        <v>1539</v>
      </c>
      <c r="F45" s="246">
        <f ca="1">F27</f>
        <v>0.25</v>
      </c>
      <c r="G45" s="247" t="s">
        <v>1548</v>
      </c>
    </row>
    <row r="46" spans="1:7" s="214" customFormat="1" ht="13.5" customHeight="1">
      <c r="A46" s="780" t="s">
        <v>346</v>
      </c>
      <c r="B46" s="248" t="s">
        <v>1549</v>
      </c>
      <c r="C46" s="249">
        <f ca="1">ROUND((C33+C39)*F27,0)</f>
        <v>74782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421548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316161</v>
      </c>
      <c r="D51" s="232"/>
      <c r="E51" s="232"/>
      <c r="F51" s="264"/>
      <c r="G51" s="234" t="s">
        <v>1560</v>
      </c>
    </row>
    <row r="52" spans="1:7" s="208" customFormat="1" ht="16.5" thickBot="1">
      <c r="A52" s="265" t="s">
        <v>1561</v>
      </c>
      <c r="B52" s="266"/>
      <c r="C52" s="267">
        <f ca="1">C31+C51</f>
        <v>2188963</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69.7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2108</v>
      </c>
      <c r="E6" s="302" t="s">
        <v>696</v>
      </c>
      <c r="F6" s="303">
        <f ca="1">INDIRECT("'数据-取费表'!u"&amp;$G$1)</f>
        <v>0</v>
      </c>
      <c r="G6" s="1384"/>
      <c r="H6" s="1069" t="s">
        <v>398</v>
      </c>
      <c r="I6" s="3657" t="s">
        <v>694</v>
      </c>
      <c r="J6" s="301">
        <f ca="1">ROUND(M6*M8*M7*(1-M9)/10000,0)</f>
        <v>0</v>
      </c>
      <c r="K6" s="15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80" zoomScaleNormal="70" zoomScaleSheetLayoutView="80" workbookViewId="0">
      <selection activeCell="C13" sqref="C13: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341.70119999999997</v>
      </c>
      <c r="C2" s="1387" t="s">
        <v>879</v>
      </c>
      <c r="D2" s="1471">
        <f ca="1">C40+J29+L46</f>
        <v>3417012</v>
      </c>
      <c r="E2" s="1388" t="s">
        <v>880</v>
      </c>
      <c r="F2" s="1389"/>
      <c r="G2" s="2705"/>
      <c r="H2" s="2694"/>
      <c r="I2" s="2694"/>
      <c r="J2" s="2694"/>
      <c r="K2" s="2695"/>
      <c r="L2" s="2694"/>
      <c r="M2" s="2694"/>
    </row>
    <row r="3" spans="1:37" ht="18" customHeight="1" thickBot="1">
      <c r="A3" s="1390" t="s">
        <v>881</v>
      </c>
      <c r="B3" s="1391">
        <f ca="1">IF(ISERROR(D2/F43),0,ROUND(D2/F43,0))</f>
        <v>49025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77045</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76949</v>
      </c>
      <c r="D6" s="155" t="s">
        <v>2105</v>
      </c>
      <c r="E6" s="302" t="s">
        <v>696</v>
      </c>
      <c r="F6" s="303">
        <f ca="1">INDIRECT("'数据-取费表'!u"&amp;$G$1)</f>
        <v>100</v>
      </c>
      <c r="G6" s="1384"/>
      <c r="H6" s="1069" t="s">
        <v>398</v>
      </c>
      <c r="I6" s="3657" t="s">
        <v>694</v>
      </c>
      <c r="J6" s="301">
        <f ca="1">ROUND(M6*M8*M7*(1-M9),0)</f>
        <v>0</v>
      </c>
      <c r="K6" s="1376" t="s">
        <v>2106</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69.7</v>
      </c>
      <c r="G7" s="1384"/>
      <c r="H7" s="304"/>
      <c r="I7" s="3658"/>
      <c r="J7" s="306"/>
      <c r="K7" s="307"/>
      <c r="L7" s="302" t="s">
        <v>697</v>
      </c>
      <c r="M7" s="303">
        <f ca="1">F7</f>
        <v>69.7</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0.08</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316161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243950</v>
      </c>
      <c r="D14" s="1345" t="s">
        <v>708</v>
      </c>
      <c r="E14" s="1342"/>
      <c r="F14" s="319"/>
      <c r="G14" s="1384"/>
      <c r="H14" s="982" t="s">
        <v>398</v>
      </c>
      <c r="I14" s="302" t="s">
        <v>709</v>
      </c>
      <c r="J14" s="21">
        <f ca="1">C29</f>
        <v>421548</v>
      </c>
      <c r="K14" s="12"/>
      <c r="L14" s="807"/>
      <c r="M14" s="808"/>
    </row>
    <row r="15" spans="1:37" s="1397" customFormat="1" ht="18" customHeight="1" thickBot="1">
      <c r="A15" s="982" t="s">
        <v>399</v>
      </c>
      <c r="B15" s="302" t="s">
        <v>710</v>
      </c>
      <c r="C15" s="21">
        <f ca="1">ROUND(C14*F15,0)</f>
        <v>7319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24395</v>
      </c>
      <c r="D16" s="302" t="s">
        <v>711</v>
      </c>
      <c r="E16" s="302" t="s">
        <v>712</v>
      </c>
      <c r="F16" s="322">
        <f ca="1">IF(INDIRECT("'数据-取费表'!c"&amp;$G$1)="住宅",'数据-取费表'!B34,0)</f>
        <v>0.1</v>
      </c>
      <c r="G16" s="1384"/>
      <c r="H16" s="1079" t="s">
        <v>393</v>
      </c>
      <c r="I16" s="1080" t="s">
        <v>714</v>
      </c>
      <c r="J16" s="310">
        <f ca="1">ROUND(J17+J22+J23+J24,0)</f>
        <v>4215</v>
      </c>
      <c r="K16" s="1087" t="s">
        <v>715</v>
      </c>
      <c r="L16" s="1088"/>
      <c r="M16" s="1072"/>
    </row>
    <row r="17" spans="1:37" s="1397" customFormat="1" ht="18" customHeight="1">
      <c r="A17" s="982" t="s">
        <v>681</v>
      </c>
      <c r="B17" s="302" t="s">
        <v>716</v>
      </c>
      <c r="C17" s="21">
        <f ca="1">ROUND(F17*(F43+INDIRECT("'数据-取费表'!S"&amp;$G$1)),0)</f>
        <v>13940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293263</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5865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4215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14209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-4215</v>
      </c>
      <c r="K25" s="1095" t="s">
        <v>753</v>
      </c>
      <c r="L25" s="1096"/>
      <c r="M25" s="1097"/>
    </row>
    <row r="26" spans="1:37" ht="18" customHeight="1">
      <c r="A26" s="982" t="s">
        <v>397</v>
      </c>
      <c r="B26" s="302" t="s">
        <v>754</v>
      </c>
      <c r="C26" s="21">
        <f ca="1">ROUND((C19+C20)*F26,0)</f>
        <v>74782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421548</v>
      </c>
      <c r="D29" s="1092"/>
      <c r="E29" s="1090"/>
      <c r="F29" s="1093"/>
      <c r="G29" s="1396"/>
      <c r="H29" s="334" t="s">
        <v>396</v>
      </c>
      <c r="I29" s="335" t="s">
        <v>768</v>
      </c>
      <c r="J29" s="336">
        <f ca="1">ROUND(J26/(1+F40)^F41,0)</f>
        <v>0</v>
      </c>
      <c r="K29" s="337" t="s">
        <v>769</v>
      </c>
      <c r="L29" s="338"/>
      <c r="M29" s="339">
        <f ca="1">INDIRECT("'数据-取费表'!k"&amp;$G$1)</f>
        <v>69.7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7291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1832</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3421</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4215</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474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770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69754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3417012</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1">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49025</v>
      </c>
      <c r="D43" s="337" t="s">
        <v>777</v>
      </c>
      <c r="E43" s="338" t="s">
        <v>778</v>
      </c>
      <c r="F43" s="339">
        <f ca="1">INDIRECT("'数据-取费表'!k"&amp;$G$1)</f>
        <v>69.7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f ca="1">ROUND((C68-C40)/10000,4)</f>
        <v>-351.6429</v>
      </c>
      <c r="D45" s="3431" t="s">
        <v>3351</v>
      </c>
      <c r="E45" s="1400"/>
      <c r="F45" s="1400"/>
      <c r="O45" s="1403" t="s">
        <v>808</v>
      </c>
      <c r="P45" s="1461"/>
      <c r="Q45" s="1461"/>
      <c r="R45" s="1461"/>
    </row>
    <row r="46" spans="1:18" s="1384" customFormat="1" ht="13.5" thickBot="1">
      <c r="A46" s="1404" t="s">
        <v>809</v>
      </c>
      <c r="C46" s="1405">
        <f ca="1">ROUND(C45,0)</f>
        <v>-352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3417012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421548</v>
      </c>
      <c r="R49" s="1420" t="s">
        <v>818</v>
      </c>
    </row>
    <row r="50" spans="1:18" s="1384" customFormat="1" ht="13.5" thickBot="1">
      <c r="A50" s="976"/>
      <c r="B50" s="979"/>
      <c r="C50" s="980"/>
      <c r="D50" s="953"/>
      <c r="E50" s="1056" t="s">
        <v>697</v>
      </c>
      <c r="F50" s="1057">
        <f ca="1">F7</f>
        <v>69.7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70</v>
      </c>
      <c r="K53" s="3655" t="s">
        <v>837</v>
      </c>
      <c r="L53" s="3656"/>
      <c r="O53" s="1418" t="s">
        <v>409</v>
      </c>
      <c r="P53" s="1419" t="s">
        <v>838</v>
      </c>
      <c r="Q53" s="1420">
        <f ca="1">Q47+Q48</f>
        <v>3417012</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316161</v>
      </c>
      <c r="D56" s="1447"/>
      <c r="E56" s="1448"/>
      <c r="F56" s="1440"/>
      <c r="I56" s="1449" t="s">
        <v>842</v>
      </c>
      <c r="J56" s="1450"/>
      <c r="K56" s="1421" t="s">
        <v>843</v>
      </c>
      <c r="L56" s="1424">
        <f ca="1">IF(L48&lt;J51,"——",L48-J51)</f>
        <v>70</v>
      </c>
      <c r="O56" s="1418" t="s">
        <v>403</v>
      </c>
      <c r="P56" s="1419" t="s">
        <v>817</v>
      </c>
      <c r="Q56" s="1420">
        <f ca="1">C40+J29</f>
        <v>3417012</v>
      </c>
      <c r="R56" s="1420" t="s">
        <v>818</v>
      </c>
    </row>
    <row r="57" spans="1:18" s="1384" customFormat="1" ht="24.75" thickBot="1">
      <c r="A57" s="1451"/>
      <c r="B57" s="950" t="s">
        <v>767</v>
      </c>
      <c r="C57" s="238">
        <f ca="1">C29</f>
        <v>421548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4689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3417012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4215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474</v>
      </c>
      <c r="D65" s="964" t="s">
        <v>743</v>
      </c>
      <c r="E65" s="950" t="s">
        <v>744</v>
      </c>
      <c r="F65" s="330">
        <f t="shared" ca="1" si="0"/>
        <v>1.5E-3</v>
      </c>
      <c r="I65" s="1462" t="s">
        <v>867</v>
      </c>
      <c r="J65" s="1463">
        <v>40</v>
      </c>
      <c r="K65" s="1463">
        <v>30</v>
      </c>
      <c r="L65" s="1463">
        <v>50</v>
      </c>
      <c r="M65" s="1465">
        <v>0.02</v>
      </c>
      <c r="O65" s="1418" t="s">
        <v>403</v>
      </c>
      <c r="P65" s="1419" t="s">
        <v>868</v>
      </c>
      <c r="Q65" s="1420">
        <f ca="1">C40+J29</f>
        <v>3417012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-4689</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-99417</v>
      </c>
      <c r="D68" s="965" t="s">
        <v>758</v>
      </c>
      <c r="E68" s="950" t="s">
        <v>759</v>
      </c>
      <c r="F68" s="312">
        <f ca="1">F40</f>
        <v>4.4999999999999998E-2</v>
      </c>
      <c r="O68" s="1428" t="s">
        <v>406</v>
      </c>
      <c r="P68" s="1467" t="s">
        <v>871</v>
      </c>
      <c r="Q68" s="1420">
        <f ca="1">ROUND(Q69-Q70*Q71,0)</f>
        <v>69754</v>
      </c>
      <c r="R68" s="1420" t="s">
        <v>414</v>
      </c>
    </row>
    <row r="69" spans="1:18" s="1384" customFormat="1" ht="13.5" thickBot="1">
      <c r="A69" s="951"/>
      <c r="B69" s="952"/>
      <c r="C69" s="306"/>
      <c r="D69" s="970" t="s">
        <v>762</v>
      </c>
      <c r="E69" s="950" t="s">
        <v>763</v>
      </c>
      <c r="F69" s="333">
        <f ca="1">F41</f>
        <v>70</v>
      </c>
      <c r="O69" s="1428" t="s">
        <v>411</v>
      </c>
      <c r="P69" s="1467" t="s">
        <v>872</v>
      </c>
      <c r="Q69" s="1420">
        <f ca="1">C39</f>
        <v>69754</v>
      </c>
      <c r="R69" s="1420" t="s">
        <v>818</v>
      </c>
    </row>
    <row r="70" spans="1:18" s="1384" customFormat="1" ht="13.5" thickBot="1">
      <c r="A70" s="954"/>
      <c r="B70" s="955"/>
      <c r="C70" s="310"/>
      <c r="D70" s="966"/>
      <c r="E70" s="950" t="s">
        <v>766</v>
      </c>
      <c r="F70" s="1054"/>
      <c r="O70" s="1428" t="s">
        <v>412</v>
      </c>
      <c r="P70" s="1467" t="s">
        <v>873</v>
      </c>
      <c r="Q70" s="1420">
        <f ca="1">C13</f>
        <v>316161</v>
      </c>
      <c r="R70" s="1420" t="s">
        <v>818</v>
      </c>
    </row>
    <row r="71" spans="1:18" s="1384" customFormat="1" ht="13.5" thickBot="1">
      <c r="A71" s="971" t="s">
        <v>396</v>
      </c>
      <c r="B71" s="972" t="s">
        <v>776</v>
      </c>
      <c r="C71" s="336">
        <f ca="1">ROUND(C68/F71,0)</f>
        <v>-1426</v>
      </c>
      <c r="D71" s="973" t="s">
        <v>777</v>
      </c>
      <c r="E71" s="974" t="s">
        <v>778</v>
      </c>
      <c r="F71" s="339">
        <f ca="1">F43</f>
        <v>69.7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3417012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0.90700000000000003</v>
      </c>
    </row>
    <row r="83" spans="2:3">
      <c r="B83" s="273" t="s">
        <v>803</v>
      </c>
      <c r="C83" s="274">
        <f ca="1">ROUND(C13/C40,3)</f>
        <v>9.2999999999999999E-2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3357</v>
      </c>
      <c r="E2" s="3443"/>
      <c r="F2" s="2845"/>
      <c r="G2" s="2846"/>
      <c r="H2" s="2847"/>
      <c r="I2" s="2848"/>
      <c r="J2" s="3666" t="s">
        <v>2317</v>
      </c>
      <c r="K2" s="366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8" t="s">
        <v>2327</v>
      </c>
      <c r="K3" s="366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8" t="s">
        <v>2329</v>
      </c>
      <c r="K4" s="366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4" t="s">
        <v>2333</v>
      </c>
      <c r="B6" s="3675"/>
      <c r="C6" s="3676"/>
      <c r="D6" s="2869"/>
      <c r="E6" s="2870"/>
      <c r="F6" s="2871"/>
      <c r="G6" s="2872"/>
      <c r="H6" s="2847"/>
      <c r="I6" s="2848"/>
      <c r="J6" s="3660">
        <v>1</v>
      </c>
      <c r="K6" s="366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0"/>
      <c r="K7" s="366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7" t="s">
        <v>2347</v>
      </c>
      <c r="C8" s="3678"/>
      <c r="D8" s="2888" t="s">
        <v>2348</v>
      </c>
      <c r="E8" s="2889" t="s">
        <v>2349</v>
      </c>
      <c r="F8" s="2890" t="s">
        <v>2350</v>
      </c>
      <c r="G8" s="2891"/>
      <c r="H8" s="2847"/>
      <c r="I8" s="2848"/>
      <c r="J8" s="3660"/>
      <c r="K8" s="366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7" t="s">
        <v>2353</v>
      </c>
      <c r="C9" s="3678"/>
      <c r="D9" s="2888">
        <f>ROUND(D6*E9,0)</f>
        <v>0</v>
      </c>
      <c r="E9" s="2892"/>
      <c r="F9" s="2893" t="s">
        <v>2354</v>
      </c>
      <c r="G9" s="2872"/>
      <c r="H9" s="2847"/>
      <c r="I9" s="2848"/>
      <c r="J9" s="3660"/>
      <c r="K9" s="3662"/>
      <c r="L9" s="2882" t="s">
        <v>2355</v>
      </c>
      <c r="M9" s="2883"/>
      <c r="N9" s="2859"/>
      <c r="O9" s="2884"/>
      <c r="P9" s="2884"/>
      <c r="Q9" s="2885">
        <v>365</v>
      </c>
      <c r="R9" s="2886">
        <f t="shared" si="0"/>
        <v>0</v>
      </c>
      <c r="S9" s="2840"/>
      <c r="T9" s="2840"/>
      <c r="U9" s="2840"/>
      <c r="V9" s="2848"/>
    </row>
    <row r="10" spans="1:22" s="2852" customFormat="1" ht="13.15" customHeight="1">
      <c r="A10" s="2887">
        <v>2</v>
      </c>
      <c r="B10" s="3677" t="s">
        <v>2356</v>
      </c>
      <c r="C10" s="3678"/>
      <c r="D10" s="2888">
        <f>ROUND(D6*E10,0)</f>
        <v>0</v>
      </c>
      <c r="E10" s="2892"/>
      <c r="F10" s="2893" t="s">
        <v>2357</v>
      </c>
      <c r="G10" s="2872"/>
      <c r="H10" s="2847"/>
      <c r="I10" s="2848"/>
      <c r="J10" s="3660"/>
      <c r="K10" s="3662"/>
      <c r="L10" s="2882" t="s">
        <v>2358</v>
      </c>
      <c r="M10" s="2883"/>
      <c r="N10" s="2859"/>
      <c r="O10" s="2884"/>
      <c r="P10" s="2884"/>
      <c r="Q10" s="2885">
        <v>365</v>
      </c>
      <c r="R10" s="2886">
        <f t="shared" si="0"/>
        <v>0</v>
      </c>
      <c r="S10" s="2840"/>
      <c r="T10" s="2840"/>
      <c r="U10" s="2840"/>
      <c r="V10" s="2848"/>
    </row>
    <row r="11" spans="1:22" s="2852" customFormat="1" ht="13.15" customHeight="1">
      <c r="A11" s="2887">
        <v>3</v>
      </c>
      <c r="B11" s="3677" t="s">
        <v>2359</v>
      </c>
      <c r="C11" s="3678"/>
      <c r="D11" s="2888">
        <f>D12+D14+D15+D16</f>
        <v>0</v>
      </c>
      <c r="E11" s="2894" t="e">
        <f>D11/D6</f>
        <v>#DIV/0!</v>
      </c>
      <c r="F11" s="2890"/>
      <c r="G11" s="2891"/>
      <c r="H11" s="2847"/>
      <c r="I11" s="2848"/>
      <c r="J11" s="3660"/>
      <c r="K11" s="366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0" t="s">
        <v>2362</v>
      </c>
      <c r="C12" s="3671"/>
      <c r="D12" s="2896">
        <f>ROUND(D13*1.2%*(1-30%),0)</f>
        <v>0</v>
      </c>
      <c r="E12" s="2897">
        <v>1.2E-2</v>
      </c>
      <c r="F12" s="2890" t="s">
        <v>2363</v>
      </c>
      <c r="G12" s="2891"/>
      <c r="H12" s="2847"/>
      <c r="I12" s="2848"/>
      <c r="J12" s="3660"/>
      <c r="K12" s="366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0"/>
      <c r="K13" s="366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0" t="s">
        <v>2368</v>
      </c>
      <c r="C14" s="3671"/>
      <c r="D14" s="2896">
        <f>ROUND(E14*B5/10000,0)</f>
        <v>0</v>
      </c>
      <c r="E14" s="2885"/>
      <c r="F14" s="2890" t="s">
        <v>2369</v>
      </c>
      <c r="G14" s="2891"/>
      <c r="H14" s="2847"/>
      <c r="I14" s="2848"/>
      <c r="J14" s="3660"/>
      <c r="K14" s="366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0" t="s">
        <v>2372</v>
      </c>
      <c r="C15" s="3671"/>
      <c r="D15" s="2896">
        <f>ROUND(D6*E15,0)</f>
        <v>0</v>
      </c>
      <c r="E15" s="2897">
        <v>5.5E-2</v>
      </c>
      <c r="F15" s="2890" t="s">
        <v>2373</v>
      </c>
      <c r="G15" s="2872"/>
      <c r="H15" s="2847"/>
      <c r="I15" s="2848"/>
      <c r="J15" s="3660">
        <v>2</v>
      </c>
      <c r="K15" s="366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0" t="s">
        <v>2381</v>
      </c>
      <c r="C16" s="3671"/>
      <c r="D16" s="2907">
        <f>D6*E16</f>
        <v>0</v>
      </c>
      <c r="E16" s="2908"/>
      <c r="F16" s="2893" t="s">
        <v>2382</v>
      </c>
      <c r="G16" s="2872"/>
      <c r="H16" s="2847"/>
      <c r="I16" s="2848"/>
      <c r="J16" s="3660"/>
      <c r="K16" s="366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2384</v>
      </c>
      <c r="C17" s="3673"/>
      <c r="D17" s="2910">
        <f>ROUND(D6*E17,0)</f>
        <v>0</v>
      </c>
      <c r="E17" s="2911"/>
      <c r="F17" s="2912" t="s">
        <v>2385</v>
      </c>
      <c r="G17" s="2872"/>
      <c r="H17" s="2847"/>
      <c r="I17" s="2848"/>
      <c r="J17" s="3660"/>
      <c r="K17" s="366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0"/>
      <c r="K18" s="366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0"/>
      <c r="K19" s="366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0"/>
      <c r="K21" s="366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0"/>
      <c r="K22" s="366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0"/>
      <c r="K23" s="366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0"/>
      <c r="K24" s="366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6" t="s">
        <v>2317</v>
      </c>
      <c r="K32" s="366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8" t="s">
        <v>2327</v>
      </c>
      <c r="K33" s="366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8" t="s">
        <v>2329</v>
      </c>
      <c r="K34" s="366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0">
        <v>1</v>
      </c>
      <c r="K36" s="366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0"/>
      <c r="K40" s="366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341.70119999999997</v>
      </c>
      <c r="C2" s="1872" t="s">
        <v>1651</v>
      </c>
      <c r="D2" s="1873" t="s">
        <v>1652</v>
      </c>
      <c r="E2" s="2606">
        <f>SUM(E6:E13)</f>
        <v>69.7</v>
      </c>
      <c r="F2" s="2706"/>
      <c r="G2" s="1489"/>
      <c r="H2" s="1489"/>
      <c r="I2" s="1489"/>
      <c r="J2" s="1489"/>
      <c r="K2" s="1489"/>
      <c r="L2" s="1489"/>
      <c r="M2" s="1489"/>
      <c r="N2" s="1489"/>
      <c r="O2" s="1489"/>
      <c r="P2" s="1489"/>
      <c r="Q2" s="1489"/>
      <c r="R2" s="1489"/>
      <c r="S2" s="1489"/>
    </row>
    <row r="3" spans="1:22" ht="15.75">
      <c r="A3" s="1870" t="s">
        <v>686</v>
      </c>
      <c r="B3" s="2600">
        <f ca="1">ROUND(B2*10000/E2,0)</f>
        <v>49025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9" t="s">
        <v>1654</v>
      </c>
      <c r="C5" s="368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341.70119999999997</v>
      </c>
      <c r="C6" s="1872" t="s">
        <v>1651</v>
      </c>
      <c r="D6" s="2708"/>
      <c r="E6" s="2605">
        <f>IF(OR(A6=0,F6="否"),0,'数据-取费表'!K6+'数据-取费表'!S6)</f>
        <v>69.7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19" zoomScale="85" zoomScaleNormal="60" zoomScaleSheetLayoutView="85" workbookViewId="0">
      <selection activeCell="G17" sqref="G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3423</v>
      </c>
      <c r="F1" s="1879" t="s">
        <v>3410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603.90170000000001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86643</v>
      </c>
      <c r="C3" s="354" t="s">
        <v>1665</v>
      </c>
      <c r="D3" s="353">
        <f>IF(D1="",'数据-汇总表'!E3,SUMIF('数据-汇总表'!$C19:$C33,D1,'数据-汇总表'!$E19:$E33))</f>
        <v>69.7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4"/>
      <c r="M4" s="2715"/>
      <c r="N4" s="2715"/>
      <c r="O4" s="2715"/>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28.5" customHeight="1">
      <c r="A5" s="358"/>
      <c r="B5" s="359"/>
      <c r="C5" s="3723" t="s">
        <v>3751</v>
      </c>
      <c r="D5" s="3719"/>
      <c r="E5" s="3726" t="s">
        <v>3752</v>
      </c>
      <c r="F5" s="3727"/>
      <c r="G5" s="3718" t="str">
        <f>E5</f>
        <v>左安浦园</v>
      </c>
      <c r="H5" s="3719"/>
      <c r="I5" s="3723" t="str">
        <f>E5</f>
        <v>左安浦园</v>
      </c>
      <c r="J5" s="3719"/>
      <c r="K5" s="1890"/>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1890"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45274</v>
      </c>
      <c r="D7" s="365">
        <v>100</v>
      </c>
      <c r="E7" s="366">
        <v>45242</v>
      </c>
      <c r="F7" s="367">
        <f>SUMIF(58:58,YEAR(E7)&amp;"-"&amp;MONTH(E7),59:59)</f>
        <v>100</v>
      </c>
      <c r="G7" s="3464">
        <v>45241</v>
      </c>
      <c r="H7" s="365">
        <f>SUMIF(58:58,YEAR(G7)&amp;"-"&amp;MONTH(G7),59:59)</f>
        <v>100</v>
      </c>
      <c r="I7" s="3464">
        <v>45170</v>
      </c>
      <c r="J7" s="365">
        <f>SUMIF(58:58,YEAR(I7)&amp;"-"&amp;MONTH(I7),59:59)</f>
        <v>100</v>
      </c>
      <c r="K7" s="1891"/>
      <c r="L7" s="2716"/>
      <c r="M7" s="2717"/>
      <c r="N7" s="2717"/>
      <c r="O7" s="2717"/>
      <c r="P7" s="3720" t="s">
        <v>1680</v>
      </c>
      <c r="Q7" s="3722"/>
      <c r="R7" s="701" t="s">
        <v>20</v>
      </c>
      <c r="S7" s="702">
        <f t="shared" ref="S7:S15" si="0">F7</f>
        <v>100</v>
      </c>
      <c r="T7" s="701" t="s">
        <v>20</v>
      </c>
      <c r="U7" s="702">
        <f t="shared" ref="U7:U15" si="1">H7</f>
        <v>100</v>
      </c>
      <c r="V7" s="701" t="s">
        <v>20</v>
      </c>
      <c r="W7" s="702">
        <f t="shared" ref="W7:W15" si="2">J7</f>
        <v>100</v>
      </c>
      <c r="X7" s="703"/>
      <c r="Y7" s="3720" t="s">
        <v>1680</v>
      </c>
      <c r="Z7" s="3721"/>
      <c r="AA7" s="704">
        <f>D7/F7</f>
        <v>1</v>
      </c>
      <c r="AB7" s="704">
        <f>D7/H7</f>
        <v>1</v>
      </c>
      <c r="AC7" s="704">
        <f>D7/J7</f>
        <v>1</v>
      </c>
    </row>
    <row r="8" spans="1:29" s="108" customFormat="1" ht="15.75" thickBot="1">
      <c r="A8" s="362" t="s">
        <v>1681</v>
      </c>
      <c r="B8" s="363"/>
      <c r="C8" s="368" t="s">
        <v>3390</v>
      </c>
      <c r="D8" s="365">
        <v>100</v>
      </c>
      <c r="E8" s="1892" t="s">
        <v>3390</v>
      </c>
      <c r="F8" s="367">
        <f>SUMIF(61:61,E8,62:62)-SUMIF(61:61,C8,62:62)+100</f>
        <v>100</v>
      </c>
      <c r="G8" s="368" t="s">
        <v>3390</v>
      </c>
      <c r="H8" s="365">
        <f>SUMIF(61:61,G8,62:62)-SUMIF(61:61,C8,62:62)+100</f>
        <v>100</v>
      </c>
      <c r="I8" s="1892" t="s">
        <v>3390</v>
      </c>
      <c r="J8" s="365">
        <f>SUMIF(61:61,I8,62:62)-SUMIF(61:61,C8,62:62)+100</f>
        <v>100</v>
      </c>
      <c r="K8" s="1891"/>
      <c r="L8" s="2716"/>
      <c r="M8" s="2717"/>
      <c r="N8" s="2717"/>
      <c r="O8" s="2717"/>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450" t="s">
        <v>3391</v>
      </c>
      <c r="D9" s="126">
        <v>100</v>
      </c>
      <c r="E9" s="371" t="s">
        <v>3383</v>
      </c>
      <c r="F9" s="372">
        <f>SUMIF(63:63,E9,64:64)-SUMIF(63:63,C9,64:64)+100</f>
        <v>100</v>
      </c>
      <c r="G9" s="373" t="s">
        <v>3383</v>
      </c>
      <c r="H9" s="126">
        <f>SUMIF(63:63,G9,64:64)-SUMIF(63:63,C9,64:64)+100</f>
        <v>100</v>
      </c>
      <c r="I9" s="373" t="s">
        <v>3383</v>
      </c>
      <c r="J9" s="126">
        <f>SUMIF(63:63,I9,64:64)-SUMIF(63:63,C9,64:64)+100</f>
        <v>100</v>
      </c>
      <c r="K9" s="1891"/>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5"/>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c r="A12" s="382"/>
      <c r="B12" s="3467" t="s">
        <v>3771</v>
      </c>
      <c r="C12" s="3468" t="s">
        <v>3772</v>
      </c>
      <c r="D12" s="384">
        <v>100</v>
      </c>
      <c r="E12" s="3468" t="s">
        <v>3772</v>
      </c>
      <c r="F12" s="376">
        <f>SUMIF(70:70,E12,71:71)-SUMIF(70:70,C12,71:71)+100</f>
        <v>100</v>
      </c>
      <c r="G12" s="3468" t="s">
        <v>3773</v>
      </c>
      <c r="H12" s="127">
        <f>SUMIF(70:70,G12,71:71)-SUMIF(70:70,C12,71:71)+100</f>
        <v>97</v>
      </c>
      <c r="I12" s="3468" t="s">
        <v>3772</v>
      </c>
      <c r="J12" s="127">
        <f>SUMIF(70:70,I12,71:71)-SUMIF(70:70,C12,71:71)+100</f>
        <v>100</v>
      </c>
      <c r="K12" s="1894"/>
      <c r="L12" s="2716"/>
      <c r="M12" s="2717"/>
      <c r="N12" s="2717"/>
      <c r="O12" s="2717"/>
      <c r="P12" s="3695"/>
      <c r="Q12" s="1343" t="str">
        <f t="shared" si="6"/>
        <v>房屋性质</v>
      </c>
      <c r="R12" s="701" t="s">
        <v>18</v>
      </c>
      <c r="S12" s="702">
        <f t="shared" si="0"/>
        <v>100</v>
      </c>
      <c r="T12" s="701" t="s">
        <v>18</v>
      </c>
      <c r="U12" s="702">
        <f t="shared" si="1"/>
        <v>97</v>
      </c>
      <c r="V12" s="701" t="s">
        <v>18</v>
      </c>
      <c r="W12" s="702">
        <f t="shared" si="2"/>
        <v>100</v>
      </c>
      <c r="X12" s="703"/>
      <c r="Y12" s="3559"/>
      <c r="Z12" s="52" t="str">
        <f t="shared" si="7"/>
        <v>房屋性质</v>
      </c>
      <c r="AA12" s="704">
        <f>D12/F12</f>
        <v>1</v>
      </c>
      <c r="AB12" s="704">
        <f>D12/H12</f>
        <v>1.0309278350515463</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估价对象周边有左安漪园、向新西里、芳城园等社区，综合评价居住社区成熟度较好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4"/>
      <c r="Q16" s="1352"/>
      <c r="R16" s="705"/>
      <c r="S16" s="706"/>
      <c r="T16" s="705"/>
      <c r="U16" s="706"/>
      <c r="V16" s="705"/>
      <c r="W16" s="706"/>
      <c r="X16" s="1355"/>
      <c r="Y16" s="3687"/>
      <c r="Z16" s="1356"/>
      <c r="AA16" s="1353">
        <v>1</v>
      </c>
      <c r="AB16" s="1353">
        <v>1</v>
      </c>
      <c r="AC16" s="1353">
        <v>1</v>
      </c>
    </row>
    <row r="17" spans="1:29" ht="121.5" customHeight="1">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4"/>
      <c r="Q20" s="1352"/>
      <c r="R20" s="705"/>
      <c r="S20" s="706"/>
      <c r="T20" s="705"/>
      <c r="U20" s="706"/>
      <c r="V20" s="705"/>
      <c r="W20" s="706"/>
      <c r="X20" s="1355"/>
      <c r="Y20" s="368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4"/>
      <c r="Q22" s="1352"/>
      <c r="R22" s="705"/>
      <c r="S22" s="706"/>
      <c r="T22" s="705"/>
      <c r="U22" s="706"/>
      <c r="V22" s="705"/>
      <c r="W22" s="706"/>
      <c r="X22" s="1355"/>
      <c r="Y22" s="3687"/>
      <c r="Z22" s="1356"/>
      <c r="AA22" s="1353">
        <v>1</v>
      </c>
      <c r="AB22" s="1353">
        <v>1</v>
      </c>
      <c r="AC22" s="1353">
        <v>1</v>
      </c>
    </row>
    <row r="23" spans="1:29" ht="61.5" customHeight="1">
      <c r="A23" s="379"/>
      <c r="B23" s="402" t="s">
        <v>1261</v>
      </c>
      <c r="C23" s="1900" t="str">
        <f>估价对象房地状况!C9</f>
        <v>区域自然环境：龙潭公园、护城河；人文环境：龙潭湖体育馆、角楼图书馆；综合评价环境状况较好。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4"/>
      <c r="Q24" s="1352"/>
      <c r="R24" s="705"/>
      <c r="S24" s="706"/>
      <c r="T24" s="705"/>
      <c r="U24" s="706"/>
      <c r="V24" s="705"/>
      <c r="W24" s="706"/>
      <c r="X24" s="1355"/>
      <c r="Y24" s="368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3762</v>
      </c>
      <c r="D26" s="386">
        <v>100</v>
      </c>
      <c r="E26" s="1906" t="s">
        <v>3756</v>
      </c>
      <c r="F26" s="386">
        <f>SUMIF(88:88,E26,89:89)-SUMIF(88:88,C26,89:89)+100</f>
        <v>99</v>
      </c>
      <c r="G26" s="1907" t="s">
        <v>3755</v>
      </c>
      <c r="H26" s="386">
        <f>SUMIF(88:88,G26,89:89)-SUMIF(88:88,C26,89:89)+100</f>
        <v>101</v>
      </c>
      <c r="I26" s="1907" t="s">
        <v>3759</v>
      </c>
      <c r="J26" s="386">
        <f>SUMIF(88:88,I26,89:89)-SUMIF(88:88,C26,89:89)+100</f>
        <v>102</v>
      </c>
      <c r="K26" s="377">
        <v>1</v>
      </c>
      <c r="L26" s="2721"/>
      <c r="M26" s="2715"/>
      <c r="N26" s="2715"/>
      <c r="O26" s="2715"/>
      <c r="P26" s="3694"/>
      <c r="Q26" s="1352" t="str">
        <f t="shared" si="11"/>
        <v>朝向</v>
      </c>
      <c r="R26" s="705" t="s">
        <v>18</v>
      </c>
      <c r="S26" s="706">
        <f t="shared" si="12"/>
        <v>99</v>
      </c>
      <c r="T26" s="705" t="s">
        <v>18</v>
      </c>
      <c r="U26" s="706">
        <f t="shared" si="13"/>
        <v>101</v>
      </c>
      <c r="V26" s="705" t="s">
        <v>18</v>
      </c>
      <c r="W26" s="706">
        <f t="shared" si="14"/>
        <v>102</v>
      </c>
      <c r="X26" s="1355"/>
      <c r="Y26" s="3687"/>
      <c r="Z26" s="1356" t="str">
        <f>Q26</f>
        <v>朝向</v>
      </c>
      <c r="AA26" s="1353">
        <f t="shared" si="15"/>
        <v>1.0101010101010102</v>
      </c>
      <c r="AB26" s="1353">
        <f t="shared" si="16"/>
        <v>0.99009900990099009</v>
      </c>
      <c r="AC26" s="1353">
        <f t="shared" si="17"/>
        <v>0.98039215686274506</v>
      </c>
    </row>
    <row r="27" spans="1:29" s="108" customFormat="1" ht="15.75" thickBot="1">
      <c r="A27" s="382"/>
      <c r="B27" s="3449" t="s">
        <v>3392</v>
      </c>
      <c r="C27" s="3452" t="str">
        <f>C90</f>
        <v>6/14（中楼层）</v>
      </c>
      <c r="D27" s="413">
        <v>100</v>
      </c>
      <c r="E27" s="383" t="str">
        <f>D90</f>
        <v>高/14</v>
      </c>
      <c r="F27" s="413">
        <f>SUMIF(90:90,E27,91:91)-SUMIF(90:90,C27,91:91)+100</f>
        <v>102</v>
      </c>
      <c r="G27" s="1960" t="str">
        <f>E90</f>
        <v>中/14</v>
      </c>
      <c r="H27" s="413">
        <f>SUMIF(90:90,G27,91:91)-SUMIF(90:90,C27,91:91)+100</f>
        <v>100</v>
      </c>
      <c r="I27" s="1960" t="str">
        <f>F90</f>
        <v>中/16</v>
      </c>
      <c r="J27" s="413">
        <f>SUMIF(90:90,I27,91:91)-SUMIF(90:90,C27,91:91)+100</f>
        <v>100</v>
      </c>
      <c r="K27" s="1894"/>
      <c r="L27" s="2716"/>
      <c r="M27" s="2717"/>
      <c r="N27" s="2717"/>
      <c r="O27" s="2717"/>
      <c r="P27" s="3694"/>
      <c r="Q27" s="1343" t="str">
        <f t="shared" si="11"/>
        <v>楼层</v>
      </c>
      <c r="R27" s="701" t="s">
        <v>18</v>
      </c>
      <c r="S27" s="702">
        <f t="shared" si="12"/>
        <v>102</v>
      </c>
      <c r="T27" s="701" t="s">
        <v>18</v>
      </c>
      <c r="U27" s="702">
        <f t="shared" si="13"/>
        <v>100</v>
      </c>
      <c r="V27" s="701" t="s">
        <v>18</v>
      </c>
      <c r="W27" s="702">
        <f t="shared" si="14"/>
        <v>100</v>
      </c>
      <c r="X27" s="703"/>
      <c r="Y27" s="3687"/>
      <c r="Z27" s="52" t="str">
        <f>Q27</f>
        <v>楼层</v>
      </c>
      <c r="AA27" s="1353">
        <f t="shared" si="15"/>
        <v>0.98039215686274506</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t="s">
        <v>3768</v>
      </c>
      <c r="D32" s="418">
        <v>100</v>
      </c>
      <c r="E32" s="1911" t="s">
        <v>3768</v>
      </c>
      <c r="F32" s="412">
        <f>SUMIF(100:100,E32,101:101)-SUMIF(100:100,C32,101:101)+100</f>
        <v>100</v>
      </c>
      <c r="G32" s="1910" t="s">
        <v>3768</v>
      </c>
      <c r="H32" s="418">
        <f>SUMIF(100:100,G32,101:101)-SUMIF(100:100,C32,101:101)+100</f>
        <v>100</v>
      </c>
      <c r="I32" s="1911" t="s">
        <v>3768</v>
      </c>
      <c r="J32" s="386">
        <f>SUMIF(100:100,I32,101:101)-SUMIF(100:100,C32,101:101)+100</f>
        <v>100</v>
      </c>
      <c r="K32" s="377">
        <v>5</v>
      </c>
      <c r="L32" s="2721"/>
      <c r="M32" s="2715"/>
      <c r="N32" s="2715"/>
      <c r="O32" s="2715"/>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69.7</v>
      </c>
      <c r="D33" s="127">
        <v>100</v>
      </c>
      <c r="E33" s="420">
        <v>75.040000000000006</v>
      </c>
      <c r="F33" s="127">
        <f>LOOKUP(E33,103:103,104:104)-LOOKUP(C33,103:103,104:104)+100</f>
        <v>100</v>
      </c>
      <c r="G33" s="380">
        <v>62.38</v>
      </c>
      <c r="H33" s="127">
        <f>LOOKUP(G33,103:103,104:104)-LOOKUP(C33,103:103,104:104)+100</f>
        <v>100</v>
      </c>
      <c r="I33" s="420">
        <v>60.8</v>
      </c>
      <c r="J33" s="127">
        <f>LOOKUP(I33,103:103,104:104)-LOOKUP(C33,103:103,104:104)+100</f>
        <v>100</v>
      </c>
      <c r="K33" s="1894"/>
      <c r="L33" s="2720"/>
      <c r="M33" s="2722"/>
      <c r="N33" s="2722"/>
      <c r="O33" s="2722"/>
      <c r="P33" s="3689"/>
      <c r="Q33" s="707" t="str">
        <f t="shared" si="11"/>
        <v>项目建筑规模</v>
      </c>
      <c r="R33" s="708" t="s">
        <v>18</v>
      </c>
      <c r="S33" s="709">
        <f t="shared" si="12"/>
        <v>100</v>
      </c>
      <c r="T33" s="708" t="s">
        <v>18</v>
      </c>
      <c r="U33" s="709">
        <f t="shared" si="13"/>
        <v>100</v>
      </c>
      <c r="V33" s="708" t="s">
        <v>18</v>
      </c>
      <c r="W33" s="709">
        <f t="shared" si="14"/>
        <v>100</v>
      </c>
      <c r="X33" s="710"/>
      <c r="Y33" s="3691"/>
      <c r="Z33" s="711" t="str">
        <f t="shared" si="18"/>
        <v>项目建筑规模</v>
      </c>
      <c r="AA33" s="1353">
        <f t="shared" si="15"/>
        <v>1</v>
      </c>
      <c r="AB33" s="1353">
        <f t="shared" si="16"/>
        <v>1</v>
      </c>
      <c r="AC33" s="1353">
        <f t="shared" si="17"/>
        <v>1</v>
      </c>
    </row>
    <row r="34" spans="1:29" ht="15">
      <c r="A34" s="423"/>
      <c r="B34" s="375" t="s">
        <v>1698</v>
      </c>
      <c r="C34" s="1912" t="s">
        <v>3394</v>
      </c>
      <c r="D34" s="386">
        <v>100</v>
      </c>
      <c r="E34" s="1913" t="s">
        <v>3394</v>
      </c>
      <c r="F34" s="412">
        <f>SUMIF(105:105,E34,106:106)-SUMIF(105:105,C34,106:106)+100</f>
        <v>100</v>
      </c>
      <c r="G34" s="1912" t="s">
        <v>3394</v>
      </c>
      <c r="H34" s="386">
        <f>SUMIF(105:105,G34,106:106)-SUMIF(105:105,C34,106:106)+100</f>
        <v>100</v>
      </c>
      <c r="I34" s="1913" t="s">
        <v>3394</v>
      </c>
      <c r="J34" s="386">
        <f>SUMIF(105:105,I34,106:106)-SUMIF(105:105,C34,106:106)+100</f>
        <v>100</v>
      </c>
      <c r="K34" s="377"/>
      <c r="L34" s="2721"/>
      <c r="M34" s="2715"/>
      <c r="N34" s="2715"/>
      <c r="O34" s="2715"/>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t="s">
        <v>3396</v>
      </c>
      <c r="D36" s="386">
        <v>100</v>
      </c>
      <c r="E36" s="1907" t="s">
        <v>3396</v>
      </c>
      <c r="F36" s="412">
        <f>SUMIF(109:109,E36,110:110)-SUMIF(109:109,C36,110:110)+100</f>
        <v>100</v>
      </c>
      <c r="G36" s="1906" t="s">
        <v>3396</v>
      </c>
      <c r="H36" s="386">
        <f>SUMIF(109:109,G36,110:110)-SUMIF(109:109,C36,110:110)+100</f>
        <v>100</v>
      </c>
      <c r="I36" s="1907" t="s">
        <v>3396</v>
      </c>
      <c r="J36" s="386">
        <f>SUMIF(109:109,I36,110:110)-SUMIF(109:109,C36,110:110)+100</f>
        <v>100</v>
      </c>
      <c r="K36" s="377"/>
      <c r="L36" s="2721"/>
      <c r="M36" s="2715"/>
      <c r="N36" s="2715"/>
      <c r="O36" s="2715"/>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689"/>
      <c r="Q37" s="1343"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6" t="s">
        <v>3398</v>
      </c>
      <c r="D38" s="386">
        <v>100</v>
      </c>
      <c r="E38" s="1907" t="s">
        <v>3398</v>
      </c>
      <c r="F38" s="412">
        <f>SUMIF(114:114,E38,115:115)-SUMIF(114:114,C38,115:115)+100</f>
        <v>100</v>
      </c>
      <c r="G38" s="1906" t="s">
        <v>3398</v>
      </c>
      <c r="H38" s="386">
        <f>SUMIF(114:114,G38,115:115)-SUMIF(114:114,C38,115:115)+100</f>
        <v>100</v>
      </c>
      <c r="I38" s="1907" t="s">
        <v>3398</v>
      </c>
      <c r="J38" s="386">
        <f>SUMIF(114:114,I38,115:115)-SUMIF(114:114,C38,115:115)+100</f>
        <v>100</v>
      </c>
      <c r="K38" s="377"/>
      <c r="L38" s="2721"/>
      <c r="M38" s="2715"/>
      <c r="N38" s="2715"/>
      <c r="O38" s="2715"/>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t="s">
        <v>3400</v>
      </c>
      <c r="D39" s="386">
        <v>100</v>
      </c>
      <c r="E39" s="1907" t="s">
        <v>3400</v>
      </c>
      <c r="F39" s="412">
        <f>SUMIF(116:116,E39,117:117)-SUMIF(116:116,C39,117:117)+100</f>
        <v>100</v>
      </c>
      <c r="G39" s="1906" t="s">
        <v>3400</v>
      </c>
      <c r="H39" s="386">
        <f>SUMIF(116:116,G39,117:117)-SUMIF(116:116,C39,117:117)+100</f>
        <v>100</v>
      </c>
      <c r="I39" s="1907" t="s">
        <v>3400</v>
      </c>
      <c r="J39" s="386">
        <f>SUMIF(116:116,I39,117:117)-SUMIF(116:116,C39,117:117)+100</f>
        <v>100</v>
      </c>
      <c r="K39" s="377"/>
      <c r="L39" s="2721"/>
      <c r="M39" s="2715"/>
      <c r="N39" s="2715"/>
      <c r="O39" s="2715"/>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t="s">
        <v>3402</v>
      </c>
      <c r="D40" s="386">
        <v>100</v>
      </c>
      <c r="E40" s="1907" t="s">
        <v>3402</v>
      </c>
      <c r="F40" s="412">
        <f>SUMIF(118:118,E40,119:119)-SUMIF(118:118,C40,119:119)+100</f>
        <v>100</v>
      </c>
      <c r="G40" s="1906" t="s">
        <v>3402</v>
      </c>
      <c r="H40" s="386">
        <f>SUMIF(118:118,G40,119:119)-SUMIF(118:118,C40,119:119)+100</f>
        <v>100</v>
      </c>
      <c r="I40" s="1907" t="s">
        <v>3402</v>
      </c>
      <c r="J40" s="386">
        <f>SUMIF(118:118,I40,119:119)-SUMIF(118:118,C40,119:119)+100</f>
        <v>100</v>
      </c>
      <c r="K40" s="377"/>
      <c r="L40" s="2721"/>
      <c r="M40" s="2715"/>
      <c r="N40" s="2715"/>
      <c r="O40" s="2715"/>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t="s">
        <v>3396</v>
      </c>
      <c r="D42" s="386">
        <v>100</v>
      </c>
      <c r="E42" s="1907" t="s">
        <v>3396</v>
      </c>
      <c r="F42" s="412">
        <f>SUMIF(122:122,E42,123:123)-SUMIF(122:122,C42,123:123)+100</f>
        <v>100</v>
      </c>
      <c r="G42" s="1906" t="s">
        <v>3396</v>
      </c>
      <c r="H42" s="386">
        <f>SUMIF(122:122,G42,123:123)-SUMIF(122:122,C42,123:123)+100</f>
        <v>100</v>
      </c>
      <c r="I42" s="1907" t="s">
        <v>3396</v>
      </c>
      <c r="J42" s="386">
        <f>SUMIF(122:122,I42,123:123)-SUMIF(122:122,C42,123:123)+100</f>
        <v>100</v>
      </c>
      <c r="K42" s="377"/>
      <c r="L42" s="2721"/>
      <c r="M42" s="2715"/>
      <c r="N42" s="2715"/>
      <c r="O42" s="2715"/>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t="s">
        <v>3404</v>
      </c>
      <c r="D43" s="386">
        <v>100</v>
      </c>
      <c r="E43" s="1907" t="s">
        <v>3404</v>
      </c>
      <c r="F43" s="412">
        <f>SUMIF(124:124,E43,125:125)-SUMIF(124:124,C43,125:125)+100</f>
        <v>100</v>
      </c>
      <c r="G43" s="1906" t="s">
        <v>3404</v>
      </c>
      <c r="H43" s="386">
        <f>SUMIF(124:124,G43,125:125)-SUMIF(124:124,C43,125:125)+100</f>
        <v>100</v>
      </c>
      <c r="I43" s="1907" t="s">
        <v>3404</v>
      </c>
      <c r="J43" s="386">
        <f>SUMIF(124:124,I43,125:125)-SUMIF(124:124,C43,125:125)+100</f>
        <v>100</v>
      </c>
      <c r="K43" s="377"/>
      <c r="L43" s="2721"/>
      <c r="M43" s="2715"/>
      <c r="N43" s="2715"/>
      <c r="O43" s="2715"/>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3449" t="s">
        <v>3389</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689"/>
      <c r="Q44" s="1343" t="str">
        <f t="shared" si="11"/>
        <v>建成年代</v>
      </c>
      <c r="R44" s="701" t="s">
        <v>18</v>
      </c>
      <c r="S44" s="702">
        <f t="shared" si="12"/>
        <v>100</v>
      </c>
      <c r="T44" s="701" t="s">
        <v>18</v>
      </c>
      <c r="U44" s="702">
        <f t="shared" si="13"/>
        <v>100</v>
      </c>
      <c r="V44" s="701" t="s">
        <v>18</v>
      </c>
      <c r="W44" s="702">
        <f t="shared" si="14"/>
        <v>100</v>
      </c>
      <c r="X44" s="703"/>
      <c r="Y44" s="3691"/>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689"/>
      <c r="Q45" s="1352">
        <f t="shared" si="11"/>
        <v>0</v>
      </c>
      <c r="R45" s="705" t="s">
        <v>18</v>
      </c>
      <c r="S45" s="706">
        <f t="shared" si="12"/>
        <v>100</v>
      </c>
      <c r="T45" s="705" t="s">
        <v>18</v>
      </c>
      <c r="U45" s="706">
        <f t="shared" si="13"/>
        <v>100</v>
      </c>
      <c r="V45" s="705" t="s">
        <v>18</v>
      </c>
      <c r="W45" s="706">
        <f t="shared" si="14"/>
        <v>100</v>
      </c>
      <c r="X45" s="1355"/>
      <c r="Y45" s="3691"/>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v>93284</v>
      </c>
      <c r="F47" s="1157"/>
      <c r="G47" s="1158">
        <v>82318</v>
      </c>
      <c r="H47" s="1159"/>
      <c r="I47" s="1156">
        <v>85197</v>
      </c>
      <c r="J47" s="1159"/>
      <c r="K47" s="1914"/>
      <c r="L47" s="2723"/>
      <c r="M47" s="2724"/>
      <c r="N47" s="2715"/>
      <c r="O47" s="2724"/>
      <c r="P47" s="3684" t="str">
        <f>A47</f>
        <v>成交单价（元/平方米）</v>
      </c>
      <c r="Q47" s="3684"/>
      <c r="R47" s="3685">
        <f>E47</f>
        <v>93284</v>
      </c>
      <c r="S47" s="3685"/>
      <c r="T47" s="3685">
        <f>G47</f>
        <v>82318</v>
      </c>
      <c r="U47" s="3685"/>
      <c r="V47" s="3685">
        <f>I47</f>
        <v>85197</v>
      </c>
      <c r="W47" s="3685"/>
      <c r="X47" s="690"/>
      <c r="Y47" s="712"/>
      <c r="Z47" s="690"/>
      <c r="AA47" s="690"/>
      <c r="AB47" s="690"/>
      <c r="AC47" s="690"/>
    </row>
    <row r="48" spans="1:29" ht="15.75" thickBot="1">
      <c r="A48" s="437" t="s">
        <v>1709</v>
      </c>
      <c r="B48" s="438"/>
      <c r="C48" s="1160">
        <f>R49</f>
        <v>86643</v>
      </c>
      <c r="D48" s="2317" t="s">
        <v>2137</v>
      </c>
      <c r="E48" s="1161">
        <f>R48</f>
        <v>92379</v>
      </c>
      <c r="F48" s="2318"/>
      <c r="G48" s="1160">
        <f>T48</f>
        <v>84024</v>
      </c>
      <c r="H48" s="2318"/>
      <c r="I48" s="1161">
        <f>V48</f>
        <v>83526</v>
      </c>
      <c r="J48" s="2318"/>
      <c r="K48" s="2319">
        <f>F48+H48+J48</f>
        <v>0</v>
      </c>
      <c r="L48" s="2723"/>
      <c r="M48" s="2724"/>
      <c r="N48" s="2724"/>
      <c r="O48" s="2724"/>
      <c r="P48" s="3684" t="str">
        <f>A48</f>
        <v>比较价值（元/平方米）</v>
      </c>
      <c r="Q48" s="3684"/>
      <c r="R48" s="3685">
        <f>IF(F1="售价",ROUND(PRODUCT(R47,AA7:AA46),0),ROUND(PRODUCT(R47,AA7:AA46),1))</f>
        <v>92379</v>
      </c>
      <c r="S48" s="3685"/>
      <c r="T48" s="3685">
        <f>IF(F1="售价",ROUND(PRODUCT(T47,AB7:AB46),0),ROUND(PRODUCT(T47,AB7:AB46),1))</f>
        <v>84024</v>
      </c>
      <c r="U48" s="3685"/>
      <c r="V48" s="3685">
        <f>IF(F1="售价",ROUND(PRODUCT(V47,AC7:AC46),0),ROUND(PRODUCT(V47,AC7:AC46),1))</f>
        <v>83526</v>
      </c>
      <c r="W48" s="3685"/>
      <c r="X48" s="690"/>
      <c r="Y48" s="690"/>
      <c r="Z48" s="690"/>
      <c r="AA48" s="690"/>
      <c r="AB48" s="690"/>
      <c r="AC48" s="690"/>
    </row>
    <row r="49" spans="1:29" ht="15.75" thickBot="1">
      <c r="A49" s="3460" t="s">
        <v>3422</v>
      </c>
      <c r="B49" s="442"/>
      <c r="C49" s="1162">
        <f>R49</f>
        <v>86643</v>
      </c>
      <c r="D49" s="1163"/>
      <c r="E49" s="1163"/>
      <c r="F49" s="1163"/>
      <c r="G49" s="1163"/>
      <c r="H49" s="1163"/>
      <c r="I49" s="1163"/>
      <c r="J49" s="1163"/>
      <c r="K49" s="1915"/>
      <c r="L49" s="2723"/>
      <c r="M49" s="2724"/>
      <c r="N49" s="2724"/>
      <c r="O49" s="2724"/>
      <c r="P49" s="3681" t="str">
        <f>A49</f>
        <v>估价对象住宅用房的比较价值（楼面单价，元/平方米）</v>
      </c>
      <c r="Q49" s="3682"/>
      <c r="R49" s="3683">
        <f>IF(F1="售价",ROUND(IF(D48="简单平均",AVERAGE(R48:V48),R48*F48+T48*H48+V48*J48),0),ROUND(IF(D48="简单平均",AVERAGE(R48:V48),R48*F48+T48*H48+V48*J48),1))</f>
        <v>86643</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9.7965987940982213E-3</v>
      </c>
      <c r="F52" s="449" t="str">
        <f>IF(OR(E52&gt;=0.3,E52&lt;=-0.3),"超过30%","")</f>
        <v/>
      </c>
      <c r="G52" s="448">
        <f>IF(G47&lt;G48,G48/G47-1,G47/G48-1)</f>
        <v>2.0724507398139025E-2</v>
      </c>
      <c r="H52" s="449" t="str">
        <f>IF(OR(G52&gt;=0.3,G52&lt;=-0.3),"超过30%","")</f>
        <v/>
      </c>
      <c r="I52" s="448">
        <f>IF(I47&lt;I48,I48/I47-1,I47/I48-1)</f>
        <v>2.0005746713598116E-2</v>
      </c>
      <c r="J52" s="449" t="str">
        <f>IF(OR(I52&gt;=0.3,I52&lt;=-0.3),"超过30%","")</f>
        <v/>
      </c>
      <c r="K52" s="2729"/>
      <c r="L52" s="2725"/>
      <c r="M52" s="2724"/>
      <c r="N52" s="2724"/>
      <c r="O52" s="2724"/>
    </row>
    <row r="53" spans="1:29" ht="13.5" customHeight="1">
      <c r="A53" s="2724"/>
      <c r="B53" s="2724"/>
      <c r="C53" s="446" t="s">
        <v>1711</v>
      </c>
      <c r="D53" s="450"/>
      <c r="E53" s="448">
        <f>IF(E48&lt;G48,G48/E48-1,E48/G48-1)</f>
        <v>9.9435875464153112E-2</v>
      </c>
      <c r="F53" s="449" t="str">
        <f>IF(OR(E53&gt;=0.2,E53&lt;=-0.2),"超过20%","")</f>
        <v/>
      </c>
      <c r="G53" s="448">
        <f>IF(G48&lt;I48,I48/G48-1,G48/I48-1)</f>
        <v>5.9622153580920489E-3</v>
      </c>
      <c r="H53" s="449" t="str">
        <f>IF(OR(G53&gt;=0.2,G53&lt;=-0.2),"超过20%","")</f>
        <v/>
      </c>
      <c r="I53" s="448">
        <f>IF(I48&lt;E48,E48/I48-1,I48/E48-1)</f>
        <v>0.10599094892608285</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0.13321509268932674</v>
      </c>
      <c r="F54" s="449" t="str">
        <f>IF(OR(E54&gt;=0.3,E54&lt;=-0.3),"超过30%","")</f>
        <v/>
      </c>
      <c r="G54" s="448">
        <f>IF(G47&lt;I47,I47/G47-1,G47/I47-1)</f>
        <v>3.4974124735780654E-2</v>
      </c>
      <c r="H54" s="449" t="str">
        <f>IF(OR(G54&gt;=0.3,G54&lt;=-0.3),"超过30%","")</f>
        <v/>
      </c>
      <c r="I54" s="448">
        <f>IF(I47&lt;E47,E47/I47-1,I47/E47-1)</f>
        <v>9.4921182670751225E-2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t="str">
        <f>B12</f>
        <v>房屋性质</v>
      </c>
      <c r="C70" s="3451" t="s">
        <v>3774</v>
      </c>
      <c r="D70" s="3451" t="s">
        <v>3773</v>
      </c>
      <c r="E70" s="503"/>
      <c r="F70" s="503"/>
      <c r="G70" s="503"/>
      <c r="H70" s="504"/>
      <c r="I70" s="504"/>
      <c r="J70" s="504"/>
      <c r="K70" s="504"/>
      <c r="L70" s="505"/>
      <c r="M70" s="506"/>
      <c r="N70" s="935"/>
      <c r="O70" s="935"/>
      <c r="P70" s="1923"/>
      <c r="Q70" s="508"/>
    </row>
    <row r="71" spans="1:17" s="422" customFormat="1" ht="15.75" thickBot="1">
      <c r="A71" s="502"/>
      <c r="B71" s="492"/>
      <c r="C71" s="509">
        <v>100</v>
      </c>
      <c r="D71" s="485">
        <v>97</v>
      </c>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3760</v>
      </c>
      <c r="D88" s="3451" t="s">
        <v>3761</v>
      </c>
      <c r="E88" s="3451" t="s">
        <v>3763</v>
      </c>
      <c r="F88" s="3465" t="s">
        <v>3764</v>
      </c>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3448" t="s">
        <v>3753</v>
      </c>
      <c r="D90" s="503" t="s">
        <v>3754</v>
      </c>
      <c r="E90" s="503" t="s">
        <v>3757</v>
      </c>
      <c r="F90" s="503" t="s">
        <v>3758</v>
      </c>
      <c r="G90" s="503"/>
      <c r="H90" s="504"/>
      <c r="I90" s="504"/>
      <c r="J90" s="504"/>
      <c r="K90" s="504"/>
      <c r="L90" s="505"/>
      <c r="M90" s="506"/>
      <c r="N90" s="935"/>
      <c r="O90" s="935"/>
      <c r="P90" s="1923"/>
      <c r="Q90" s="508"/>
    </row>
    <row r="91" spans="1:17" s="422" customFormat="1" ht="15.75" thickBot="1">
      <c r="A91" s="502"/>
      <c r="B91" s="492"/>
      <c r="C91" s="509">
        <v>100</v>
      </c>
      <c r="D91" s="509">
        <v>102</v>
      </c>
      <c r="E91" s="509">
        <v>100</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3405</v>
      </c>
      <c r="D100" s="3453" t="s">
        <v>3393</v>
      </c>
      <c r="E100" s="3453" t="s">
        <v>3769</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3395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3397</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3399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3397</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3406</v>
      </c>
      <c r="D128" s="3455" t="s">
        <v>3407</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5"/>
      <c r="Y4" s="3709" t="s">
        <v>1774</v>
      </c>
      <c r="Z4" s="3710"/>
      <c r="AA4" s="3696" t="s">
        <v>1770</v>
      </c>
      <c r="AB4" s="3715" t="s">
        <v>1771</v>
      </c>
      <c r="AC4" s="3696" t="s">
        <v>1772</v>
      </c>
    </row>
    <row r="5" spans="1:29" ht="15">
      <c r="A5" s="358"/>
      <c r="B5" s="359"/>
      <c r="C5" s="3718" t="s">
        <v>1673</v>
      </c>
      <c r="D5" s="3719"/>
      <c r="E5" s="3728" t="s">
        <v>1674</v>
      </c>
      <c r="F5" s="3727"/>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4"/>
      <c r="Q16" s="1352"/>
      <c r="R16" s="705"/>
      <c r="S16" s="706"/>
      <c r="T16" s="705"/>
      <c r="U16" s="706"/>
      <c r="V16" s="705"/>
      <c r="W16" s="706"/>
      <c r="X16" s="1355"/>
      <c r="Y16" s="3687"/>
      <c r="Z16" s="1356"/>
      <c r="AA16" s="1353">
        <v>1</v>
      </c>
      <c r="AB16" s="1353">
        <v>1</v>
      </c>
      <c r="AC16" s="1353">
        <v>1</v>
      </c>
    </row>
    <row r="17" spans="1:29" ht="156.75">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4"/>
      <c r="Q18" s="1352"/>
      <c r="R18" s="705"/>
      <c r="S18" s="706"/>
      <c r="T18" s="705"/>
      <c r="U18" s="706"/>
      <c r="V18" s="705"/>
      <c r="W18" s="706"/>
      <c r="X18" s="1355"/>
      <c r="Y18" s="3687"/>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4"/>
      <c r="Q20" s="1352"/>
      <c r="R20" s="705"/>
      <c r="S20" s="706"/>
      <c r="T20" s="705"/>
      <c r="U20" s="706"/>
      <c r="V20" s="705"/>
      <c r="W20" s="706"/>
      <c r="X20" s="1355"/>
      <c r="Y20" s="3687"/>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4"/>
      <c r="Q22" s="1352"/>
      <c r="R22" s="705"/>
      <c r="S22" s="706"/>
      <c r="T22" s="705"/>
      <c r="U22" s="706"/>
      <c r="V22" s="705"/>
      <c r="W22" s="706"/>
      <c r="X22" s="1355"/>
      <c r="Y22" s="3687"/>
      <c r="Z22" s="1356"/>
      <c r="AA22" s="1353">
        <v>1</v>
      </c>
      <c r="AB22" s="1353">
        <v>1</v>
      </c>
      <c r="AC22" s="1353">
        <v>1</v>
      </c>
    </row>
    <row r="23" spans="1:29" ht="99.75">
      <c r="A23" s="379"/>
      <c r="B23" s="402" t="s">
        <v>1261</v>
      </c>
      <c r="C23" s="1955" t="str">
        <f>估价对象房地状况!C9</f>
        <v>区域自然环境：龙潭公园、护城河；人文环境：龙潭湖体育馆、角楼图书馆；综合评价环境状况较好。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4"/>
      <c r="Q24" s="1352"/>
      <c r="R24" s="705"/>
      <c r="S24" s="706"/>
      <c r="T24" s="705"/>
      <c r="U24" s="706"/>
      <c r="V24" s="705"/>
      <c r="W24" s="706"/>
      <c r="X24" s="1355"/>
      <c r="Y24" s="368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35" t="s">
        <v>1774</v>
      </c>
      <c r="Q4" s="3736"/>
      <c r="R4" s="3739" t="s">
        <v>1770</v>
      </c>
      <c r="S4" s="3740"/>
      <c r="T4" s="3739" t="s">
        <v>1771</v>
      </c>
      <c r="U4" s="3740"/>
      <c r="V4" s="3741" t="s">
        <v>1772</v>
      </c>
      <c r="W4" s="3741"/>
      <c r="X4" s="1958"/>
      <c r="Y4" s="3739" t="s">
        <v>1774</v>
      </c>
      <c r="Z4" s="3740"/>
      <c r="AA4" s="3743" t="s">
        <v>1770</v>
      </c>
      <c r="AB4" s="3743" t="s">
        <v>1771</v>
      </c>
      <c r="AC4" s="3732" t="s">
        <v>1772</v>
      </c>
    </row>
    <row r="5" spans="1:29" ht="15">
      <c r="A5" s="358"/>
      <c r="B5" s="359"/>
      <c r="C5" s="3718" t="s">
        <v>1673</v>
      </c>
      <c r="D5" s="3719"/>
      <c r="E5" s="3728" t="s">
        <v>1674</v>
      </c>
      <c r="F5" s="3727"/>
      <c r="G5" s="3718" t="s">
        <v>1675</v>
      </c>
      <c r="H5" s="3719"/>
      <c r="I5" s="3718" t="s">
        <v>1676</v>
      </c>
      <c r="J5" s="3719"/>
      <c r="K5" s="559"/>
      <c r="L5" s="2714"/>
      <c r="M5" s="2715"/>
      <c r="N5" s="2715"/>
      <c r="O5" s="2715"/>
      <c r="P5" s="3737"/>
      <c r="Q5" s="3706"/>
      <c r="R5" s="3711"/>
      <c r="S5" s="3712"/>
      <c r="T5" s="3711"/>
      <c r="U5" s="3712"/>
      <c r="V5" s="3715"/>
      <c r="W5" s="3715"/>
      <c r="X5" s="1355"/>
      <c r="Y5" s="3711"/>
      <c r="Z5" s="3712"/>
      <c r="AA5" s="3697"/>
      <c r="AB5" s="3697"/>
      <c r="AC5" s="3733"/>
    </row>
    <row r="6" spans="1:29" ht="15.75" thickBot="1">
      <c r="A6" s="360"/>
      <c r="B6" s="361"/>
      <c r="C6" s="3716" t="s">
        <v>1677</v>
      </c>
      <c r="D6" s="3717"/>
      <c r="E6" s="3724" t="s">
        <v>1677</v>
      </c>
      <c r="F6" s="3725"/>
      <c r="G6" s="3716" t="s">
        <v>1677</v>
      </c>
      <c r="H6" s="3717"/>
      <c r="I6" s="3716" t="s">
        <v>1677</v>
      </c>
      <c r="J6" s="3717"/>
      <c r="K6" s="559" t="s">
        <v>1678</v>
      </c>
      <c r="L6" s="2714"/>
      <c r="M6" s="2715"/>
      <c r="N6" s="2715"/>
      <c r="O6" s="2715"/>
      <c r="P6" s="3738"/>
      <c r="Q6" s="3708"/>
      <c r="R6" s="3711"/>
      <c r="S6" s="3712"/>
      <c r="T6" s="3713"/>
      <c r="U6" s="3714"/>
      <c r="V6" s="3715"/>
      <c r="W6" s="3715"/>
      <c r="X6" s="1355"/>
      <c r="Y6" s="3713"/>
      <c r="Z6" s="3714"/>
      <c r="AA6" s="3698"/>
      <c r="AB6" s="3698"/>
      <c r="AC6" s="3734"/>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4"/>
      <c r="Q16" s="1352"/>
      <c r="R16" s="705"/>
      <c r="S16" s="706"/>
      <c r="T16" s="705"/>
      <c r="U16" s="706"/>
      <c r="V16" s="705"/>
      <c r="W16" s="706"/>
      <c r="X16" s="1355"/>
      <c r="Y16" s="3687"/>
      <c r="Z16" s="1356"/>
      <c r="AA16" s="1353">
        <v>1</v>
      </c>
      <c r="AB16" s="1353">
        <v>1</v>
      </c>
      <c r="AC16" s="1962">
        <v>1</v>
      </c>
    </row>
    <row r="17" spans="1:29" ht="142.5">
      <c r="A17" s="379"/>
      <c r="B17" s="579" t="s">
        <v>1259</v>
      </c>
      <c r="C17" s="1963" t="str">
        <f>估价对象房地状况!C6</f>
        <v>估价对象紧邻城市主干道——左安门内大街，有12路、84路、139路、352路等多条公共交通线路，距离最近的地铁14号线（方庄站）约1公里，综合评价交通便捷度较好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4"/>
      <c r="Q18" s="1352"/>
      <c r="R18" s="705"/>
      <c r="S18" s="706"/>
      <c r="T18" s="705"/>
      <c r="U18" s="706"/>
      <c r="V18" s="705"/>
      <c r="W18" s="706"/>
      <c r="X18" s="1355"/>
      <c r="Y18" s="3687"/>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4"/>
      <c r="Q20" s="1352"/>
      <c r="R20" s="705"/>
      <c r="S20" s="706"/>
      <c r="T20" s="705"/>
      <c r="U20" s="706"/>
      <c r="V20" s="705"/>
      <c r="W20" s="706"/>
      <c r="X20" s="1355"/>
      <c r="Y20" s="368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4"/>
      <c r="Q22" s="1352"/>
      <c r="R22" s="705"/>
      <c r="S22" s="706"/>
      <c r="T22" s="705"/>
      <c r="U22" s="706"/>
      <c r="V22" s="705"/>
      <c r="W22" s="706"/>
      <c r="X22" s="1355"/>
      <c r="Y22" s="3687"/>
      <c r="Z22" s="1356"/>
      <c r="AA22" s="1353">
        <v>1</v>
      </c>
      <c r="AB22" s="1353">
        <v>1</v>
      </c>
      <c r="AC22" s="1962">
        <v>1</v>
      </c>
    </row>
    <row r="23" spans="1:29" ht="85.5">
      <c r="A23" s="379"/>
      <c r="B23" s="579" t="s">
        <v>1813</v>
      </c>
      <c r="C23" s="1963" t="str">
        <f>估价对象房地状况!C9</f>
        <v>区域自然环境：龙潭公园、护城河；人文环境：龙潭湖体育馆、角楼图书馆；综合评价环境状况较好。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4"/>
      <c r="Q24" s="1352"/>
      <c r="R24" s="705"/>
      <c r="S24" s="706"/>
      <c r="T24" s="705"/>
      <c r="U24" s="706"/>
      <c r="V24" s="705"/>
      <c r="W24" s="706"/>
      <c r="X24" s="1355"/>
      <c r="Y24" s="368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4"/>
      <c r="Q26" s="1352"/>
      <c r="R26" s="705"/>
      <c r="S26" s="706"/>
      <c r="T26" s="705"/>
      <c r="U26" s="706"/>
      <c r="V26" s="705"/>
      <c r="W26" s="706"/>
      <c r="X26" s="1355"/>
      <c r="Y26" s="368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913"/>
      <c r="M4" s="914"/>
      <c r="N4" s="914"/>
      <c r="O4" s="914"/>
      <c r="P4" s="3703" t="s">
        <v>1774</v>
      </c>
      <c r="Q4" s="3704"/>
      <c r="R4" s="3709" t="s">
        <v>1770</v>
      </c>
      <c r="S4" s="3710"/>
      <c r="T4" s="3709" t="s">
        <v>1771</v>
      </c>
      <c r="U4" s="3710"/>
      <c r="V4" s="3715" t="s">
        <v>1772</v>
      </c>
      <c r="W4" s="3715"/>
      <c r="X4" s="1355"/>
      <c r="Y4" s="3709" t="s">
        <v>1774</v>
      </c>
      <c r="Z4" s="3710"/>
      <c r="AA4" s="3696" t="s">
        <v>1770</v>
      </c>
      <c r="AB4" s="3697" t="s">
        <v>1771</v>
      </c>
      <c r="AC4" s="3696" t="s">
        <v>1772</v>
      </c>
    </row>
    <row r="5" spans="1:29" ht="15">
      <c r="A5" s="358"/>
      <c r="B5" s="359"/>
      <c r="C5" s="3718" t="s">
        <v>1673</v>
      </c>
      <c r="D5" s="3719"/>
      <c r="E5" s="3728" t="s">
        <v>1674</v>
      </c>
      <c r="F5" s="3727"/>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5"/>
      <c r="Y4" s="3709" t="s">
        <v>1774</v>
      </c>
      <c r="Z4" s="3710"/>
      <c r="AA4" s="3696" t="s">
        <v>1770</v>
      </c>
      <c r="AB4" s="3697" t="s">
        <v>1771</v>
      </c>
      <c r="AC4" s="3696" t="s">
        <v>1772</v>
      </c>
    </row>
    <row r="5" spans="1:29" ht="15">
      <c r="A5" s="358"/>
      <c r="B5" s="359"/>
      <c r="C5" s="3718" t="s">
        <v>1673</v>
      </c>
      <c r="D5" s="3719"/>
      <c r="E5" s="3728" t="s">
        <v>1674</v>
      </c>
      <c r="F5" s="3727"/>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6.75">
      <c r="A14" s="355" t="s">
        <v>1690</v>
      </c>
      <c r="B14" s="577"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7"/>
      <c r="Q15" s="1352"/>
      <c r="R15" s="705"/>
      <c r="S15" s="706"/>
      <c r="T15" s="705"/>
      <c r="U15" s="706"/>
      <c r="V15" s="705"/>
      <c r="W15" s="706"/>
      <c r="X15" s="1355"/>
      <c r="Y15" s="3687"/>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7"/>
      <c r="Q17" s="1352"/>
      <c r="R17" s="705"/>
      <c r="S17" s="706"/>
      <c r="T17" s="705"/>
      <c r="U17" s="706"/>
      <c r="V17" s="705"/>
      <c r="W17" s="706"/>
      <c r="X17" s="1355"/>
      <c r="Y17" s="368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7"/>
      <c r="Q19" s="1352"/>
      <c r="R19" s="705"/>
      <c r="S19" s="706"/>
      <c r="T19" s="705"/>
      <c r="U19" s="706"/>
      <c r="V19" s="705"/>
      <c r="W19" s="706"/>
      <c r="X19" s="1355"/>
      <c r="Y19" s="3687"/>
      <c r="Z19" s="1356"/>
      <c r="AA19" s="1353">
        <v>1</v>
      </c>
      <c r="AB19" s="1353">
        <v>1</v>
      </c>
      <c r="AC19" s="1353">
        <v>1</v>
      </c>
    </row>
    <row r="20" spans="1:29" ht="99.75">
      <c r="A20" s="358"/>
      <c r="B20" s="579" t="s">
        <v>1833</v>
      </c>
      <c r="C20" s="1900" t="str">
        <f>IF(B1="工业",估价对象房地状况!G7,估价对象房地状况!C9)</f>
        <v>区域自然环境：龙潭公园、护城河；人文环境：龙潭湖体育馆、角楼图书馆；综合评价环境状况较好。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7"/>
      <c r="Q21" s="1352"/>
      <c r="R21" s="705"/>
      <c r="S21" s="706"/>
      <c r="T21" s="705"/>
      <c r="U21" s="706"/>
      <c r="V21" s="705"/>
      <c r="W21" s="706"/>
      <c r="X21" s="1355"/>
      <c r="Y21" s="368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3"/>
      <c r="M37" s="2724"/>
      <c r="N37" s="2715"/>
      <c r="O37" s="2724"/>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81" t="str">
        <f>A39</f>
        <v>估价对象XX用房的比较价值（楼面单价，元/平方米）</v>
      </c>
      <c r="Q39" s="368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5"/>
      <c r="Y4" s="3709" t="s">
        <v>1774</v>
      </c>
      <c r="Z4" s="3710"/>
      <c r="AA4" s="3696" t="s">
        <v>1770</v>
      </c>
      <c r="AB4" s="3697" t="s">
        <v>1771</v>
      </c>
      <c r="AC4" s="3696" t="s">
        <v>1772</v>
      </c>
    </row>
    <row r="5" spans="1:29" ht="15">
      <c r="A5" s="358"/>
      <c r="B5" s="359"/>
      <c r="C5" s="3718" t="s">
        <v>1673</v>
      </c>
      <c r="D5" s="3719"/>
      <c r="E5" s="3728" t="s">
        <v>1674</v>
      </c>
      <c r="F5" s="3727"/>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6.75">
      <c r="A14" s="391" t="s">
        <v>1690</v>
      </c>
      <c r="B14" s="61"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7"/>
      <c r="Q15" s="1352"/>
      <c r="R15" s="705"/>
      <c r="S15" s="706"/>
      <c r="T15" s="705"/>
      <c r="U15" s="706"/>
      <c r="V15" s="705"/>
      <c r="W15" s="706"/>
      <c r="X15" s="1355"/>
      <c r="Y15" s="3687"/>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7"/>
      <c r="Q17" s="1352"/>
      <c r="R17" s="705"/>
      <c r="S17" s="706"/>
      <c r="T17" s="705"/>
      <c r="U17" s="706"/>
      <c r="V17" s="705"/>
      <c r="W17" s="706"/>
      <c r="X17" s="1355"/>
      <c r="Y17" s="368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7"/>
      <c r="Q19" s="1352"/>
      <c r="R19" s="705"/>
      <c r="S19" s="706"/>
      <c r="T19" s="705"/>
      <c r="U19" s="706"/>
      <c r="V19" s="705"/>
      <c r="W19" s="706"/>
      <c r="X19" s="1355"/>
      <c r="Y19" s="3687"/>
      <c r="Z19" s="1356"/>
      <c r="AA19" s="1353">
        <v>1</v>
      </c>
      <c r="AB19" s="1353">
        <v>1</v>
      </c>
      <c r="AC19" s="1353">
        <v>1</v>
      </c>
    </row>
    <row r="20" spans="1:29" ht="99.75">
      <c r="A20" s="379"/>
      <c r="B20" s="402" t="s">
        <v>1833</v>
      </c>
      <c r="C20" s="1900" t="str">
        <f>IF(B1="工业",估价对象房地状况!G7,估价对象房地状况!C9)</f>
        <v>区域自然环境：龙潭公园、护城河；人文环境：龙潭湖体育馆、角楼图书馆；综合评价环境状况较好。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7"/>
      <c r="Q21" s="1352"/>
      <c r="R21" s="705"/>
      <c r="S21" s="706"/>
      <c r="T21" s="705"/>
      <c r="U21" s="706"/>
      <c r="V21" s="705"/>
      <c r="W21" s="706"/>
      <c r="X21" s="1355"/>
      <c r="Y21" s="368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81" t="str">
        <f>A37</f>
        <v>估价对象XX用房的比较价值（楼面单价，元/平方米）</v>
      </c>
      <c r="Q37" s="368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5"/>
      <c r="Y4" s="3709" t="s">
        <v>1774</v>
      </c>
      <c r="Z4" s="3710"/>
      <c r="AA4" s="3696" t="s">
        <v>1770</v>
      </c>
      <c r="AB4" s="3697" t="s">
        <v>1771</v>
      </c>
      <c r="AC4" s="3696" t="s">
        <v>1772</v>
      </c>
    </row>
    <row r="5" spans="1:30" ht="15">
      <c r="A5" s="358"/>
      <c r="B5" s="359"/>
      <c r="C5" s="3718" t="s">
        <v>1673</v>
      </c>
      <c r="D5" s="3719"/>
      <c r="E5" s="3728" t="s">
        <v>1674</v>
      </c>
      <c r="F5" s="3727"/>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4"/>
      <c r="Q10" s="1343" t="str">
        <f t="shared" si="6"/>
        <v>土地使用年限（年）</v>
      </c>
      <c r="R10" s="701" t="s">
        <v>14</v>
      </c>
      <c r="S10" s="702" t="e">
        <f t="shared" si="0"/>
        <v>#DIV/0!</v>
      </c>
      <c r="T10" s="701" t="s">
        <v>14</v>
      </c>
      <c r="U10" s="702" t="e">
        <f t="shared" si="1"/>
        <v>#DIV/0!</v>
      </c>
      <c r="V10" s="701" t="s">
        <v>14</v>
      </c>
      <c r="W10" s="702" t="e">
        <f t="shared" si="2"/>
        <v>#DIV/0!</v>
      </c>
      <c r="X10" s="703"/>
      <c r="Y10" s="355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85.5">
      <c r="A15" s="391" t="s">
        <v>1690</v>
      </c>
      <c r="B15" s="61" t="s">
        <v>1257</v>
      </c>
      <c r="C15" s="1896" t="str">
        <f>估价对象房地状况!C15</f>
        <v>估价对象周边有左安漪园、向新西里、芳城园等社区，综合评价居住社区成熟度较好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7"/>
      <c r="Q16" s="1352"/>
      <c r="R16" s="705"/>
      <c r="S16" s="706"/>
      <c r="T16" s="705"/>
      <c r="U16" s="706"/>
      <c r="V16" s="705"/>
      <c r="W16" s="706"/>
      <c r="X16" s="1355"/>
      <c r="Y16" s="368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7"/>
      <c r="Q18" s="1352"/>
      <c r="R18" s="705"/>
      <c r="S18" s="706"/>
      <c r="T18" s="705"/>
      <c r="U18" s="706"/>
      <c r="V18" s="705"/>
      <c r="W18" s="706"/>
      <c r="X18" s="1355"/>
      <c r="Y18" s="368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7"/>
      <c r="Q20" s="1352"/>
      <c r="R20" s="705"/>
      <c r="S20" s="706"/>
      <c r="T20" s="705"/>
      <c r="U20" s="706"/>
      <c r="V20" s="705"/>
      <c r="W20" s="706"/>
      <c r="X20" s="1355"/>
      <c r="Y20" s="3687"/>
      <c r="Z20" s="1356"/>
      <c r="AA20" s="1353">
        <v>1</v>
      </c>
      <c r="AB20" s="1353">
        <v>1</v>
      </c>
      <c r="AC20" s="1353">
        <v>1</v>
      </c>
    </row>
    <row r="21" spans="1:29" ht="156.75">
      <c r="A21" s="379"/>
      <c r="B21" s="402" t="s">
        <v>1832</v>
      </c>
      <c r="C21" s="1900" t="str">
        <f>估价对象房地状况!C18</f>
        <v>估价对象紧邻城市主干道——左安门内大街，有12路、84路、139路、352路等多条公共交通线路，距离最近的地铁14号线（方庄站）约1公里，综合评价交通便捷度较好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7"/>
      <c r="Q22" s="1352"/>
      <c r="R22" s="705"/>
      <c r="S22" s="706"/>
      <c r="T22" s="705"/>
      <c r="U22" s="706"/>
      <c r="V22" s="705"/>
      <c r="W22" s="706"/>
      <c r="X22" s="1355"/>
      <c r="Y22" s="368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7"/>
      <c r="Q24" s="1352"/>
      <c r="R24" s="705"/>
      <c r="S24" s="706"/>
      <c r="T24" s="705"/>
      <c r="U24" s="706"/>
      <c r="V24" s="705"/>
      <c r="W24" s="706"/>
      <c r="X24" s="1355"/>
      <c r="Y24" s="3687"/>
      <c r="Z24" s="1356"/>
      <c r="AA24" s="1353"/>
      <c r="AB24" s="1353"/>
      <c r="AC24" s="1353"/>
    </row>
    <row r="25" spans="1:29" ht="99.75">
      <c r="A25" s="358"/>
      <c r="B25" s="1131" t="s">
        <v>1871</v>
      </c>
      <c r="C25" s="1955" t="str">
        <f>估价对象房地状况!C20</f>
        <v>区域自然环境：龙潭公园、护城河；人文环境：龙潭湖体育馆、角楼图书馆；综合评价环境状况较好。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7"/>
      <c r="Q26" s="1352"/>
      <c r="R26" s="705"/>
      <c r="S26" s="706"/>
      <c r="T26" s="705"/>
      <c r="U26" s="706"/>
      <c r="V26" s="705"/>
      <c r="W26" s="706"/>
      <c r="X26" s="1355"/>
      <c r="Y26" s="3687"/>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7"/>
      <c r="Q28" s="1343"/>
      <c r="R28" s="701"/>
      <c r="S28" s="702"/>
      <c r="T28" s="701"/>
      <c r="U28" s="702"/>
      <c r="V28" s="701"/>
      <c r="W28" s="702"/>
      <c r="X28" s="703"/>
      <c r="Y28" s="368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7"/>
      <c r="Q30" s="1343"/>
      <c r="R30" s="701"/>
      <c r="S30" s="702"/>
      <c r="T30" s="701"/>
      <c r="U30" s="702"/>
      <c r="V30" s="701"/>
      <c r="W30" s="702"/>
      <c r="X30" s="703"/>
      <c r="Y30" s="368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7"/>
      <c r="Q33" s="1352"/>
      <c r="R33" s="705"/>
      <c r="S33" s="706"/>
      <c r="T33" s="705"/>
      <c r="U33" s="706"/>
      <c r="V33" s="705"/>
      <c r="W33" s="706"/>
      <c r="X33" s="1355"/>
      <c r="Y33" s="368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4"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84" t="str">
        <f>A47</f>
        <v>比较价值（元/平方米）</v>
      </c>
      <c r="Q47" s="3684"/>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81" t="str">
        <f>A48</f>
        <v>估价对象XX用房的比较价值（楼面单价，元/平方米）</v>
      </c>
      <c r="Q48" s="3682"/>
      <c r="R48" s="3747" t="e">
        <f>ROUND(IF(D47="简单平均",AVERAGE(R47:W47),R47*F47+T47*H47+V47*J47),0)</f>
        <v>#DIV/0!</v>
      </c>
      <c r="S48" s="3747"/>
      <c r="T48" s="3747"/>
      <c r="U48" s="3747"/>
      <c r="V48" s="3747"/>
      <c r="W48" s="374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9" t="s">
        <v>1886</v>
      </c>
      <c r="H55" s="3748"/>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69.7</v>
      </c>
      <c r="F56" s="886" t="e">
        <f t="shared" ref="F56:F64" si="15">ROUND(B56*E56/10000,0)</f>
        <v>#DIV/0!</v>
      </c>
      <c r="G56" s="3695"/>
      <c r="H56" s="368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69.7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5"/>
      <c r="Y4" s="3709" t="s">
        <v>1774</v>
      </c>
      <c r="Z4" s="3710"/>
      <c r="AA4" s="3696" t="s">
        <v>1770</v>
      </c>
      <c r="AB4" s="3697" t="s">
        <v>1771</v>
      </c>
      <c r="AC4" s="3696" t="s">
        <v>1772</v>
      </c>
    </row>
    <row r="5" spans="1:29" ht="15">
      <c r="A5" s="358"/>
      <c r="B5" s="359"/>
      <c r="C5" s="3718" t="s">
        <v>1673</v>
      </c>
      <c r="D5" s="3719"/>
      <c r="E5" s="3728" t="s">
        <v>1674</v>
      </c>
      <c r="F5" s="3727"/>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49" t="s">
        <v>1918</v>
      </c>
      <c r="D6" s="3750"/>
      <c r="E6" s="3751" t="s">
        <v>1918</v>
      </c>
      <c r="F6" s="3752"/>
      <c r="G6" s="3749" t="s">
        <v>1918</v>
      </c>
      <c r="H6" s="3750"/>
      <c r="I6" s="3749" t="s">
        <v>1918</v>
      </c>
      <c r="J6" s="3750"/>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4"/>
      <c r="Q10" s="1343" t="str">
        <f t="shared" si="6"/>
        <v>土地使用年限（年）</v>
      </c>
      <c r="R10" s="701" t="s">
        <v>14</v>
      </c>
      <c r="S10" s="702" t="e">
        <f t="shared" si="0"/>
        <v>#DIV/0!</v>
      </c>
      <c r="T10" s="701" t="s">
        <v>14</v>
      </c>
      <c r="U10" s="702" t="e">
        <f t="shared" si="1"/>
        <v>#DIV/0!</v>
      </c>
      <c r="V10" s="701" t="s">
        <v>14</v>
      </c>
      <c r="W10" s="702" t="e">
        <f t="shared" si="2"/>
        <v>#DIV/0!</v>
      </c>
      <c r="X10" s="703"/>
      <c r="Y10" s="355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7"/>
      <c r="Q16" s="1352"/>
      <c r="R16" s="705"/>
      <c r="S16" s="706"/>
      <c r="T16" s="705"/>
      <c r="U16" s="706"/>
      <c r="V16" s="705"/>
      <c r="W16" s="706"/>
      <c r="X16" s="1355"/>
      <c r="Y16" s="368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7"/>
      <c r="Q18" s="1352"/>
      <c r="R18" s="705"/>
      <c r="S18" s="706"/>
      <c r="T18" s="705"/>
      <c r="U18" s="706"/>
      <c r="V18" s="705"/>
      <c r="W18" s="706"/>
      <c r="X18" s="1355"/>
      <c r="Y18" s="368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7"/>
      <c r="Q20" s="1352"/>
      <c r="R20" s="705"/>
      <c r="S20" s="706"/>
      <c r="T20" s="705"/>
      <c r="U20" s="706"/>
      <c r="V20" s="705"/>
      <c r="W20" s="706"/>
      <c r="X20" s="1355"/>
      <c r="Y20" s="368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7"/>
      <c r="Q22" s="1352"/>
      <c r="R22" s="705"/>
      <c r="S22" s="706"/>
      <c r="T22" s="705"/>
      <c r="U22" s="706"/>
      <c r="V22" s="705"/>
      <c r="W22" s="706"/>
      <c r="X22" s="1355"/>
      <c r="Y22" s="368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7"/>
      <c r="Q24" s="1343"/>
      <c r="R24" s="701"/>
      <c r="S24" s="702"/>
      <c r="T24" s="701"/>
      <c r="U24" s="702"/>
      <c r="V24" s="701"/>
      <c r="W24" s="702"/>
      <c r="X24" s="703"/>
      <c r="Y24" s="368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7"/>
      <c r="Q26" s="1343"/>
      <c r="R26" s="701"/>
      <c r="S26" s="702"/>
      <c r="T26" s="701"/>
      <c r="U26" s="702"/>
      <c r="V26" s="701"/>
      <c r="W26" s="702"/>
      <c r="X26" s="703"/>
      <c r="Y26" s="368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7"/>
      <c r="Q29" s="1352"/>
      <c r="R29" s="705"/>
      <c r="S29" s="706"/>
      <c r="T29" s="705"/>
      <c r="U29" s="706"/>
      <c r="V29" s="705"/>
      <c r="W29" s="706"/>
      <c r="X29" s="1355"/>
      <c r="Y29" s="368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4"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84" t="str">
        <f>A42</f>
        <v>比较价值（元/平方米）</v>
      </c>
      <c r="Q42" s="3684"/>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81" t="str">
        <f>A43</f>
        <v>估价对象XX用房的比较价值（楼面单价，元/平方米）</v>
      </c>
      <c r="Q43" s="3682"/>
      <c r="R43" s="3747" t="e">
        <f>ROUND(IF(D42="简单平均",AVERAGE(R42:W42),R42*F42+T42*H42+V42*J42),0)</f>
        <v>#DIV/0!</v>
      </c>
      <c r="S43" s="3747"/>
      <c r="T43" s="3747"/>
      <c r="U43" s="3747"/>
      <c r="V43" s="3747"/>
      <c r="W43" s="374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9" t="s">
        <v>1886</v>
      </c>
      <c r="H50" s="3748"/>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69.7</v>
      </c>
      <c r="F51" s="639" t="e">
        <f t="shared" ref="F51:F60" si="15">ROUND(B51*E51/10000,0)</f>
        <v>#DIV/0!</v>
      </c>
      <c r="G51" s="3695"/>
      <c r="H51" s="368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6" t="s">
        <v>2083</v>
      </c>
      <c r="D1" s="3757"/>
      <c r="E1" s="3757"/>
      <c r="F1" s="3757"/>
      <c r="G1" s="3757"/>
      <c r="H1" s="3757"/>
      <c r="I1" s="3757"/>
      <c r="J1" s="3757"/>
      <c r="K1" s="3757"/>
      <c r="L1" s="3757"/>
      <c r="M1" s="3757"/>
      <c r="N1" s="3757"/>
      <c r="O1" s="3757"/>
      <c r="P1" s="3757"/>
      <c r="Q1" s="3757"/>
      <c r="R1" s="3757"/>
      <c r="S1" s="375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120</v>
      </c>
      <c r="C2" s="2145" t="s">
        <v>2073</v>
      </c>
      <c r="D2" s="2145" t="s">
        <v>2074</v>
      </c>
      <c r="E2" s="2611">
        <f ca="1">SUMIF(E6:E13,"&lt;&gt;#ref!",E6:E13)</f>
        <v>69.7</v>
      </c>
      <c r="F2" s="2792"/>
      <c r="G2" s="2792"/>
      <c r="H2" s="2792"/>
      <c r="I2" s="2792"/>
      <c r="J2" s="2792"/>
      <c r="K2" s="2792"/>
      <c r="L2" s="2792"/>
      <c r="M2" s="2792"/>
      <c r="N2" s="2792"/>
      <c r="O2" s="2792"/>
      <c r="P2" s="2792"/>
    </row>
    <row r="3" spans="1:16" ht="15.75">
      <c r="A3" s="2145" t="s">
        <v>2075</v>
      </c>
      <c r="B3" s="2601">
        <f ca="1">ROUND(B2*10000/E2,0)</f>
        <v>17217</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120</v>
      </c>
      <c r="C6" s="2145" t="s">
        <v>2073</v>
      </c>
      <c r="D6" s="2792"/>
      <c r="E6" s="2611">
        <f ca="1">SUMIF(INDIRECT("'"&amp;A6&amp;"'"&amp;"!C:C"),"建筑面积",INDIRECT("'"&amp;A6&amp;"'"&amp;"!D:D"))</f>
        <v>69.7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120</v>
      </c>
      <c r="C2" s="1999" t="s">
        <v>1934</v>
      </c>
      <c r="D2" s="2000" t="s">
        <v>1935</v>
      </c>
      <c r="E2" s="3421" t="s">
        <v>3383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Ⅵ-15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25966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17217</v>
      </c>
      <c r="C3" s="1999" t="s">
        <v>1940</v>
      </c>
      <c r="D3" s="2000" t="s">
        <v>1941</v>
      </c>
      <c r="E3" s="3419" t="s">
        <v>3412</v>
      </c>
      <c r="F3" s="2004" t="s">
        <v>3413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20466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17297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16089</v>
      </c>
      <c r="D5" s="1339">
        <f>ROUND(C6*C17+C20,0)</f>
        <v>13974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15255</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14100</v>
      </c>
      <c r="D6" s="2017"/>
      <c r="E6" s="2018"/>
      <c r="F6" s="2018"/>
      <c r="G6" s="2019"/>
      <c r="H6" s="2019"/>
      <c r="I6" s="2019"/>
      <c r="J6" s="2020"/>
      <c r="K6" s="1384"/>
      <c r="L6" s="2003" t="s">
        <v>1950</v>
      </c>
      <c r="M6" s="864">
        <f>SUMPRODUCT((区片价!B127:B189=I2)*(区片价!C3:G3=E2)*(区片价!C127:G189))</f>
        <v>14100</v>
      </c>
      <c r="N6" s="866">
        <f>SUMPRODUCT((因素修正幅度!B127:B189=I2)*(因素修正幅度!C3:G3=E2)*(因素修正幅度!C127:G189))</f>
        <v>0.122</v>
      </c>
      <c r="O6" s="1119"/>
      <c r="P6" s="1119"/>
      <c r="Q6" s="1119"/>
      <c r="R6" s="1212">
        <v>5</v>
      </c>
      <c r="S6" s="3360">
        <f>ROUND(SUMPRODUCT((B106:B110=R6)*(C105:N105=G2)*(C106:N110)),4)</f>
        <v>0.84799999999999998</v>
      </c>
      <c r="T6" s="3360">
        <f t="shared" si="0"/>
        <v>14661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3" t="s">
        <v>1959</v>
      </c>
      <c r="X8" s="376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5"/>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3411</v>
      </c>
      <c r="D15" s="2044" t="s">
        <v>3415</v>
      </c>
      <c r="E15" s="2045" t="s">
        <v>3416</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70" t="s">
        <v>3254</v>
      </c>
      <c r="B20" s="167" t="s">
        <v>1993</v>
      </c>
      <c r="C20" s="3324">
        <f>ROUND(IF(F21="与级别开发程度一致",0,(G21-E21)/C21),0)</f>
        <v>-126</v>
      </c>
      <c r="D20" s="3340" t="s">
        <v>1997</v>
      </c>
      <c r="E20" s="3341"/>
      <c r="F20" s="3776" t="s">
        <v>1994</v>
      </c>
      <c r="G20" s="377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1"/>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45274</v>
      </c>
      <c r="H23" s="3342" t="s">
        <v>3255</v>
      </c>
      <c r="I23" s="3343" t="str">
        <f>IF(H23="季度增幅（自定义）",SUMIF(N25:N28,E2,O25:O28),"")</f>
        <v/>
      </c>
      <c r="J23" s="3445" t="s">
        <v>3414</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1</v>
      </c>
      <c r="D24" s="2060" t="s">
        <v>2006</v>
      </c>
      <c r="E24" s="1335">
        <f>存贷款利率!E24/100</f>
        <v>4.3499999999999997E-2</v>
      </c>
      <c r="F24" s="2060" t="s">
        <v>1998</v>
      </c>
      <c r="G24" s="768">
        <f>SUMIF(M30:Q30,E2,M33:Q33)</f>
        <v>0.05</v>
      </c>
      <c r="H24" s="2060" t="s">
        <v>2007</v>
      </c>
      <c r="I24" s="769">
        <f>SUMIF('数据-取费表'!C6:C15,E2,'数据-取费表'!F6:F15)/COUNTIF('数据-取费表'!C6:C15,E2)</f>
        <v>70</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120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17288</v>
      </c>
      <c r="D33" s="2098">
        <f>'比较法-住宅'!C33</f>
        <v>69.7</v>
      </c>
      <c r="E33" s="773">
        <f>ROUND(C33*D33/10000,0)</f>
        <v>120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4322</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2035</v>
      </c>
      <c r="C37" s="175">
        <f>ROUND(D5*C22*C23*C24*C28*F37,0)</f>
        <v>9009</v>
      </c>
      <c r="D37" s="2098"/>
      <c r="E37" s="171">
        <f>ROUND(C37*D37/10000,0)</f>
        <v>0</v>
      </c>
      <c r="F37" s="171">
        <f>SUMIF(修正!A57:A68,G2,修正!B57:B68)</f>
        <v>0.6</v>
      </c>
      <c r="G37" s="171">
        <f>ROUND(IF(E2="工业",C37*$M$42,C37*$M$41),0)</f>
        <v>2252</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2036</v>
      </c>
      <c r="C38" s="175">
        <f>ROUND(D5*C22*C23*C24*C28*F38,0)</f>
        <v>4505</v>
      </c>
      <c r="D38" s="2098"/>
      <c r="E38" s="171">
        <f t="shared" ref="E38:E42" si="4">ROUND(C38*D38/10000,0)</f>
        <v>0</v>
      </c>
      <c r="F38" s="171">
        <f>SUMIF(修正!A57:A68,G2,修正!C57:C68)</f>
        <v>0.3</v>
      </c>
      <c r="G38" s="171">
        <f>ROUND(IF(E2="工业",C38*$M$42,C38*$M$41),0)</f>
        <v>1126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5"/>
      <c r="B39" s="2041" t="s">
        <v>3258</v>
      </c>
      <c r="C39" s="175">
        <f>ROUND(D5*C22*C23*C24*C28*F39,0)</f>
        <v>3754</v>
      </c>
      <c r="D39" s="2098"/>
      <c r="E39" s="171">
        <f t="shared" si="4"/>
        <v>0</v>
      </c>
      <c r="F39" s="171">
        <f>SUMIF(修正!A57:A68,G2,修正!D57:D68)</f>
        <v>0.25</v>
      </c>
      <c r="G39" s="171">
        <f>ROUND(IF(E2="工业",C39*$M$42,C39*$M$41),0)</f>
        <v>939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3754</v>
      </c>
      <c r="D40" s="2098"/>
      <c r="E40" s="171">
        <f t="shared" si="4"/>
        <v>0</v>
      </c>
      <c r="F40" s="175">
        <f>SUMIF(修正!A57:A68,G2,修正!E57:E68)</f>
        <v>0.25</v>
      </c>
      <c r="G40" s="171">
        <f>ROUND(IF(E2="工业",C40*$M$42,C40*$M$41),0)</f>
        <v>939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估价对象紧邻城市主干道——左安门内大街，有12路、84路、139路、352路等多条公共交通线路，距离最近的地铁14号线（方庄站）约1公里，综合评价交通便捷度较好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8" t="s">
        <v>2060</v>
      </c>
      <c r="B58" s="2139" t="str">
        <f>估价对象房地状况!C20</f>
        <v>区域自然环境：龙潭公园、护城河；人文环境：龙潭湖体育馆、角楼图书馆；综合评价环境状况较好。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估价对象紧邻城市主干道——左安门内大街，有12路、84路、139路、352路等多条公共交通线路，距离最近的地铁14号线（方庄站）约1公里，综合评价交通便捷度较好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8" t="s">
        <v>2060</v>
      </c>
      <c r="B69" s="2140" t="str">
        <f>估价对象房地状况!C20</f>
        <v>区域自然环境：龙潭公园、护城河；人文环境：龙潭湖体育馆、角楼图书馆；综合评价环境状况较好。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估价对象周边有左安漪园、向新西里、芳城园等社区，综合评价居住社区成熟度较好</v>
      </c>
      <c r="C72" s="2044" t="s">
        <v>3404</v>
      </c>
      <c r="D72" s="1065">
        <f t="shared" ref="D72:D80" si="17">SUMIF($J$71:$N$71,C72,J72:N72)</f>
        <v>6.9999999999999999E-4</v>
      </c>
      <c r="E72" s="744">
        <f>ROUND(SUM(D72:D80),4)</f>
        <v>2.0999999999999999E-3</v>
      </c>
      <c r="F72" s="1814">
        <f>IF(E2="住宅",SUMIF(L1:L12,G2,N1:N12),"——")</f>
        <v>0.122</v>
      </c>
      <c r="G72" s="3459">
        <f t="shared" ref="G72:H80" si="18">IFERROR(ROUNDDOWN($F$72*H72/2,4),"——")</f>
        <v>6.9999999999999999E-4</v>
      </c>
      <c r="H72" s="1066">
        <f t="shared" si="18"/>
        <v>1.2200000000000001E-2</v>
      </c>
      <c r="I72" s="3366">
        <v>0.2</v>
      </c>
      <c r="J72" s="1064">
        <f t="shared" ref="J72:J80" si="19">K72+$G72</f>
        <v>1.4E-3</v>
      </c>
      <c r="K72" s="1064">
        <f t="shared" ref="K72:K80" si="20">$L72+$G72</f>
        <v>6.9999999999999999E-4</v>
      </c>
      <c r="L72" s="1064">
        <v>0</v>
      </c>
      <c r="M72" s="1064">
        <f t="shared" ref="M72:N80" si="21">L72-$G72</f>
        <v>-6.9999999999999999E-4</v>
      </c>
      <c r="N72" s="1064">
        <f t="shared" si="21"/>
        <v>-1.4E-3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估价对象紧邻城市主干道——左安门内大街，有12路、84路、139路、352路等多条公共交通线路，距离最近的地铁14号线（方庄站）约1公里，综合评价交通便捷度较好</v>
      </c>
      <c r="C73" s="2044" t="s">
        <v>3418</v>
      </c>
      <c r="D73" s="1065">
        <f t="shared" si="17"/>
        <v>0</v>
      </c>
      <c r="E73" s="747"/>
      <c r="F73" s="1814"/>
      <c r="G73" s="3459">
        <f t="shared" si="18"/>
        <v>8.9999999999999998E-4</v>
      </c>
      <c r="H73" s="1066">
        <f t="shared" si="18"/>
        <v>1.5800000000000002E-2</v>
      </c>
      <c r="I73" s="3366">
        <v>0.26</v>
      </c>
      <c r="J73" s="1064">
        <f t="shared" si="19"/>
        <v>1.8E-3</v>
      </c>
      <c r="K73" s="1064">
        <f t="shared" si="20"/>
        <v>8.9999999999999998E-4</v>
      </c>
      <c r="L73" s="1064">
        <v>0</v>
      </c>
      <c r="M73" s="1064">
        <f t="shared" si="21"/>
        <v>-8.9999999999999998E-4</v>
      </c>
      <c r="N73" s="1064">
        <f t="shared" si="21"/>
        <v>-1.8E-3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3404</v>
      </c>
      <c r="D74" s="1065">
        <f t="shared" si="17"/>
        <v>2.9999999999999997E-4</v>
      </c>
      <c r="E74" s="747"/>
      <c r="F74" s="1814"/>
      <c r="G74" s="3459">
        <f t="shared" si="18"/>
        <v>2.9999999999999997E-4</v>
      </c>
      <c r="H74" s="1066">
        <f t="shared" si="18"/>
        <v>6.1000000000000004E-3</v>
      </c>
      <c r="I74" s="3366">
        <v>0.1</v>
      </c>
      <c r="J74" s="1064">
        <f t="shared" si="19"/>
        <v>5.9999999999999995E-4</v>
      </c>
      <c r="K74" s="1064">
        <f t="shared" si="20"/>
        <v>2.9999999999999997E-4</v>
      </c>
      <c r="L74" s="1064">
        <v>0</v>
      </c>
      <c r="M74" s="1064">
        <f t="shared" si="21"/>
        <v>-2.9999999999999997E-4</v>
      </c>
      <c r="N74" s="1064">
        <f t="shared" si="21"/>
        <v>-5.9999999999999995E-4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3419</v>
      </c>
      <c r="D75" s="1065">
        <f t="shared" si="17"/>
        <v>-2.0000000000000001E-4</v>
      </c>
      <c r="E75" s="747"/>
      <c r="F75" s="1814"/>
      <c r="G75" s="3459">
        <f t="shared" si="18"/>
        <v>1E-4</v>
      </c>
      <c r="H75" s="1066">
        <f t="shared" si="18"/>
        <v>3.0000000000000001E-3</v>
      </c>
      <c r="I75" s="3366">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3404</v>
      </c>
      <c r="D76" s="1065">
        <f t="shared" si="17"/>
        <v>2.0000000000000001E-4</v>
      </c>
      <c r="E76" s="747"/>
      <c r="F76" s="1814"/>
      <c r="G76" s="3459">
        <f t="shared" si="18"/>
        <v>2.0000000000000001E-4</v>
      </c>
      <c r="H76" s="1066">
        <f t="shared" si="18"/>
        <v>4.7999999999999996E-3</v>
      </c>
      <c r="I76" s="3366">
        <v>0.08</v>
      </c>
      <c r="J76" s="1064">
        <f t="shared" si="19"/>
        <v>4.0000000000000002E-4</v>
      </c>
      <c r="K76" s="1064">
        <f t="shared" si="20"/>
        <v>2.0000000000000001E-4</v>
      </c>
      <c r="L76" s="1064">
        <v>0</v>
      </c>
      <c r="M76" s="1064">
        <f t="shared" si="21"/>
        <v>-2.0000000000000001E-4</v>
      </c>
      <c r="N76" s="1064">
        <f t="shared" si="21"/>
        <v>-4.0000000000000002E-4</v>
      </c>
      <c r="O76" s="1119"/>
      <c r="P76" s="1119"/>
      <c r="Z76" s="1998"/>
      <c r="AA76" s="2053"/>
      <c r="AG76" s="1121"/>
      <c r="AK76" s="2053"/>
    </row>
    <row r="77" spans="1:37" ht="24">
      <c r="A77" s="2130" t="s">
        <v>2059</v>
      </c>
      <c r="B77" s="1326" t="str">
        <f>估价对象房地状况!C22</f>
        <v>七通</v>
      </c>
      <c r="C77" s="2044" t="s">
        <v>3420</v>
      </c>
      <c r="D77" s="1065">
        <f t="shared" si="17"/>
        <v>5.9999999999999995E-4</v>
      </c>
      <c r="E77" s="747"/>
      <c r="F77" s="1814"/>
      <c r="G77" s="3459">
        <f t="shared" si="18"/>
        <v>2.9999999999999997E-4</v>
      </c>
      <c r="H77" s="1066">
        <f t="shared" si="18"/>
        <v>5.4000000000000003E-3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3404</v>
      </c>
      <c r="D78" s="1065">
        <f t="shared" si="17"/>
        <v>1E-4</v>
      </c>
      <c r="E78" s="747"/>
      <c r="F78" s="1814"/>
      <c r="G78" s="3459">
        <f t="shared" si="18"/>
        <v>1E-4</v>
      </c>
      <c r="H78" s="1066">
        <f t="shared" si="18"/>
        <v>3.0000000000000001E-3</v>
      </c>
      <c r="I78" s="3366">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51">
      <c r="A79" s="2130" t="s">
        <v>2060</v>
      </c>
      <c r="B79" s="2133" t="str">
        <f>估价对象房地状况!C20</f>
        <v>区域自然环境：龙潭公园、护城河；人文环境：龙潭湖体育馆、角楼图书馆；综合评价环境状况较好。</v>
      </c>
      <c r="C79" s="2044" t="s">
        <v>3404</v>
      </c>
      <c r="D79" s="1065">
        <f t="shared" si="17"/>
        <v>4.0000000000000002E-4</v>
      </c>
      <c r="E79" s="747"/>
      <c r="F79" s="1814"/>
      <c r="G79" s="3459">
        <f t="shared" si="18"/>
        <v>4.0000000000000002E-4</v>
      </c>
      <c r="H79" s="1066">
        <f t="shared" si="18"/>
        <v>7.3000000000000001E-3</v>
      </c>
      <c r="I79" s="3366">
        <v>0.12</v>
      </c>
      <c r="J79" s="1064">
        <f t="shared" si="19"/>
        <v>8.0000000000000004E-4</v>
      </c>
      <c r="K79" s="1064">
        <f t="shared" si="20"/>
        <v>4.0000000000000002E-4</v>
      </c>
      <c r="L79" s="1064">
        <v>0</v>
      </c>
      <c r="M79" s="1064">
        <f t="shared" si="21"/>
        <v>-4.0000000000000002E-4</v>
      </c>
      <c r="N79" s="1064">
        <f t="shared" si="21"/>
        <v>-8.0000000000000004E-4</v>
      </c>
      <c r="Z79" s="1998"/>
      <c r="AA79" s="2053"/>
      <c r="AG79" s="1121"/>
      <c r="AK79" s="2053"/>
    </row>
    <row r="80" spans="1:37" ht="24.75" thickBot="1">
      <c r="A80" s="2138" t="s">
        <v>2067</v>
      </c>
      <c r="B80" s="2142"/>
      <c r="C80" s="2044" t="s">
        <v>3418</v>
      </c>
      <c r="D80" s="1065">
        <f t="shared" si="17"/>
        <v>0</v>
      </c>
      <c r="E80" s="748"/>
      <c r="F80" s="1814"/>
      <c r="G80" s="3459">
        <f t="shared" si="18"/>
        <v>1E-4</v>
      </c>
      <c r="H80" s="1066">
        <f t="shared" si="18"/>
        <v>3.0000000000000001E-3</v>
      </c>
      <c r="I80" s="3367">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估价对象紧邻城市主干道——左安门内大街，有12路、84路、139路、352路等多条公共交通线路，距离最近的地铁14号线（方庄站）约1公里，综合评价交通便捷度较好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51.75" thickBot="1">
      <c r="A101" s="3379" t="s">
        <v>3278</v>
      </c>
      <c r="B101" s="3386" t="str">
        <f>估价对象房地状况!C20</f>
        <v>区域自然环境：龙潭公园、护城河；人文环境：龙潭湖体育馆、角楼图书馆；综合评价环境状况较好。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2" t="s">
        <v>3293</v>
      </c>
      <c r="B103" s="3772"/>
      <c r="C103" s="3772"/>
      <c r="D103" s="3772"/>
      <c r="E103" s="3772"/>
      <c r="F103" s="3772"/>
      <c r="G103" s="3772"/>
      <c r="H103" s="3772"/>
      <c r="I103" s="3772"/>
      <c r="J103" s="3772"/>
      <c r="K103" s="3389"/>
      <c r="L103" s="3389"/>
      <c r="M103" s="3389"/>
      <c r="N103" s="3389"/>
    </row>
    <row r="104" spans="1:14">
      <c r="A104" s="3773" t="s">
        <v>3294</v>
      </c>
      <c r="B104" s="3773" t="s">
        <v>3295</v>
      </c>
      <c r="C104" s="3390" t="s">
        <v>3296</v>
      </c>
      <c r="D104" s="3391"/>
      <c r="E104" s="3391"/>
      <c r="F104" s="3391"/>
      <c r="G104" s="3391"/>
      <c r="H104" s="3391"/>
      <c r="I104" s="3391"/>
      <c r="J104" s="3392"/>
      <c r="K104" s="3393"/>
      <c r="L104" s="3393"/>
      <c r="M104" s="3393"/>
      <c r="N104" s="3393"/>
    </row>
    <row r="105" spans="1:14">
      <c r="A105" s="3773"/>
      <c r="B105" s="3773"/>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9"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2" t="s">
        <v>3310</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六级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P67" sqref="P67"/>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topLeftCell="A33" workbookViewId="0">
      <selection activeCell="A50" sqref="A50:XFD50"/>
    </sheetView>
  </sheetViews>
  <sheetFormatPr defaultRowHeight="14.25"/>
  <cols>
    <col min="1" max="12" width="20" style="3462" customWidth="1"/>
    <col min="13" max="16384" width="9" style="3462"/>
  </cols>
  <sheetData>
    <row r="1" spans="1:45">
      <c r="A1" s="3779" t="s">
        <v>3426</v>
      </c>
      <c r="B1" s="3778">
        <v>45231.333831018521</v>
      </c>
      <c r="C1" s="3779"/>
      <c r="D1" s="3779"/>
      <c r="E1" s="3779"/>
      <c r="F1" s="3778">
        <v>45200.333831018521</v>
      </c>
      <c r="G1" s="3779"/>
      <c r="H1" s="3779"/>
      <c r="I1" s="3779"/>
      <c r="J1" s="3778">
        <v>45170.333831018521</v>
      </c>
      <c r="K1" s="3779"/>
      <c r="L1" s="3779"/>
      <c r="M1" s="3779"/>
      <c r="N1" s="3778">
        <v>45139.333831018521</v>
      </c>
      <c r="O1" s="3779"/>
      <c r="P1" s="3779"/>
      <c r="Q1" s="3779"/>
      <c r="R1" s="3778">
        <v>45108.333831018521</v>
      </c>
      <c r="S1" s="3779"/>
      <c r="T1" s="3779"/>
      <c r="U1" s="3779"/>
      <c r="V1" s="3778">
        <v>45078.333831018521</v>
      </c>
      <c r="W1" s="3779"/>
      <c r="X1" s="3779"/>
      <c r="Y1" s="3779"/>
      <c r="Z1" s="3778">
        <v>45047.333831018521</v>
      </c>
      <c r="AA1" s="3779"/>
      <c r="AB1" s="3779"/>
      <c r="AC1" s="3779"/>
      <c r="AD1" s="3778">
        <v>45017.333831018521</v>
      </c>
      <c r="AE1" s="3779"/>
      <c r="AF1" s="3779"/>
      <c r="AG1" s="3779"/>
      <c r="AH1" s="3778">
        <v>44986.333831018521</v>
      </c>
      <c r="AI1" s="3779"/>
      <c r="AJ1" s="3779"/>
      <c r="AK1" s="3779"/>
      <c r="AL1" s="3778">
        <v>44958.333831018521</v>
      </c>
      <c r="AM1" s="3779"/>
      <c r="AN1" s="3779"/>
      <c r="AO1" s="3779"/>
      <c r="AP1" s="3778">
        <v>44927.333831018521</v>
      </c>
      <c r="AQ1" s="3779"/>
      <c r="AR1" s="3779"/>
      <c r="AS1" s="3779"/>
    </row>
    <row r="2" spans="1:45">
      <c r="A2" s="3779"/>
      <c r="B2" s="3462" t="s">
        <v>3427</v>
      </c>
      <c r="C2" s="3462" t="s">
        <v>3428</v>
      </c>
      <c r="D2" s="3462" t="s">
        <v>3429</v>
      </c>
      <c r="E2" s="3462" t="s">
        <v>3430</v>
      </c>
      <c r="F2" s="3462" t="s">
        <v>3427</v>
      </c>
      <c r="G2" s="3462" t="s">
        <v>3428</v>
      </c>
      <c r="H2" s="3462" t="s">
        <v>3429</v>
      </c>
      <c r="I2" s="3462" t="s">
        <v>3430</v>
      </c>
      <c r="J2" s="3462" t="s">
        <v>3427</v>
      </c>
      <c r="K2" s="3462" t="s">
        <v>3428</v>
      </c>
      <c r="L2" s="3462" t="s">
        <v>3429</v>
      </c>
      <c r="M2" s="3462" t="s">
        <v>3430</v>
      </c>
      <c r="N2" s="3462" t="s">
        <v>3427</v>
      </c>
      <c r="O2" s="3462" t="s">
        <v>3428</v>
      </c>
      <c r="P2" s="3462" t="s">
        <v>3429</v>
      </c>
      <c r="Q2" s="3462" t="s">
        <v>3430</v>
      </c>
      <c r="R2" s="3462" t="s">
        <v>3427</v>
      </c>
      <c r="S2" s="3462" t="s">
        <v>3428</v>
      </c>
      <c r="T2" s="3462" t="s">
        <v>3429</v>
      </c>
      <c r="U2" s="3462" t="s">
        <v>3430</v>
      </c>
      <c r="V2" s="3462" t="s">
        <v>3427</v>
      </c>
      <c r="W2" s="3462" t="s">
        <v>3428</v>
      </c>
      <c r="X2" s="3462" t="s">
        <v>3429</v>
      </c>
      <c r="Y2" s="3462" t="s">
        <v>3430</v>
      </c>
      <c r="Z2" s="3462" t="s">
        <v>3427</v>
      </c>
      <c r="AA2" s="3462" t="s">
        <v>3428</v>
      </c>
      <c r="AB2" s="3462" t="s">
        <v>3429</v>
      </c>
      <c r="AC2" s="3462" t="s">
        <v>3430</v>
      </c>
      <c r="AD2" s="3462" t="s">
        <v>3427</v>
      </c>
      <c r="AE2" s="3462" t="s">
        <v>3428</v>
      </c>
      <c r="AF2" s="3462" t="s">
        <v>3429</v>
      </c>
      <c r="AG2" s="3462" t="s">
        <v>3430</v>
      </c>
      <c r="AH2" s="3462" t="s">
        <v>3427</v>
      </c>
      <c r="AI2" s="3462" t="s">
        <v>3428</v>
      </c>
      <c r="AJ2" s="3462" t="s">
        <v>3429</v>
      </c>
      <c r="AK2" s="3462" t="s">
        <v>3430</v>
      </c>
      <c r="AL2" s="3462" t="s">
        <v>3427</v>
      </c>
      <c r="AM2" s="3462" t="s">
        <v>3428</v>
      </c>
      <c r="AN2" s="3462" t="s">
        <v>3429</v>
      </c>
      <c r="AO2" s="3462" t="s">
        <v>3430</v>
      </c>
      <c r="AP2" s="3462" t="s">
        <v>3427</v>
      </c>
      <c r="AQ2" s="3462" t="s">
        <v>3428</v>
      </c>
      <c r="AR2" s="3462" t="s">
        <v>3429</v>
      </c>
      <c r="AS2" s="3462" t="s">
        <v>3430</v>
      </c>
    </row>
    <row r="3" spans="1:45">
      <c r="A3" s="3462" t="s">
        <v>3431</v>
      </c>
      <c r="B3" s="3462">
        <v>142.6</v>
      </c>
      <c r="C3" s="3462">
        <v>6260</v>
      </c>
      <c r="D3" s="3462">
        <v>101375</v>
      </c>
      <c r="E3" s="3462" t="s">
        <v>3432</v>
      </c>
      <c r="F3" s="3462">
        <v>141.51</v>
      </c>
      <c r="G3" s="3462">
        <v>6433</v>
      </c>
      <c r="H3" s="3462">
        <v>110036</v>
      </c>
      <c r="I3" s="3462" t="s">
        <v>3433</v>
      </c>
      <c r="J3" s="3462">
        <v>140.25</v>
      </c>
      <c r="K3" s="3462">
        <v>6522</v>
      </c>
      <c r="L3" s="3462">
        <v>108945</v>
      </c>
      <c r="M3" s="3462" t="s">
        <v>3434</v>
      </c>
      <c r="N3" s="3462" t="s">
        <v>633</v>
      </c>
      <c r="O3" s="3462" t="s">
        <v>633</v>
      </c>
      <c r="P3" s="3462" t="s">
        <v>633</v>
      </c>
      <c r="Q3" s="3462" t="s">
        <v>633</v>
      </c>
      <c r="R3" s="3462" t="s">
        <v>633</v>
      </c>
      <c r="S3" s="3462" t="s">
        <v>633</v>
      </c>
      <c r="T3" s="3462" t="s">
        <v>633</v>
      </c>
      <c r="U3" s="3462" t="s">
        <v>633</v>
      </c>
      <c r="V3" s="3462" t="s">
        <v>633</v>
      </c>
      <c r="W3" s="3462" t="s">
        <v>633</v>
      </c>
      <c r="X3" s="3462" t="s">
        <v>633</v>
      </c>
      <c r="Y3" s="3462" t="s">
        <v>633</v>
      </c>
      <c r="Z3" s="3462" t="s">
        <v>633</v>
      </c>
      <c r="AA3" s="3462" t="s">
        <v>633</v>
      </c>
      <c r="AB3" s="3462" t="s">
        <v>633</v>
      </c>
      <c r="AC3" s="3462" t="s">
        <v>633</v>
      </c>
      <c r="AD3" s="3462" t="s">
        <v>633</v>
      </c>
      <c r="AE3" s="3462" t="s">
        <v>633</v>
      </c>
      <c r="AF3" s="3462" t="s">
        <v>633</v>
      </c>
      <c r="AG3" s="3462" t="s">
        <v>633</v>
      </c>
      <c r="AH3" s="3462" t="s">
        <v>633</v>
      </c>
      <c r="AI3" s="3462" t="s">
        <v>633</v>
      </c>
      <c r="AJ3" s="3462" t="s">
        <v>633</v>
      </c>
      <c r="AK3" s="3462" t="s">
        <v>633</v>
      </c>
      <c r="AL3" s="3462" t="s">
        <v>633</v>
      </c>
      <c r="AM3" s="3462" t="s">
        <v>633</v>
      </c>
      <c r="AN3" s="3462" t="s">
        <v>633</v>
      </c>
      <c r="AO3" s="3462" t="s">
        <v>633</v>
      </c>
      <c r="AP3" s="3462" t="s">
        <v>633</v>
      </c>
      <c r="AQ3" s="3462" t="s">
        <v>633</v>
      </c>
      <c r="AR3" s="3462" t="s">
        <v>633</v>
      </c>
      <c r="AS3" s="3462" t="s">
        <v>633</v>
      </c>
    </row>
    <row r="4" spans="1:45">
      <c r="A4" s="3462" t="s">
        <v>3435</v>
      </c>
      <c r="B4" s="3462">
        <v>138.03</v>
      </c>
      <c r="C4" s="3462">
        <v>11831</v>
      </c>
      <c r="D4" s="3462">
        <v>118824</v>
      </c>
      <c r="E4" s="3462" t="s">
        <v>3436</v>
      </c>
      <c r="F4" s="3462">
        <v>134.69999999999999</v>
      </c>
      <c r="G4" s="3462">
        <v>10956</v>
      </c>
      <c r="H4" s="3462">
        <v>120765</v>
      </c>
      <c r="I4" s="3462" t="s">
        <v>3437</v>
      </c>
      <c r="J4" s="3462">
        <v>131.11000000000001</v>
      </c>
      <c r="K4" s="3462">
        <v>10560</v>
      </c>
      <c r="L4" s="3462">
        <v>121556</v>
      </c>
      <c r="M4" s="3462" t="s">
        <v>3438</v>
      </c>
      <c r="N4" s="3462">
        <v>131.97999999999999</v>
      </c>
      <c r="O4" s="3462">
        <v>11304</v>
      </c>
      <c r="P4" s="3462">
        <v>123278</v>
      </c>
      <c r="Q4" s="3462" t="s">
        <v>3439</v>
      </c>
      <c r="R4" s="3462">
        <v>132.21</v>
      </c>
      <c r="S4" s="3462">
        <v>11573</v>
      </c>
      <c r="T4" s="3462">
        <v>120969</v>
      </c>
      <c r="U4" s="3462" t="s">
        <v>3440</v>
      </c>
      <c r="V4" s="3462">
        <v>134.31</v>
      </c>
      <c r="W4" s="3462">
        <v>12228</v>
      </c>
      <c r="X4" s="3462">
        <v>126901</v>
      </c>
      <c r="Y4" s="3462" t="s">
        <v>3441</v>
      </c>
      <c r="Z4" s="3462">
        <v>131.66999999999999</v>
      </c>
      <c r="AA4" s="3462">
        <v>12494</v>
      </c>
      <c r="AB4" s="3462">
        <v>112993</v>
      </c>
      <c r="AC4" s="3462" t="s">
        <v>3442</v>
      </c>
      <c r="AD4" s="3462">
        <v>127.6</v>
      </c>
      <c r="AE4" s="3462">
        <v>12900</v>
      </c>
      <c r="AF4" s="3462">
        <v>123256</v>
      </c>
      <c r="AG4" s="3462" t="s">
        <v>3443</v>
      </c>
      <c r="AH4" s="3462">
        <v>131.51</v>
      </c>
      <c r="AI4" s="3462">
        <v>13032</v>
      </c>
      <c r="AJ4" s="3462">
        <v>131354</v>
      </c>
      <c r="AK4" s="3462" t="s">
        <v>3444</v>
      </c>
      <c r="AL4" s="3462">
        <v>138.72999999999999</v>
      </c>
      <c r="AM4" s="3462">
        <v>12000</v>
      </c>
      <c r="AN4" s="3462">
        <v>130865</v>
      </c>
      <c r="AO4" s="3462" t="s">
        <v>3445</v>
      </c>
      <c r="AP4" s="3462">
        <v>126.16</v>
      </c>
      <c r="AQ4" s="3462">
        <v>9864</v>
      </c>
      <c r="AR4" s="3462">
        <v>124399</v>
      </c>
      <c r="AS4" s="3462" t="s">
        <v>3446</v>
      </c>
    </row>
    <row r="5" spans="1:45">
      <c r="A5" s="3462" t="s">
        <v>3447</v>
      </c>
      <c r="B5" s="3462">
        <v>129.34</v>
      </c>
      <c r="C5" s="3462">
        <v>9709</v>
      </c>
      <c r="D5" s="3462">
        <v>133018</v>
      </c>
      <c r="E5" s="3462" t="s">
        <v>3448</v>
      </c>
      <c r="F5" s="3462">
        <v>127.66</v>
      </c>
      <c r="G5" s="3462">
        <v>8783</v>
      </c>
      <c r="H5" s="3462">
        <v>142867</v>
      </c>
      <c r="I5" s="3462" t="s">
        <v>3449</v>
      </c>
      <c r="J5" s="3462">
        <v>132.26</v>
      </c>
      <c r="K5" s="3462">
        <v>9180</v>
      </c>
      <c r="L5" s="3462">
        <v>146285</v>
      </c>
      <c r="M5" s="3462" t="s">
        <v>3450</v>
      </c>
      <c r="N5" s="3462">
        <v>137.22</v>
      </c>
      <c r="O5" s="3462">
        <v>10572</v>
      </c>
      <c r="P5" s="3462">
        <v>145516</v>
      </c>
      <c r="Q5" s="3462" t="s">
        <v>3451</v>
      </c>
      <c r="R5" s="3462">
        <v>140.33000000000001</v>
      </c>
      <c r="S5" s="3462">
        <v>10170</v>
      </c>
      <c r="T5" s="3462">
        <v>144475</v>
      </c>
      <c r="U5" s="3462" t="s">
        <v>3452</v>
      </c>
      <c r="V5" s="3462">
        <v>140.62</v>
      </c>
      <c r="W5" s="3462">
        <v>9450</v>
      </c>
      <c r="X5" s="3462">
        <v>142546</v>
      </c>
      <c r="Y5" s="3462" t="s">
        <v>3453</v>
      </c>
      <c r="Z5" s="3462">
        <v>138.62</v>
      </c>
      <c r="AA5" s="3462">
        <v>9313</v>
      </c>
      <c r="AB5" s="3462">
        <v>141054</v>
      </c>
      <c r="AC5" s="3462" t="s">
        <v>3454</v>
      </c>
      <c r="AD5" s="3462">
        <v>135.22</v>
      </c>
      <c r="AE5" s="3462">
        <v>9457</v>
      </c>
      <c r="AF5" s="3462">
        <v>142245</v>
      </c>
      <c r="AG5" s="3462" t="s">
        <v>3455</v>
      </c>
      <c r="AH5" s="3462">
        <v>132.22999999999999</v>
      </c>
      <c r="AI5" s="3462">
        <v>10572</v>
      </c>
      <c r="AJ5" s="3462">
        <v>143994</v>
      </c>
      <c r="AK5" s="3462" t="s">
        <v>3456</v>
      </c>
      <c r="AL5" s="3462">
        <v>128.94</v>
      </c>
      <c r="AM5" s="3462">
        <v>11154</v>
      </c>
      <c r="AN5" s="3462">
        <v>140662</v>
      </c>
      <c r="AO5" s="3462" t="s">
        <v>3457</v>
      </c>
      <c r="AP5" s="3462">
        <v>127.55</v>
      </c>
      <c r="AQ5" s="3462">
        <v>11642</v>
      </c>
      <c r="AR5" s="3462">
        <v>144475</v>
      </c>
      <c r="AS5" s="3462" t="s">
        <v>3458</v>
      </c>
    </row>
    <row r="6" spans="1:45">
      <c r="A6" s="3462" t="s">
        <v>3459</v>
      </c>
      <c r="B6" s="3462">
        <v>124.36</v>
      </c>
      <c r="C6" s="3462">
        <v>5600</v>
      </c>
      <c r="D6" s="3462">
        <v>110173</v>
      </c>
      <c r="E6" s="3462" t="s">
        <v>3460</v>
      </c>
      <c r="F6" s="3462">
        <v>125.29</v>
      </c>
      <c r="G6" s="3462">
        <v>5610</v>
      </c>
      <c r="H6" s="3462">
        <v>104897</v>
      </c>
      <c r="I6" s="3462" t="s">
        <v>3461</v>
      </c>
      <c r="J6" s="3462">
        <v>125.38</v>
      </c>
      <c r="K6" s="3462">
        <v>5622</v>
      </c>
      <c r="L6" s="3462">
        <v>104390</v>
      </c>
      <c r="M6" s="3462" t="s">
        <v>3462</v>
      </c>
      <c r="N6" s="3462">
        <v>123.81</v>
      </c>
      <c r="O6" s="3462">
        <v>5642</v>
      </c>
      <c r="P6" s="3462">
        <v>96912</v>
      </c>
      <c r="Q6" s="3462" t="s">
        <v>3463</v>
      </c>
      <c r="R6" s="3462">
        <v>124.19</v>
      </c>
      <c r="S6" s="3462">
        <v>5632</v>
      </c>
      <c r="T6" s="3462">
        <v>98135</v>
      </c>
      <c r="U6" s="3462" t="s">
        <v>3464</v>
      </c>
      <c r="V6" s="3462">
        <v>122.93</v>
      </c>
      <c r="W6" s="3462">
        <v>5604</v>
      </c>
      <c r="X6" s="3462">
        <v>114260</v>
      </c>
      <c r="Y6" s="3462" t="s">
        <v>3465</v>
      </c>
      <c r="Z6" s="3462">
        <v>117.86</v>
      </c>
      <c r="AA6" s="3462">
        <v>5627</v>
      </c>
      <c r="AB6" s="3462">
        <v>116668</v>
      </c>
      <c r="AC6" s="3462" t="s">
        <v>3466</v>
      </c>
      <c r="AD6" s="3462">
        <v>111.96</v>
      </c>
      <c r="AE6" s="3462">
        <v>6208</v>
      </c>
      <c r="AF6" s="3462">
        <v>101681</v>
      </c>
      <c r="AG6" s="3462" t="s">
        <v>3467</v>
      </c>
      <c r="AH6" s="3462">
        <v>109.98</v>
      </c>
      <c r="AI6" s="3462">
        <v>6039</v>
      </c>
      <c r="AJ6" s="3462">
        <v>99114</v>
      </c>
      <c r="AK6" s="3462" t="s">
        <v>3468</v>
      </c>
      <c r="AL6" s="3462">
        <v>111.62</v>
      </c>
      <c r="AM6" s="3462">
        <v>5267</v>
      </c>
      <c r="AN6" s="3462">
        <v>99721</v>
      </c>
      <c r="AO6" s="3462" t="s">
        <v>3469</v>
      </c>
      <c r="AP6" s="3462">
        <v>110.62</v>
      </c>
      <c r="AQ6" s="3462">
        <v>5095</v>
      </c>
      <c r="AR6" s="3462">
        <v>96020</v>
      </c>
      <c r="AS6" s="3462" t="s">
        <v>3470</v>
      </c>
    </row>
    <row r="7" spans="1:45">
      <c r="A7" s="3462" t="s">
        <v>3471</v>
      </c>
      <c r="B7" s="3462">
        <v>123.51</v>
      </c>
      <c r="C7" s="3462">
        <v>9554</v>
      </c>
      <c r="D7" s="3462">
        <v>132887</v>
      </c>
      <c r="E7" s="3462" t="s">
        <v>3472</v>
      </c>
      <c r="F7" s="3462">
        <v>127.84</v>
      </c>
      <c r="G7" s="3462">
        <v>10003</v>
      </c>
      <c r="H7" s="3462">
        <v>135784</v>
      </c>
      <c r="I7" s="3462" t="s">
        <v>3473</v>
      </c>
      <c r="J7" s="3462">
        <v>132.47</v>
      </c>
      <c r="K7" s="3462">
        <v>10675</v>
      </c>
      <c r="L7" s="3462">
        <v>134503</v>
      </c>
      <c r="M7" s="3462" t="s">
        <v>3474</v>
      </c>
      <c r="N7" s="3462">
        <v>133.91999999999999</v>
      </c>
      <c r="O7" s="3462">
        <v>9974</v>
      </c>
      <c r="P7" s="3462">
        <v>135102</v>
      </c>
      <c r="Q7" s="3462" t="s">
        <v>3475</v>
      </c>
      <c r="R7" s="3462">
        <v>131.87</v>
      </c>
      <c r="S7" s="3462">
        <v>9119</v>
      </c>
      <c r="T7" s="3462">
        <v>136043</v>
      </c>
      <c r="U7" s="3462" t="s">
        <v>3476</v>
      </c>
      <c r="V7" s="3462">
        <v>130.88</v>
      </c>
      <c r="W7" s="3462">
        <v>8926</v>
      </c>
      <c r="X7" s="3462">
        <v>134764</v>
      </c>
      <c r="Y7" s="3462" t="s">
        <v>3452</v>
      </c>
      <c r="Z7" s="3462">
        <v>131.49</v>
      </c>
      <c r="AA7" s="3462">
        <v>9292</v>
      </c>
      <c r="AB7" s="3462">
        <v>136587</v>
      </c>
      <c r="AC7" s="3462" t="s">
        <v>3477</v>
      </c>
      <c r="AD7" s="3462">
        <v>131.72</v>
      </c>
      <c r="AE7" s="3462">
        <v>9710</v>
      </c>
      <c r="AF7" s="3462">
        <v>133205</v>
      </c>
      <c r="AG7" s="3462" t="s">
        <v>3478</v>
      </c>
      <c r="AH7" s="3462">
        <v>129.13</v>
      </c>
      <c r="AI7" s="3462">
        <v>9696</v>
      </c>
      <c r="AJ7" s="3462">
        <v>132178</v>
      </c>
      <c r="AK7" s="3462" t="s">
        <v>3479</v>
      </c>
      <c r="AL7" s="3462">
        <v>130.58000000000001</v>
      </c>
      <c r="AM7" s="3462">
        <v>9556</v>
      </c>
      <c r="AN7" s="3462">
        <v>128595</v>
      </c>
      <c r="AO7" s="3462" t="s">
        <v>3480</v>
      </c>
      <c r="AP7" s="3462">
        <v>127.88</v>
      </c>
      <c r="AQ7" s="3462">
        <v>9667</v>
      </c>
      <c r="AR7" s="3462">
        <v>128740</v>
      </c>
      <c r="AS7" s="3462" t="s">
        <v>3481</v>
      </c>
    </row>
    <row r="8" spans="1:45">
      <c r="A8" s="3462" t="s">
        <v>3482</v>
      </c>
      <c r="B8" s="3462">
        <v>122.41</v>
      </c>
      <c r="C8" s="3462">
        <v>12160</v>
      </c>
      <c r="D8" s="3462">
        <v>130774</v>
      </c>
      <c r="E8" s="3462" t="s">
        <v>3483</v>
      </c>
      <c r="F8" s="3462">
        <v>123.54</v>
      </c>
      <c r="G8" s="3462">
        <v>12601</v>
      </c>
      <c r="H8" s="3462">
        <v>128868</v>
      </c>
      <c r="I8" s="3462" t="s">
        <v>3484</v>
      </c>
      <c r="J8" s="3462">
        <v>126.4</v>
      </c>
      <c r="K8" s="3462">
        <v>12223</v>
      </c>
      <c r="L8" s="3462">
        <v>127812</v>
      </c>
      <c r="M8" s="3462" t="s">
        <v>3478</v>
      </c>
      <c r="N8" s="3462">
        <v>126.67</v>
      </c>
      <c r="O8" s="3462">
        <v>11875</v>
      </c>
      <c r="P8" s="3462">
        <v>127630</v>
      </c>
      <c r="Q8" s="3462" t="s">
        <v>3485</v>
      </c>
      <c r="R8" s="3462">
        <v>123.89</v>
      </c>
      <c r="S8" s="3462">
        <v>11288</v>
      </c>
      <c r="T8" s="3462">
        <v>130223</v>
      </c>
      <c r="U8" s="3462" t="s">
        <v>3455</v>
      </c>
      <c r="V8" s="3462">
        <v>121.46</v>
      </c>
      <c r="W8" s="3462">
        <v>10862</v>
      </c>
      <c r="X8" s="3462">
        <v>129938</v>
      </c>
      <c r="Y8" s="3462" t="s">
        <v>3486</v>
      </c>
      <c r="Z8" s="3462">
        <v>119.83</v>
      </c>
      <c r="AA8" s="3462">
        <v>10802</v>
      </c>
      <c r="AB8" s="3462">
        <v>131524</v>
      </c>
      <c r="AC8" s="3462" t="s">
        <v>3487</v>
      </c>
      <c r="AD8" s="3462">
        <v>114.89</v>
      </c>
      <c r="AE8" s="3462">
        <v>10533</v>
      </c>
      <c r="AF8" s="3462">
        <v>129198</v>
      </c>
      <c r="AG8" s="3462" t="s">
        <v>3488</v>
      </c>
      <c r="AH8" s="3462">
        <v>107.83</v>
      </c>
      <c r="AI8" s="3462">
        <v>9324</v>
      </c>
      <c r="AJ8" s="3462">
        <v>128792</v>
      </c>
      <c r="AK8" s="3462" t="s">
        <v>3489</v>
      </c>
      <c r="AL8" s="3462">
        <v>110.08</v>
      </c>
      <c r="AM8" s="3462">
        <v>9389</v>
      </c>
      <c r="AN8" s="3462">
        <v>128126</v>
      </c>
      <c r="AO8" s="3462" t="s">
        <v>3490</v>
      </c>
      <c r="AP8" s="3462">
        <v>115.19</v>
      </c>
      <c r="AQ8" s="3462">
        <v>11214</v>
      </c>
      <c r="AR8" s="3462">
        <v>127765</v>
      </c>
      <c r="AS8" s="3462" t="s">
        <v>3491</v>
      </c>
    </row>
    <row r="9" spans="1:45">
      <c r="A9" s="3462" t="s">
        <v>3492</v>
      </c>
      <c r="B9" s="3462">
        <v>120.96</v>
      </c>
      <c r="C9" s="3462">
        <v>5867</v>
      </c>
      <c r="D9" s="3462">
        <v>103153</v>
      </c>
      <c r="E9" s="3462" t="s">
        <v>3493</v>
      </c>
      <c r="F9" s="3462">
        <v>104.71</v>
      </c>
      <c r="G9" s="3462">
        <v>6667</v>
      </c>
      <c r="H9" s="3462">
        <v>100827</v>
      </c>
      <c r="I9" s="3462" t="s">
        <v>3494</v>
      </c>
      <c r="J9" s="3462">
        <v>111.79</v>
      </c>
      <c r="K9" s="3462">
        <v>7164</v>
      </c>
      <c r="L9" s="3462">
        <v>103880</v>
      </c>
      <c r="M9" s="3462" t="s">
        <v>3465</v>
      </c>
      <c r="N9" s="3462">
        <v>113.92</v>
      </c>
      <c r="O9" s="3462">
        <v>6304</v>
      </c>
      <c r="P9" s="3462">
        <v>104685</v>
      </c>
      <c r="Q9" s="3462" t="s">
        <v>3495</v>
      </c>
      <c r="R9" s="3462">
        <v>118.14</v>
      </c>
      <c r="S9" s="3462">
        <v>6061</v>
      </c>
      <c r="T9" s="3462">
        <v>105359</v>
      </c>
      <c r="U9" s="3462" t="s">
        <v>3496</v>
      </c>
      <c r="V9" s="3462">
        <v>116.99</v>
      </c>
      <c r="W9" s="3462">
        <v>6060</v>
      </c>
      <c r="X9" s="3462">
        <v>110972</v>
      </c>
      <c r="Y9" s="3462" t="s">
        <v>3497</v>
      </c>
      <c r="Z9" s="3462" t="s">
        <v>633</v>
      </c>
      <c r="AA9" s="3462" t="s">
        <v>633</v>
      </c>
      <c r="AB9" s="3462" t="s">
        <v>633</v>
      </c>
      <c r="AC9" s="3462" t="s">
        <v>633</v>
      </c>
      <c r="AD9" s="3462">
        <v>111.94</v>
      </c>
      <c r="AE9" s="3462">
        <v>6645</v>
      </c>
      <c r="AF9" s="3462">
        <v>113996</v>
      </c>
      <c r="AG9" s="3462" t="s">
        <v>3498</v>
      </c>
      <c r="AH9" s="3462">
        <v>114.45</v>
      </c>
      <c r="AI9" s="3462">
        <v>6733</v>
      </c>
      <c r="AJ9" s="3462">
        <v>108415</v>
      </c>
      <c r="AK9" s="3462" t="s">
        <v>3499</v>
      </c>
      <c r="AL9" s="3462" t="s">
        <v>633</v>
      </c>
      <c r="AM9" s="3462" t="s">
        <v>633</v>
      </c>
      <c r="AN9" s="3462" t="s">
        <v>633</v>
      </c>
      <c r="AO9" s="3462" t="s">
        <v>633</v>
      </c>
      <c r="AP9" s="3462" t="s">
        <v>633</v>
      </c>
      <c r="AQ9" s="3462" t="s">
        <v>633</v>
      </c>
      <c r="AR9" s="3462" t="s">
        <v>633</v>
      </c>
      <c r="AS9" s="3462" t="s">
        <v>633</v>
      </c>
    </row>
    <row r="10" spans="1:45">
      <c r="A10" s="3462" t="s">
        <v>3500</v>
      </c>
      <c r="B10" s="3462">
        <v>120.11</v>
      </c>
      <c r="C10" s="3462">
        <v>6774</v>
      </c>
      <c r="D10" s="3462">
        <v>106339</v>
      </c>
      <c r="E10" s="3462" t="s">
        <v>3460</v>
      </c>
      <c r="F10" s="3462">
        <v>113.52</v>
      </c>
      <c r="G10" s="3462">
        <v>6713</v>
      </c>
      <c r="H10" s="3462">
        <v>105964</v>
      </c>
      <c r="I10" s="3462" t="s">
        <v>3501</v>
      </c>
      <c r="J10" s="3462">
        <v>113.78</v>
      </c>
      <c r="K10" s="3462">
        <v>7059</v>
      </c>
      <c r="L10" s="3462">
        <v>106718</v>
      </c>
      <c r="M10" s="3462" t="s">
        <v>3502</v>
      </c>
      <c r="N10" s="3462">
        <v>113.33</v>
      </c>
      <c r="O10" s="3462">
        <v>7002</v>
      </c>
      <c r="P10" s="3462">
        <v>105385</v>
      </c>
      <c r="Q10" s="3462" t="s">
        <v>3465</v>
      </c>
      <c r="R10" s="3462">
        <v>114.61</v>
      </c>
      <c r="S10" s="3462">
        <v>6640</v>
      </c>
      <c r="T10" s="3462">
        <v>105918</v>
      </c>
      <c r="U10" s="3462" t="s">
        <v>3503</v>
      </c>
      <c r="V10" s="3462">
        <v>115.24</v>
      </c>
      <c r="W10" s="3462">
        <v>6541</v>
      </c>
      <c r="X10" s="3462">
        <v>108982</v>
      </c>
      <c r="Y10" s="3462" t="s">
        <v>3504</v>
      </c>
      <c r="Z10" s="3462">
        <v>116.37</v>
      </c>
      <c r="AA10" s="3462">
        <v>6803</v>
      </c>
      <c r="AB10" s="3462">
        <v>108901</v>
      </c>
      <c r="AC10" s="3462" t="s">
        <v>3505</v>
      </c>
      <c r="AD10" s="3462">
        <v>111.64</v>
      </c>
      <c r="AE10" s="3462">
        <v>6643</v>
      </c>
      <c r="AF10" s="3462">
        <v>109517</v>
      </c>
      <c r="AG10" s="3462" t="s">
        <v>3506</v>
      </c>
      <c r="AH10" s="3462">
        <v>111.43</v>
      </c>
      <c r="AI10" s="3462">
        <v>6763</v>
      </c>
      <c r="AJ10" s="3462">
        <v>108816</v>
      </c>
      <c r="AK10" s="3462" t="s">
        <v>3507</v>
      </c>
      <c r="AL10" s="3462">
        <v>112.29</v>
      </c>
      <c r="AM10" s="3462">
        <v>6569</v>
      </c>
      <c r="AN10" s="3462">
        <v>110419</v>
      </c>
      <c r="AO10" s="3462" t="s">
        <v>3508</v>
      </c>
      <c r="AP10" s="3462">
        <v>112.95</v>
      </c>
      <c r="AQ10" s="3462">
        <v>6143</v>
      </c>
      <c r="AR10" s="3462">
        <v>111608</v>
      </c>
      <c r="AS10" s="3462" t="s">
        <v>3509</v>
      </c>
    </row>
    <row r="11" spans="1:45">
      <c r="A11" s="3462" t="s">
        <v>3510</v>
      </c>
      <c r="B11" s="3462">
        <v>118.33</v>
      </c>
      <c r="C11" s="3462">
        <v>5698</v>
      </c>
      <c r="D11" s="3462">
        <v>113866</v>
      </c>
      <c r="E11" s="3462" t="s">
        <v>3494</v>
      </c>
      <c r="F11" s="3462">
        <v>116.7</v>
      </c>
      <c r="G11" s="3462">
        <v>5544</v>
      </c>
      <c r="H11" s="3462">
        <v>114764</v>
      </c>
      <c r="I11" s="3462" t="s">
        <v>3508</v>
      </c>
      <c r="J11" s="3462">
        <v>120.85</v>
      </c>
      <c r="K11" s="3462">
        <v>5604</v>
      </c>
      <c r="L11" s="3462">
        <v>115035</v>
      </c>
      <c r="M11" s="3462" t="s">
        <v>3511</v>
      </c>
      <c r="N11" s="3462">
        <v>123.47</v>
      </c>
      <c r="O11" s="3462">
        <v>6703</v>
      </c>
      <c r="P11" s="3462">
        <v>115919</v>
      </c>
      <c r="Q11" s="3462" t="s">
        <v>3512</v>
      </c>
      <c r="R11" s="3462">
        <v>124.79</v>
      </c>
      <c r="S11" s="3462">
        <v>6968</v>
      </c>
      <c r="T11" s="3462">
        <v>116061</v>
      </c>
      <c r="U11" s="3462" t="s">
        <v>3513</v>
      </c>
      <c r="V11" s="3462">
        <v>123.27</v>
      </c>
      <c r="W11" s="3462">
        <v>5992</v>
      </c>
      <c r="X11" s="3462">
        <v>118119</v>
      </c>
      <c r="Y11" s="3462" t="s">
        <v>3514</v>
      </c>
      <c r="Z11" s="3462">
        <v>119.17</v>
      </c>
      <c r="AA11" s="3462">
        <v>6491</v>
      </c>
      <c r="AB11" s="3462">
        <v>116709</v>
      </c>
      <c r="AC11" s="3462" t="s">
        <v>3515</v>
      </c>
      <c r="AD11" s="3462">
        <v>118.99</v>
      </c>
      <c r="AE11" s="3462">
        <v>6719</v>
      </c>
      <c r="AF11" s="3462">
        <v>117895</v>
      </c>
      <c r="AG11" s="3462" t="s">
        <v>3516</v>
      </c>
      <c r="AH11" s="3462">
        <v>120.19</v>
      </c>
      <c r="AI11" s="3462">
        <v>6855</v>
      </c>
      <c r="AJ11" s="3462">
        <v>119632</v>
      </c>
      <c r="AK11" s="3462" t="s">
        <v>3517</v>
      </c>
      <c r="AL11" s="3462">
        <v>119.66</v>
      </c>
      <c r="AM11" s="3462">
        <v>6742</v>
      </c>
      <c r="AN11" s="3462">
        <v>117475</v>
      </c>
      <c r="AO11" s="3462" t="s">
        <v>3518</v>
      </c>
      <c r="AP11" s="3462">
        <v>117.62</v>
      </c>
      <c r="AQ11" s="3462">
        <v>6430</v>
      </c>
      <c r="AR11" s="3462">
        <v>121208</v>
      </c>
      <c r="AS11" s="3462" t="s">
        <v>3519</v>
      </c>
    </row>
    <row r="12" spans="1:45">
      <c r="A12" s="3462" t="s">
        <v>3520</v>
      </c>
      <c r="B12" s="3462">
        <v>117.29</v>
      </c>
      <c r="C12" s="3462">
        <v>4900</v>
      </c>
      <c r="D12" s="3462">
        <v>39067</v>
      </c>
      <c r="E12" s="3462" t="s">
        <v>3521</v>
      </c>
      <c r="F12" s="3462">
        <v>109.54</v>
      </c>
      <c r="G12" s="3462">
        <v>4783</v>
      </c>
      <c r="H12" s="3462">
        <v>39462</v>
      </c>
      <c r="I12" s="3462" t="s">
        <v>3522</v>
      </c>
      <c r="J12" s="3462" t="s">
        <v>633</v>
      </c>
      <c r="K12" s="3462" t="s">
        <v>633</v>
      </c>
      <c r="L12" s="3462" t="s">
        <v>633</v>
      </c>
      <c r="M12" s="3462" t="s">
        <v>633</v>
      </c>
      <c r="N12" s="3462">
        <v>89.34</v>
      </c>
      <c r="O12" s="3462">
        <v>5450</v>
      </c>
      <c r="P12" s="3462">
        <v>40898</v>
      </c>
      <c r="Q12" s="3462" t="s">
        <v>3523</v>
      </c>
      <c r="R12" s="3462">
        <v>90.38</v>
      </c>
      <c r="S12" s="3462">
        <v>5100</v>
      </c>
      <c r="T12" s="3462">
        <v>46999</v>
      </c>
      <c r="U12" s="3462" t="s">
        <v>3524</v>
      </c>
      <c r="V12" s="3462" t="s">
        <v>633</v>
      </c>
      <c r="W12" s="3462" t="s">
        <v>633</v>
      </c>
      <c r="X12" s="3462" t="s">
        <v>633</v>
      </c>
      <c r="Y12" s="3462" t="s">
        <v>633</v>
      </c>
      <c r="Z12" s="3462" t="s">
        <v>633</v>
      </c>
      <c r="AA12" s="3462" t="s">
        <v>633</v>
      </c>
      <c r="AB12" s="3462" t="s">
        <v>633</v>
      </c>
      <c r="AC12" s="3462" t="s">
        <v>633</v>
      </c>
      <c r="AD12" s="3462" t="s">
        <v>633</v>
      </c>
      <c r="AE12" s="3462" t="s">
        <v>633</v>
      </c>
      <c r="AF12" s="3462" t="s">
        <v>633</v>
      </c>
      <c r="AG12" s="3462" t="s">
        <v>633</v>
      </c>
      <c r="AH12" s="3462" t="s">
        <v>633</v>
      </c>
      <c r="AI12" s="3462" t="s">
        <v>633</v>
      </c>
      <c r="AJ12" s="3462" t="s">
        <v>633</v>
      </c>
      <c r="AK12" s="3462" t="s">
        <v>633</v>
      </c>
      <c r="AL12" s="3462" t="s">
        <v>633</v>
      </c>
      <c r="AM12" s="3462" t="s">
        <v>633</v>
      </c>
      <c r="AN12" s="3462" t="s">
        <v>633</v>
      </c>
      <c r="AO12" s="3462" t="s">
        <v>633</v>
      </c>
      <c r="AP12" s="3462">
        <v>128.76</v>
      </c>
      <c r="AQ12" s="3462">
        <v>4813</v>
      </c>
      <c r="AR12" s="3462">
        <v>42350</v>
      </c>
      <c r="AS12" s="3462" t="s">
        <v>3525</v>
      </c>
    </row>
    <row r="13" spans="1:45">
      <c r="A13" s="3462" t="s">
        <v>3526</v>
      </c>
      <c r="B13" s="3462">
        <v>116.83</v>
      </c>
      <c r="C13" s="3462">
        <v>6995</v>
      </c>
      <c r="D13" s="3462">
        <v>99847</v>
      </c>
      <c r="E13" s="3462" t="s">
        <v>3527</v>
      </c>
      <c r="F13" s="3462">
        <v>115.99</v>
      </c>
      <c r="G13" s="3462">
        <v>6280</v>
      </c>
      <c r="H13" s="3462">
        <v>103452</v>
      </c>
      <c r="I13" s="3462" t="s">
        <v>3496</v>
      </c>
      <c r="J13" s="3462">
        <v>109.46</v>
      </c>
      <c r="K13" s="3462">
        <v>6338</v>
      </c>
      <c r="L13" s="3462">
        <v>103443</v>
      </c>
      <c r="M13" s="3462" t="s">
        <v>3504</v>
      </c>
      <c r="N13" s="3462">
        <v>104.72</v>
      </c>
      <c r="O13" s="3462">
        <v>6597</v>
      </c>
      <c r="P13" s="3462">
        <v>104940</v>
      </c>
      <c r="Q13" s="3462" t="s">
        <v>3528</v>
      </c>
      <c r="R13" s="3462">
        <v>99.57</v>
      </c>
      <c r="S13" s="3462">
        <v>6290</v>
      </c>
      <c r="T13" s="3462">
        <v>106548</v>
      </c>
      <c r="U13" s="3462" t="s">
        <v>3529</v>
      </c>
      <c r="V13" s="3462">
        <v>97.98</v>
      </c>
      <c r="W13" s="3462">
        <v>6173</v>
      </c>
      <c r="X13" s="3462">
        <v>107485</v>
      </c>
      <c r="Y13" s="3462" t="s">
        <v>3487</v>
      </c>
      <c r="Z13" s="3462" t="s">
        <v>633</v>
      </c>
      <c r="AA13" s="3462" t="s">
        <v>633</v>
      </c>
      <c r="AB13" s="3462" t="s">
        <v>633</v>
      </c>
      <c r="AC13" s="3462" t="s">
        <v>633</v>
      </c>
      <c r="AD13" s="3462">
        <v>93.91</v>
      </c>
      <c r="AE13" s="3462">
        <v>5729</v>
      </c>
      <c r="AF13" s="3462">
        <v>107327</v>
      </c>
      <c r="AG13" s="3462" t="s">
        <v>3530</v>
      </c>
      <c r="AH13" s="3462" t="s">
        <v>633</v>
      </c>
      <c r="AI13" s="3462" t="s">
        <v>633</v>
      </c>
      <c r="AJ13" s="3462" t="s">
        <v>633</v>
      </c>
      <c r="AK13" s="3462" t="s">
        <v>633</v>
      </c>
      <c r="AL13" s="3462" t="s">
        <v>633</v>
      </c>
      <c r="AM13" s="3462" t="s">
        <v>633</v>
      </c>
      <c r="AN13" s="3462" t="s">
        <v>633</v>
      </c>
      <c r="AO13" s="3462" t="s">
        <v>633</v>
      </c>
      <c r="AP13" s="3462" t="s">
        <v>633</v>
      </c>
      <c r="AQ13" s="3462" t="s">
        <v>633</v>
      </c>
      <c r="AR13" s="3462" t="s">
        <v>633</v>
      </c>
      <c r="AS13" s="3462" t="s">
        <v>633</v>
      </c>
    </row>
    <row r="14" spans="1:45">
      <c r="A14" s="3462" t="s">
        <v>3531</v>
      </c>
      <c r="B14" s="3462">
        <v>116.1</v>
      </c>
      <c r="C14" s="3462">
        <v>5587</v>
      </c>
      <c r="D14" s="3462">
        <v>77972</v>
      </c>
      <c r="E14" s="3462" t="s">
        <v>3532</v>
      </c>
      <c r="F14" s="3462">
        <v>114</v>
      </c>
      <c r="G14" s="3462">
        <v>5358</v>
      </c>
      <c r="H14" s="3462">
        <v>78325</v>
      </c>
      <c r="I14" s="3462" t="s">
        <v>3533</v>
      </c>
      <c r="J14" s="3462">
        <v>114.83</v>
      </c>
      <c r="K14" s="3462">
        <v>5143</v>
      </c>
      <c r="L14" s="3462">
        <v>84471</v>
      </c>
      <c r="M14" s="3462" t="s">
        <v>3534</v>
      </c>
      <c r="N14" s="3462">
        <v>103.16</v>
      </c>
      <c r="O14" s="3462">
        <v>4150</v>
      </c>
      <c r="P14" s="3462">
        <v>78899</v>
      </c>
      <c r="Q14" s="3462" t="s">
        <v>3535</v>
      </c>
      <c r="R14" s="3462">
        <v>92.95</v>
      </c>
      <c r="S14" s="3462">
        <v>3454</v>
      </c>
      <c r="T14" s="3462">
        <v>89532</v>
      </c>
      <c r="U14" s="3462" t="s">
        <v>3536</v>
      </c>
      <c r="V14" s="3462">
        <v>84.81</v>
      </c>
      <c r="W14" s="3462">
        <v>2871</v>
      </c>
      <c r="X14" s="3462">
        <v>88646</v>
      </c>
      <c r="Y14" s="3462" t="s">
        <v>3537</v>
      </c>
      <c r="Z14" s="3462">
        <v>80.430000000000007</v>
      </c>
      <c r="AA14" s="3462">
        <v>3083</v>
      </c>
      <c r="AB14" s="3462">
        <v>86065</v>
      </c>
      <c r="AC14" s="3462" t="s">
        <v>3529</v>
      </c>
      <c r="AD14" s="3462">
        <v>77.569999999999993</v>
      </c>
      <c r="AE14" s="3462">
        <v>3018</v>
      </c>
      <c r="AF14" s="3462">
        <v>75933</v>
      </c>
      <c r="AG14" s="3462" t="s">
        <v>3538</v>
      </c>
      <c r="AH14" s="3462" t="s">
        <v>633</v>
      </c>
      <c r="AI14" s="3462" t="s">
        <v>633</v>
      </c>
      <c r="AJ14" s="3462" t="s">
        <v>633</v>
      </c>
      <c r="AK14" s="3462" t="s">
        <v>633</v>
      </c>
      <c r="AL14" s="3462" t="s">
        <v>633</v>
      </c>
      <c r="AM14" s="3462" t="s">
        <v>633</v>
      </c>
      <c r="AN14" s="3462" t="s">
        <v>633</v>
      </c>
      <c r="AO14" s="3462" t="s">
        <v>633</v>
      </c>
      <c r="AP14" s="3462" t="s">
        <v>633</v>
      </c>
      <c r="AQ14" s="3462" t="s">
        <v>633</v>
      </c>
      <c r="AR14" s="3462" t="s">
        <v>633</v>
      </c>
      <c r="AS14" s="3462" t="s">
        <v>633</v>
      </c>
    </row>
    <row r="15" spans="1:45">
      <c r="A15" s="3462" t="s">
        <v>3539</v>
      </c>
      <c r="B15" s="3462">
        <v>115.92</v>
      </c>
      <c r="C15" s="3462">
        <v>6950</v>
      </c>
      <c r="D15" s="3462">
        <v>88926</v>
      </c>
      <c r="E15" s="3462" t="s">
        <v>3540</v>
      </c>
      <c r="F15" s="3462">
        <v>112.76</v>
      </c>
      <c r="G15" s="3462">
        <v>6951</v>
      </c>
      <c r="H15" s="3462">
        <v>91676</v>
      </c>
      <c r="I15" s="3462" t="s">
        <v>3541</v>
      </c>
      <c r="J15" s="3462">
        <v>112.13</v>
      </c>
      <c r="K15" s="3462">
        <v>7394</v>
      </c>
      <c r="L15" s="3462">
        <v>91836</v>
      </c>
      <c r="M15" s="3462" t="s">
        <v>3542</v>
      </c>
      <c r="N15" s="3462">
        <v>119.03</v>
      </c>
      <c r="O15" s="3462">
        <v>7131</v>
      </c>
      <c r="P15" s="3462">
        <v>90575</v>
      </c>
      <c r="Q15" s="3462" t="s">
        <v>3543</v>
      </c>
      <c r="R15" s="3462">
        <v>115.52</v>
      </c>
      <c r="S15" s="3462">
        <v>7551</v>
      </c>
      <c r="T15" s="3462">
        <v>90375</v>
      </c>
      <c r="U15" s="3462" t="s">
        <v>3463</v>
      </c>
      <c r="V15" s="3462">
        <v>112.99</v>
      </c>
      <c r="W15" s="3462">
        <v>7465</v>
      </c>
      <c r="X15" s="3462">
        <v>90521</v>
      </c>
      <c r="Y15" s="3462" t="s">
        <v>3544</v>
      </c>
      <c r="Z15" s="3462">
        <v>110.43</v>
      </c>
      <c r="AA15" s="3462">
        <v>7314</v>
      </c>
      <c r="AB15" s="3462">
        <v>89184</v>
      </c>
      <c r="AC15" s="3462" t="s">
        <v>3545</v>
      </c>
      <c r="AD15" s="3462">
        <v>107.9</v>
      </c>
      <c r="AE15" s="3462">
        <v>7286</v>
      </c>
      <c r="AF15" s="3462">
        <v>89839</v>
      </c>
      <c r="AG15" s="3462" t="s">
        <v>3462</v>
      </c>
      <c r="AH15" s="3462">
        <v>109.38</v>
      </c>
      <c r="AI15" s="3462">
        <v>7495</v>
      </c>
      <c r="AJ15" s="3462">
        <v>90772</v>
      </c>
      <c r="AK15" s="3462" t="s">
        <v>3546</v>
      </c>
      <c r="AL15" s="3462">
        <v>107.54</v>
      </c>
      <c r="AM15" s="3462">
        <v>7908</v>
      </c>
      <c r="AN15" s="3462">
        <v>89978</v>
      </c>
      <c r="AO15" s="3462" t="s">
        <v>3547</v>
      </c>
      <c r="AP15" s="3462">
        <v>105.74</v>
      </c>
      <c r="AQ15" s="3462">
        <v>7998</v>
      </c>
      <c r="AR15" s="3462">
        <v>90077</v>
      </c>
      <c r="AS15" s="3462" t="s">
        <v>3548</v>
      </c>
    </row>
    <row r="16" spans="1:45">
      <c r="A16" s="3462" t="s">
        <v>3549</v>
      </c>
      <c r="B16" s="3462">
        <v>114.54</v>
      </c>
      <c r="C16" s="3462">
        <v>5817</v>
      </c>
      <c r="D16" s="3462">
        <v>112373</v>
      </c>
      <c r="E16" s="3462" t="s">
        <v>3518</v>
      </c>
      <c r="F16" s="3462">
        <v>114.84</v>
      </c>
      <c r="G16" s="3462">
        <v>5972</v>
      </c>
      <c r="H16" s="3462">
        <v>114354</v>
      </c>
      <c r="I16" s="3462" t="s">
        <v>3517</v>
      </c>
      <c r="J16" s="3462">
        <v>116.64</v>
      </c>
      <c r="K16" s="3462">
        <v>6155</v>
      </c>
      <c r="L16" s="3462">
        <v>113340</v>
      </c>
      <c r="M16" s="3462" t="s">
        <v>3550</v>
      </c>
      <c r="N16" s="3462">
        <v>112.29</v>
      </c>
      <c r="O16" s="3462">
        <v>5920</v>
      </c>
      <c r="P16" s="3462">
        <v>112768</v>
      </c>
      <c r="Q16" s="3462" t="s">
        <v>3551</v>
      </c>
      <c r="R16" s="3462">
        <v>113.37</v>
      </c>
      <c r="S16" s="3462">
        <v>5948</v>
      </c>
      <c r="T16" s="3462">
        <v>114144</v>
      </c>
      <c r="U16" s="3462" t="s">
        <v>3481</v>
      </c>
      <c r="V16" s="3462">
        <v>117.87</v>
      </c>
      <c r="W16" s="3462">
        <v>6041</v>
      </c>
      <c r="X16" s="3462">
        <v>122894</v>
      </c>
      <c r="Y16" s="3462" t="s">
        <v>3552</v>
      </c>
      <c r="Z16" s="3462">
        <v>114.85</v>
      </c>
      <c r="AA16" s="3462">
        <v>5833</v>
      </c>
      <c r="AB16" s="3462">
        <v>117414</v>
      </c>
      <c r="AC16" s="3462" t="s">
        <v>3553</v>
      </c>
      <c r="AD16" s="3462">
        <v>113.97</v>
      </c>
      <c r="AE16" s="3462">
        <v>5961</v>
      </c>
      <c r="AF16" s="3462">
        <v>116002</v>
      </c>
      <c r="AG16" s="3462" t="s">
        <v>3454</v>
      </c>
      <c r="AH16" s="3462">
        <v>117.37</v>
      </c>
      <c r="AI16" s="3462">
        <v>6111</v>
      </c>
      <c r="AJ16" s="3462">
        <v>121322</v>
      </c>
      <c r="AK16" s="3462" t="s">
        <v>3554</v>
      </c>
      <c r="AL16" s="3462">
        <v>129.34</v>
      </c>
      <c r="AM16" s="3462">
        <v>6091</v>
      </c>
      <c r="AN16" s="3462">
        <v>122568</v>
      </c>
      <c r="AO16" s="3462" t="s">
        <v>3499</v>
      </c>
      <c r="AP16" s="3462">
        <v>128.51</v>
      </c>
      <c r="AQ16" s="3462">
        <v>5860</v>
      </c>
      <c r="AR16" s="3462">
        <v>122977</v>
      </c>
      <c r="AS16" s="3462" t="s">
        <v>3555</v>
      </c>
    </row>
    <row r="17" spans="1:45">
      <c r="A17" s="3462" t="s">
        <v>3556</v>
      </c>
      <c r="B17" s="3462">
        <v>114.32</v>
      </c>
      <c r="C17" s="3462">
        <v>6645</v>
      </c>
      <c r="D17" s="3462">
        <v>98504</v>
      </c>
      <c r="E17" s="3462" t="s">
        <v>3557</v>
      </c>
      <c r="F17" s="3462" t="s">
        <v>633</v>
      </c>
      <c r="G17" s="3462" t="s">
        <v>633</v>
      </c>
      <c r="H17" s="3462" t="s">
        <v>633</v>
      </c>
      <c r="I17" s="3462" t="s">
        <v>633</v>
      </c>
      <c r="J17" s="3462">
        <v>114.42</v>
      </c>
      <c r="K17" s="3462">
        <v>7125</v>
      </c>
      <c r="L17" s="3462">
        <v>103762</v>
      </c>
      <c r="M17" s="3462" t="s">
        <v>3558</v>
      </c>
      <c r="N17" s="3462">
        <v>107.21</v>
      </c>
      <c r="O17" s="3462">
        <v>6745</v>
      </c>
      <c r="P17" s="3462">
        <v>106274</v>
      </c>
      <c r="Q17" s="3462" t="s">
        <v>3559</v>
      </c>
      <c r="R17" s="3462">
        <v>104.89</v>
      </c>
      <c r="S17" s="3462">
        <v>5955</v>
      </c>
      <c r="T17" s="3462">
        <v>107418</v>
      </c>
      <c r="U17" s="3462" t="s">
        <v>3560</v>
      </c>
      <c r="V17" s="3462">
        <v>103.49</v>
      </c>
      <c r="W17" s="3462">
        <v>5925</v>
      </c>
      <c r="X17" s="3462">
        <v>108934</v>
      </c>
      <c r="Y17" s="3462" t="s">
        <v>3561</v>
      </c>
      <c r="Z17" s="3462">
        <v>104.95</v>
      </c>
      <c r="AA17" s="3462">
        <v>5837</v>
      </c>
      <c r="AB17" s="3462">
        <v>110548</v>
      </c>
      <c r="AC17" s="3462" t="s">
        <v>3562</v>
      </c>
      <c r="AD17" s="3462">
        <v>104.72</v>
      </c>
      <c r="AE17" s="3462">
        <v>5728</v>
      </c>
      <c r="AF17" s="3462">
        <v>106518</v>
      </c>
      <c r="AG17" s="3462" t="s">
        <v>3454</v>
      </c>
      <c r="AH17" s="3462">
        <v>99.43</v>
      </c>
      <c r="AI17" s="3462">
        <v>5767</v>
      </c>
      <c r="AJ17" s="3462">
        <v>104929</v>
      </c>
      <c r="AK17" s="3462" t="s">
        <v>3563</v>
      </c>
      <c r="AL17" s="3462">
        <v>103.22</v>
      </c>
      <c r="AM17" s="3462">
        <v>6090</v>
      </c>
      <c r="AN17" s="3462">
        <v>104877</v>
      </c>
      <c r="AO17" s="3462" t="s">
        <v>3564</v>
      </c>
      <c r="AP17" s="3462">
        <v>97.73</v>
      </c>
      <c r="AQ17" s="3462">
        <v>6287</v>
      </c>
      <c r="AR17" s="3462">
        <v>103988</v>
      </c>
      <c r="AS17" s="3462" t="s">
        <v>3565</v>
      </c>
    </row>
    <row r="18" spans="1:45">
      <c r="A18" s="3462" t="s">
        <v>3566</v>
      </c>
      <c r="B18" s="3462">
        <v>114.27</v>
      </c>
      <c r="C18" s="3462">
        <v>10437</v>
      </c>
      <c r="D18" s="3462">
        <v>88413</v>
      </c>
      <c r="E18" s="3462" t="s">
        <v>3567</v>
      </c>
      <c r="F18" s="3462">
        <v>115.8</v>
      </c>
      <c r="G18" s="3462">
        <v>10472</v>
      </c>
      <c r="H18" s="3462">
        <v>89951</v>
      </c>
      <c r="I18" s="3462" t="s">
        <v>3434</v>
      </c>
      <c r="J18" s="3462">
        <v>115.22</v>
      </c>
      <c r="K18" s="3462">
        <v>10445</v>
      </c>
      <c r="L18" s="3462">
        <v>90460</v>
      </c>
      <c r="M18" s="3462" t="s">
        <v>3568</v>
      </c>
      <c r="N18" s="3462">
        <v>111.63</v>
      </c>
      <c r="O18" s="3462">
        <v>10899</v>
      </c>
      <c r="P18" s="3462">
        <v>90883</v>
      </c>
      <c r="Q18" s="3462" t="s">
        <v>3569</v>
      </c>
      <c r="R18" s="3462">
        <v>111.37</v>
      </c>
      <c r="S18" s="3462">
        <v>11196</v>
      </c>
      <c r="T18" s="3462">
        <v>90050</v>
      </c>
      <c r="U18" s="3462" t="s">
        <v>3570</v>
      </c>
      <c r="V18" s="3462">
        <v>98.89</v>
      </c>
      <c r="W18" s="3462">
        <v>7741</v>
      </c>
      <c r="X18" s="3462">
        <v>90711</v>
      </c>
      <c r="Y18" s="3462" t="s">
        <v>3571</v>
      </c>
      <c r="Z18" s="3462">
        <v>99</v>
      </c>
      <c r="AA18" s="3462">
        <v>7784</v>
      </c>
      <c r="AB18" s="3462">
        <v>90156</v>
      </c>
      <c r="AC18" s="3462" t="s">
        <v>3572</v>
      </c>
      <c r="AD18" s="3462">
        <v>102.83</v>
      </c>
      <c r="AE18" s="3462">
        <v>8816</v>
      </c>
      <c r="AF18" s="3462">
        <v>90551</v>
      </c>
      <c r="AG18" s="3462" t="s">
        <v>3573</v>
      </c>
      <c r="AH18" s="3462">
        <v>102.11</v>
      </c>
      <c r="AI18" s="3462">
        <v>8838</v>
      </c>
      <c r="AJ18" s="3462">
        <v>89935</v>
      </c>
      <c r="AK18" s="3462" t="s">
        <v>3573</v>
      </c>
      <c r="AL18" s="3462">
        <v>104.71</v>
      </c>
      <c r="AM18" s="3462">
        <v>9515</v>
      </c>
      <c r="AN18" s="3462">
        <v>90382</v>
      </c>
      <c r="AO18" s="3462" t="s">
        <v>3574</v>
      </c>
      <c r="AP18" s="3462">
        <v>107.01</v>
      </c>
      <c r="AQ18" s="3462">
        <v>9684</v>
      </c>
      <c r="AR18" s="3462">
        <v>91340</v>
      </c>
      <c r="AS18" s="3462" t="s">
        <v>3575</v>
      </c>
    </row>
    <row r="19" spans="1:45">
      <c r="A19" s="3462" t="s">
        <v>3576</v>
      </c>
      <c r="B19" s="3462">
        <v>112.65</v>
      </c>
      <c r="C19" s="3462">
        <v>6083</v>
      </c>
      <c r="D19" s="3462">
        <v>98890</v>
      </c>
      <c r="E19" s="3462" t="s">
        <v>3577</v>
      </c>
      <c r="F19" s="3462" t="s">
        <v>633</v>
      </c>
      <c r="G19" s="3462" t="s">
        <v>633</v>
      </c>
      <c r="H19" s="3462" t="s">
        <v>633</v>
      </c>
      <c r="I19" s="3462" t="s">
        <v>633</v>
      </c>
      <c r="J19" s="3462">
        <v>117.22</v>
      </c>
      <c r="K19" s="3462">
        <v>6028</v>
      </c>
      <c r="L19" s="3462">
        <v>100763</v>
      </c>
      <c r="M19" s="3462" t="s">
        <v>3578</v>
      </c>
      <c r="N19" s="3462" t="s">
        <v>633</v>
      </c>
      <c r="O19" s="3462" t="s">
        <v>633</v>
      </c>
      <c r="P19" s="3462" t="s">
        <v>633</v>
      </c>
      <c r="Q19" s="3462" t="s">
        <v>633</v>
      </c>
      <c r="R19" s="3462">
        <v>97.73</v>
      </c>
      <c r="S19" s="3462">
        <v>5750</v>
      </c>
      <c r="T19" s="3462">
        <v>102771</v>
      </c>
      <c r="U19" s="3462" t="s">
        <v>3455</v>
      </c>
      <c r="V19" s="3462">
        <v>101.93</v>
      </c>
      <c r="W19" s="3462">
        <v>5938</v>
      </c>
      <c r="X19" s="3462">
        <v>101838</v>
      </c>
      <c r="Y19" s="3462" t="s">
        <v>3579</v>
      </c>
      <c r="Z19" s="3462">
        <v>105.16</v>
      </c>
      <c r="AA19" s="3462">
        <v>6113</v>
      </c>
      <c r="AB19" s="3462">
        <v>102694</v>
      </c>
      <c r="AC19" s="3462" t="s">
        <v>3507</v>
      </c>
      <c r="AD19" s="3462" t="s">
        <v>633</v>
      </c>
      <c r="AE19" s="3462" t="s">
        <v>633</v>
      </c>
      <c r="AF19" s="3462" t="s">
        <v>633</v>
      </c>
      <c r="AG19" s="3462" t="s">
        <v>633</v>
      </c>
      <c r="AH19" s="3462" t="s">
        <v>633</v>
      </c>
      <c r="AI19" s="3462" t="s">
        <v>633</v>
      </c>
      <c r="AJ19" s="3462" t="s">
        <v>633</v>
      </c>
      <c r="AK19" s="3462" t="s">
        <v>633</v>
      </c>
      <c r="AL19" s="3462" t="s">
        <v>633</v>
      </c>
      <c r="AM19" s="3462" t="s">
        <v>633</v>
      </c>
      <c r="AN19" s="3462" t="s">
        <v>633</v>
      </c>
      <c r="AO19" s="3462" t="s">
        <v>633</v>
      </c>
      <c r="AP19" s="3462" t="s">
        <v>633</v>
      </c>
      <c r="AQ19" s="3462" t="s">
        <v>633</v>
      </c>
      <c r="AR19" s="3462" t="s">
        <v>633</v>
      </c>
      <c r="AS19" s="3462" t="s">
        <v>633</v>
      </c>
    </row>
    <row r="20" spans="1:45">
      <c r="A20" s="3462" t="s">
        <v>3580</v>
      </c>
      <c r="B20" s="3462">
        <v>112.61</v>
      </c>
      <c r="C20" s="3462">
        <v>5753</v>
      </c>
      <c r="D20" s="3462">
        <v>106677</v>
      </c>
      <c r="E20" s="3462" t="s">
        <v>3499</v>
      </c>
      <c r="F20" s="3462">
        <v>112.57</v>
      </c>
      <c r="G20" s="3462">
        <v>5820</v>
      </c>
      <c r="H20" s="3462">
        <v>110171</v>
      </c>
      <c r="I20" s="3462" t="s">
        <v>3538</v>
      </c>
      <c r="J20" s="3462">
        <v>110.73</v>
      </c>
      <c r="K20" s="3462">
        <v>6146</v>
      </c>
      <c r="L20" s="3462">
        <v>111735</v>
      </c>
      <c r="M20" s="3462" t="s">
        <v>3581</v>
      </c>
      <c r="N20" s="3462">
        <v>109.08</v>
      </c>
      <c r="O20" s="3462">
        <v>6007</v>
      </c>
      <c r="P20" s="3462">
        <v>106354</v>
      </c>
      <c r="Q20" s="3462" t="s">
        <v>3582</v>
      </c>
      <c r="R20" s="3462">
        <v>116.97</v>
      </c>
      <c r="S20" s="3462">
        <v>5836</v>
      </c>
      <c r="T20" s="3462">
        <v>106308</v>
      </c>
      <c r="U20" s="3462" t="s">
        <v>3467</v>
      </c>
      <c r="V20" s="3462">
        <v>112.56</v>
      </c>
      <c r="W20" s="3462">
        <v>6003</v>
      </c>
      <c r="X20" s="3462">
        <v>112195</v>
      </c>
      <c r="Y20" s="3462" t="s">
        <v>3583</v>
      </c>
      <c r="Z20" s="3462" t="s">
        <v>633</v>
      </c>
      <c r="AA20" s="3462" t="s">
        <v>633</v>
      </c>
      <c r="AB20" s="3462" t="s">
        <v>633</v>
      </c>
      <c r="AC20" s="3462" t="s">
        <v>633</v>
      </c>
      <c r="AD20" s="3462">
        <v>98.62</v>
      </c>
      <c r="AE20" s="3462">
        <v>5400</v>
      </c>
      <c r="AF20" s="3462">
        <v>112691</v>
      </c>
      <c r="AG20" s="3462" t="s">
        <v>3530</v>
      </c>
      <c r="AH20" s="3462">
        <v>103.08</v>
      </c>
      <c r="AI20" s="3462">
        <v>5522</v>
      </c>
      <c r="AJ20" s="3462">
        <v>116594</v>
      </c>
      <c r="AK20" s="3462" t="s">
        <v>3584</v>
      </c>
      <c r="AL20" s="3462" t="s">
        <v>633</v>
      </c>
      <c r="AM20" s="3462" t="s">
        <v>633</v>
      </c>
      <c r="AN20" s="3462" t="s">
        <v>633</v>
      </c>
      <c r="AO20" s="3462" t="s">
        <v>633</v>
      </c>
      <c r="AP20" s="3462" t="s">
        <v>633</v>
      </c>
      <c r="AQ20" s="3462" t="s">
        <v>633</v>
      </c>
      <c r="AR20" s="3462" t="s">
        <v>633</v>
      </c>
      <c r="AS20" s="3462" t="s">
        <v>633</v>
      </c>
    </row>
    <row r="21" spans="1:45">
      <c r="A21" s="3462" t="s">
        <v>3585</v>
      </c>
      <c r="B21" s="3462">
        <v>112.41</v>
      </c>
      <c r="C21" s="3462">
        <v>5948</v>
      </c>
      <c r="D21" s="3462">
        <v>108964</v>
      </c>
      <c r="E21" s="3462" t="s">
        <v>3586</v>
      </c>
      <c r="F21" s="3462">
        <v>116.04</v>
      </c>
      <c r="G21" s="3462">
        <v>5930</v>
      </c>
      <c r="H21" s="3462">
        <v>114530</v>
      </c>
      <c r="I21" s="3462" t="s">
        <v>3446</v>
      </c>
      <c r="J21" s="3462">
        <v>114.24</v>
      </c>
      <c r="K21" s="3462">
        <v>5858</v>
      </c>
      <c r="L21" s="3462">
        <v>118334</v>
      </c>
      <c r="M21" s="3462" t="s">
        <v>3587</v>
      </c>
      <c r="N21" s="3462">
        <v>113.35</v>
      </c>
      <c r="O21" s="3462">
        <v>5887</v>
      </c>
      <c r="P21" s="3462">
        <v>123781</v>
      </c>
      <c r="Q21" s="3462" t="s">
        <v>3588</v>
      </c>
      <c r="R21" s="3462">
        <v>116.06</v>
      </c>
      <c r="S21" s="3462">
        <v>5902</v>
      </c>
      <c r="T21" s="3462">
        <v>119273</v>
      </c>
      <c r="U21" s="3462" t="s">
        <v>3589</v>
      </c>
      <c r="V21" s="3462">
        <v>112.69</v>
      </c>
      <c r="W21" s="3462">
        <v>5856</v>
      </c>
      <c r="X21" s="3462">
        <v>120888</v>
      </c>
      <c r="Y21" s="3462" t="s">
        <v>3590</v>
      </c>
      <c r="Z21" s="3462">
        <v>113.83</v>
      </c>
      <c r="AA21" s="3462">
        <v>5799</v>
      </c>
      <c r="AB21" s="3462">
        <v>119545</v>
      </c>
      <c r="AC21" s="3462" t="s">
        <v>3591</v>
      </c>
      <c r="AD21" s="3462">
        <v>112.62</v>
      </c>
      <c r="AE21" s="3462">
        <v>5883</v>
      </c>
      <c r="AF21" s="3462">
        <v>115427</v>
      </c>
      <c r="AG21" s="3462" t="s">
        <v>3560</v>
      </c>
      <c r="AH21" s="3462">
        <v>106.06</v>
      </c>
      <c r="AI21" s="3462">
        <v>6089</v>
      </c>
      <c r="AJ21" s="3462">
        <v>118070</v>
      </c>
      <c r="AK21" s="3462" t="s">
        <v>3592</v>
      </c>
      <c r="AL21" s="3462">
        <v>102.41</v>
      </c>
      <c r="AM21" s="3462">
        <v>6458</v>
      </c>
      <c r="AN21" s="3462">
        <v>107917</v>
      </c>
      <c r="AO21" s="3462" t="s">
        <v>3562</v>
      </c>
      <c r="AP21" s="3462">
        <v>105.12</v>
      </c>
      <c r="AQ21" s="3462">
        <v>5855</v>
      </c>
      <c r="AR21" s="3462">
        <v>106297</v>
      </c>
      <c r="AS21" s="3462" t="s">
        <v>3478</v>
      </c>
    </row>
    <row r="22" spans="1:45">
      <c r="A22" s="3462" t="s">
        <v>3593</v>
      </c>
      <c r="B22" s="3462">
        <v>112.29</v>
      </c>
      <c r="C22" s="3462">
        <v>6280</v>
      </c>
      <c r="D22" s="3462">
        <v>102562</v>
      </c>
      <c r="E22" s="3462" t="s">
        <v>3594</v>
      </c>
      <c r="F22" s="3462">
        <v>119.01</v>
      </c>
      <c r="G22" s="3462">
        <v>6078</v>
      </c>
      <c r="H22" s="3462">
        <v>105410</v>
      </c>
      <c r="I22" s="3462" t="s">
        <v>3460</v>
      </c>
      <c r="J22" s="3462">
        <v>107.17</v>
      </c>
      <c r="K22" s="3462">
        <v>6350</v>
      </c>
      <c r="L22" s="3462">
        <v>107227</v>
      </c>
      <c r="M22" s="3462" t="s">
        <v>3595</v>
      </c>
      <c r="N22" s="3462">
        <v>108.89</v>
      </c>
      <c r="O22" s="3462">
        <v>6159</v>
      </c>
      <c r="P22" s="3462">
        <v>108823</v>
      </c>
      <c r="Q22" s="3462" t="s">
        <v>3579</v>
      </c>
      <c r="R22" s="3462">
        <v>108.66</v>
      </c>
      <c r="S22" s="3462">
        <v>6024</v>
      </c>
      <c r="T22" s="3462">
        <v>109672</v>
      </c>
      <c r="U22" s="3462" t="s">
        <v>3581</v>
      </c>
      <c r="V22" s="3462">
        <v>103.42</v>
      </c>
      <c r="W22" s="3462">
        <v>5879</v>
      </c>
      <c r="X22" s="3462">
        <v>111086</v>
      </c>
      <c r="Y22" s="3462" t="s">
        <v>3596</v>
      </c>
      <c r="Z22" s="3462">
        <v>103.81</v>
      </c>
      <c r="AA22" s="3462">
        <v>5819</v>
      </c>
      <c r="AB22" s="3462">
        <v>112512</v>
      </c>
      <c r="AC22" s="3462" t="s">
        <v>3597</v>
      </c>
      <c r="AD22" s="3462">
        <v>105.45</v>
      </c>
      <c r="AE22" s="3462">
        <v>5688</v>
      </c>
      <c r="AF22" s="3462">
        <v>111365</v>
      </c>
      <c r="AG22" s="3462" t="s">
        <v>3598</v>
      </c>
      <c r="AH22" s="3462">
        <v>104.15</v>
      </c>
      <c r="AI22" s="3462">
        <v>5326</v>
      </c>
      <c r="AJ22" s="3462">
        <v>108988</v>
      </c>
      <c r="AK22" s="3462" t="s">
        <v>3599</v>
      </c>
      <c r="AL22" s="3462">
        <v>105.73</v>
      </c>
      <c r="AM22" s="3462">
        <v>5592</v>
      </c>
      <c r="AN22" s="3462">
        <v>107965</v>
      </c>
      <c r="AO22" s="3462" t="s">
        <v>3600</v>
      </c>
      <c r="AP22" s="3462">
        <v>107.43</v>
      </c>
      <c r="AQ22" s="3462">
        <v>5600</v>
      </c>
      <c r="AR22" s="3462">
        <v>106650</v>
      </c>
      <c r="AS22" s="3462" t="s">
        <v>3601</v>
      </c>
    </row>
    <row r="23" spans="1:45">
      <c r="A23" s="3462" t="s">
        <v>3602</v>
      </c>
      <c r="B23" s="3462">
        <v>112.28</v>
      </c>
      <c r="C23" s="3462">
        <v>5800</v>
      </c>
      <c r="D23" s="3462">
        <v>97915</v>
      </c>
      <c r="E23" s="3462" t="s">
        <v>3603</v>
      </c>
      <c r="F23" s="3462">
        <v>114.12</v>
      </c>
      <c r="G23" s="3462">
        <v>5762</v>
      </c>
      <c r="H23" s="3462">
        <v>100090</v>
      </c>
      <c r="I23" s="3462" t="s">
        <v>3577</v>
      </c>
      <c r="J23" s="3462">
        <v>110.51</v>
      </c>
      <c r="K23" s="3462">
        <v>5750</v>
      </c>
      <c r="L23" s="3462">
        <v>100644</v>
      </c>
      <c r="M23" s="3462" t="s">
        <v>3572</v>
      </c>
      <c r="N23" s="3462">
        <v>108.36</v>
      </c>
      <c r="O23" s="3462">
        <v>5631</v>
      </c>
      <c r="P23" s="3462">
        <v>100876</v>
      </c>
      <c r="Q23" s="3462" t="s">
        <v>3513</v>
      </c>
      <c r="R23" s="3462">
        <v>110.08</v>
      </c>
      <c r="S23" s="3462">
        <v>5619</v>
      </c>
      <c r="T23" s="3462">
        <v>102391</v>
      </c>
      <c r="U23" s="3462" t="s">
        <v>3513</v>
      </c>
      <c r="V23" s="3462">
        <v>110.09</v>
      </c>
      <c r="W23" s="3462">
        <v>5473</v>
      </c>
      <c r="X23" s="3462">
        <v>103231</v>
      </c>
      <c r="Y23" s="3462" t="s">
        <v>3502</v>
      </c>
      <c r="Z23" s="3462">
        <v>107.43</v>
      </c>
      <c r="AA23" s="3462">
        <v>5330</v>
      </c>
      <c r="AB23" s="3462">
        <v>103684</v>
      </c>
      <c r="AC23" s="3462" t="s">
        <v>3443</v>
      </c>
      <c r="AD23" s="3462">
        <v>106.91</v>
      </c>
      <c r="AE23" s="3462">
        <v>5564</v>
      </c>
      <c r="AF23" s="3462">
        <v>102999</v>
      </c>
      <c r="AG23" s="3462" t="s">
        <v>3536</v>
      </c>
      <c r="AH23" s="3462">
        <v>110.7</v>
      </c>
      <c r="AI23" s="3462">
        <v>5667</v>
      </c>
      <c r="AJ23" s="3462">
        <v>103062</v>
      </c>
      <c r="AK23" s="3462" t="s">
        <v>3604</v>
      </c>
      <c r="AL23" s="3462">
        <v>117</v>
      </c>
      <c r="AM23" s="3462">
        <v>5678</v>
      </c>
      <c r="AN23" s="3462">
        <v>101997</v>
      </c>
      <c r="AO23" s="3462" t="s">
        <v>3605</v>
      </c>
      <c r="AP23" s="3462">
        <v>115.62</v>
      </c>
      <c r="AQ23" s="3462">
        <v>5683</v>
      </c>
      <c r="AR23" s="3462">
        <v>102646</v>
      </c>
      <c r="AS23" s="3462" t="s">
        <v>3606</v>
      </c>
    </row>
    <row r="24" spans="1:45">
      <c r="A24" s="3462" t="s">
        <v>3607</v>
      </c>
      <c r="B24" s="3462">
        <v>112.16</v>
      </c>
      <c r="C24" s="3462">
        <v>5986</v>
      </c>
      <c r="D24" s="3462">
        <v>96842</v>
      </c>
      <c r="E24" s="3462" t="s">
        <v>3574</v>
      </c>
      <c r="F24" s="3462">
        <v>111.74</v>
      </c>
      <c r="G24" s="3462">
        <v>6029</v>
      </c>
      <c r="H24" s="3462">
        <v>101956</v>
      </c>
      <c r="I24" s="3462" t="s">
        <v>3608</v>
      </c>
      <c r="J24" s="3462">
        <v>110.45</v>
      </c>
      <c r="K24" s="3462">
        <v>6441</v>
      </c>
      <c r="L24" s="3462">
        <v>101378</v>
      </c>
      <c r="M24" s="3462" t="s">
        <v>3571</v>
      </c>
      <c r="N24" s="3462">
        <v>109.31</v>
      </c>
      <c r="O24" s="3462">
        <v>7353</v>
      </c>
      <c r="P24" s="3462">
        <v>101945</v>
      </c>
      <c r="Q24" s="3462" t="s">
        <v>3609</v>
      </c>
      <c r="R24" s="3462">
        <v>107.45</v>
      </c>
      <c r="S24" s="3462">
        <v>6956</v>
      </c>
      <c r="T24" s="3462">
        <v>103789</v>
      </c>
      <c r="U24" s="3462" t="s">
        <v>3443</v>
      </c>
      <c r="V24" s="3462">
        <v>110.38</v>
      </c>
      <c r="W24" s="3462">
        <v>6389</v>
      </c>
      <c r="X24" s="3462">
        <v>103509</v>
      </c>
      <c r="Y24" s="3462" t="s">
        <v>3502</v>
      </c>
      <c r="Z24" s="3462">
        <v>107.71</v>
      </c>
      <c r="AA24" s="3462">
        <v>6647</v>
      </c>
      <c r="AB24" s="3462">
        <v>102977</v>
      </c>
      <c r="AC24" s="3462" t="s">
        <v>3555</v>
      </c>
      <c r="AD24" s="3462">
        <v>102.44</v>
      </c>
      <c r="AE24" s="3462">
        <v>6225</v>
      </c>
      <c r="AF24" s="3462">
        <v>105017</v>
      </c>
      <c r="AG24" s="3462" t="s">
        <v>3610</v>
      </c>
      <c r="AH24" s="3462">
        <v>106.14</v>
      </c>
      <c r="AI24" s="3462">
        <v>5509</v>
      </c>
      <c r="AJ24" s="3462">
        <v>105101</v>
      </c>
      <c r="AK24" s="3462" t="s">
        <v>3516</v>
      </c>
      <c r="AL24" s="3462">
        <v>108.21</v>
      </c>
      <c r="AM24" s="3462">
        <v>5968</v>
      </c>
      <c r="AN24" s="3462">
        <v>104426</v>
      </c>
      <c r="AO24" s="3462" t="s">
        <v>3443</v>
      </c>
      <c r="AP24" s="3462">
        <v>106.39</v>
      </c>
      <c r="AQ24" s="3462">
        <v>6245</v>
      </c>
      <c r="AR24" s="3462">
        <v>105262</v>
      </c>
      <c r="AS24" s="3462" t="s">
        <v>3466</v>
      </c>
    </row>
    <row r="25" spans="1:45">
      <c r="A25" s="3462" t="s">
        <v>3611</v>
      </c>
      <c r="B25" s="3462">
        <v>112.14</v>
      </c>
      <c r="C25" s="3462">
        <v>5336</v>
      </c>
      <c r="D25" s="3462">
        <v>111879</v>
      </c>
      <c r="E25" s="3462" t="s">
        <v>3612</v>
      </c>
      <c r="F25" s="3462">
        <v>106.09</v>
      </c>
      <c r="G25" s="3462">
        <v>5136</v>
      </c>
      <c r="H25" s="3462">
        <v>114367</v>
      </c>
      <c r="I25" s="3462" t="s">
        <v>3613</v>
      </c>
      <c r="J25" s="3462">
        <v>111.34</v>
      </c>
      <c r="K25" s="3462">
        <v>5299</v>
      </c>
      <c r="L25" s="3462">
        <v>115204</v>
      </c>
      <c r="M25" s="3462" t="s">
        <v>3614</v>
      </c>
      <c r="N25" s="3462">
        <v>117.69</v>
      </c>
      <c r="O25" s="3462">
        <v>5566</v>
      </c>
      <c r="P25" s="3462">
        <v>116325</v>
      </c>
      <c r="Q25" s="3462" t="s">
        <v>3509</v>
      </c>
      <c r="R25" s="3462">
        <v>119.96</v>
      </c>
      <c r="S25" s="3462">
        <v>5666</v>
      </c>
      <c r="T25" s="3462">
        <v>118772</v>
      </c>
      <c r="U25" s="3462" t="s">
        <v>3516</v>
      </c>
      <c r="V25" s="3462">
        <v>112.58</v>
      </c>
      <c r="W25" s="3462">
        <v>5402</v>
      </c>
      <c r="X25" s="3462">
        <v>127077</v>
      </c>
      <c r="Y25" s="3462" t="s">
        <v>3615</v>
      </c>
      <c r="Z25" s="3462">
        <v>109.11</v>
      </c>
      <c r="AA25" s="3462">
        <v>5442</v>
      </c>
      <c r="AB25" s="3462">
        <v>126554</v>
      </c>
      <c r="AC25" s="3462" t="s">
        <v>3616</v>
      </c>
      <c r="AD25" s="3462">
        <v>110.52</v>
      </c>
      <c r="AE25" s="3462">
        <v>5345</v>
      </c>
      <c r="AF25" s="3462">
        <v>132893</v>
      </c>
      <c r="AG25" s="3462" t="s">
        <v>3617</v>
      </c>
      <c r="AH25" s="3462">
        <v>112.31</v>
      </c>
      <c r="AI25" s="3462">
        <v>5088</v>
      </c>
      <c r="AJ25" s="3462">
        <v>131764</v>
      </c>
      <c r="AK25" s="3462" t="s">
        <v>3618</v>
      </c>
      <c r="AL25" s="3462">
        <v>109.4</v>
      </c>
      <c r="AM25" s="3462">
        <v>5307</v>
      </c>
      <c r="AN25" s="3462">
        <v>121941</v>
      </c>
      <c r="AO25" s="3462" t="s">
        <v>3619</v>
      </c>
      <c r="AP25" s="3462">
        <v>105.93</v>
      </c>
      <c r="AQ25" s="3462">
        <v>5267</v>
      </c>
      <c r="AR25" s="3462">
        <v>117913</v>
      </c>
      <c r="AS25" s="3462" t="s">
        <v>3592</v>
      </c>
    </row>
    <row r="26" spans="1:45">
      <c r="A26" s="3462" t="s">
        <v>3620</v>
      </c>
      <c r="B26" s="3462">
        <v>112.06</v>
      </c>
      <c r="C26" s="3462">
        <v>8007</v>
      </c>
      <c r="D26" s="3462">
        <v>118861</v>
      </c>
      <c r="E26" s="3462" t="s">
        <v>3451</v>
      </c>
      <c r="F26" s="3462">
        <v>114.52</v>
      </c>
      <c r="G26" s="3462">
        <v>7860</v>
      </c>
      <c r="H26" s="3462">
        <v>118420</v>
      </c>
      <c r="I26" s="3462" t="s">
        <v>3614</v>
      </c>
      <c r="J26" s="3462">
        <v>114.64</v>
      </c>
      <c r="K26" s="3462">
        <v>7636</v>
      </c>
      <c r="L26" s="3462">
        <v>118667</v>
      </c>
      <c r="M26" s="3462" t="s">
        <v>3587</v>
      </c>
      <c r="N26" s="3462">
        <v>112.4</v>
      </c>
      <c r="O26" s="3462">
        <v>7371</v>
      </c>
      <c r="P26" s="3462">
        <v>120353</v>
      </c>
      <c r="Q26" s="3462" t="s">
        <v>3529</v>
      </c>
      <c r="R26" s="3462">
        <v>115.33</v>
      </c>
      <c r="S26" s="3462">
        <v>8043</v>
      </c>
      <c r="T26" s="3462">
        <v>121163</v>
      </c>
      <c r="U26" s="3462" t="s">
        <v>3591</v>
      </c>
      <c r="V26" s="3462">
        <v>115.05</v>
      </c>
      <c r="W26" s="3462">
        <v>8266</v>
      </c>
      <c r="X26" s="3462">
        <v>123089</v>
      </c>
      <c r="Y26" s="3462" t="s">
        <v>3486</v>
      </c>
      <c r="Z26" s="3462">
        <v>110.71</v>
      </c>
      <c r="AA26" s="3462">
        <v>8202</v>
      </c>
      <c r="AB26" s="3462">
        <v>125685</v>
      </c>
      <c r="AC26" s="3462" t="s">
        <v>3621</v>
      </c>
      <c r="AD26" s="3462">
        <v>105.89</v>
      </c>
      <c r="AE26" s="3462">
        <v>8815</v>
      </c>
      <c r="AF26" s="3462">
        <v>126524</v>
      </c>
      <c r="AG26" s="3462" t="s">
        <v>3489</v>
      </c>
      <c r="AH26" s="3462">
        <v>108.83</v>
      </c>
      <c r="AI26" s="3462">
        <v>9440</v>
      </c>
      <c r="AJ26" s="3462">
        <v>119741</v>
      </c>
      <c r="AK26" s="3462" t="s">
        <v>3622</v>
      </c>
      <c r="AL26" s="3462">
        <v>109.53</v>
      </c>
      <c r="AM26" s="3462">
        <v>9526</v>
      </c>
      <c r="AN26" s="3462">
        <v>118055</v>
      </c>
      <c r="AO26" s="3462" t="s">
        <v>3623</v>
      </c>
      <c r="AP26" s="3462">
        <v>108.71</v>
      </c>
      <c r="AQ26" s="3462">
        <v>9645</v>
      </c>
      <c r="AR26" s="3462">
        <v>115552</v>
      </c>
      <c r="AS26" s="3462" t="s">
        <v>3473</v>
      </c>
    </row>
    <row r="27" spans="1:45">
      <c r="A27" s="3462" t="s">
        <v>3624</v>
      </c>
      <c r="B27" s="3462">
        <v>111.99</v>
      </c>
      <c r="C27" s="3462">
        <v>10704</v>
      </c>
      <c r="D27" s="3462">
        <v>119799</v>
      </c>
      <c r="E27" s="3462" t="s">
        <v>3486</v>
      </c>
      <c r="F27" s="3462">
        <v>113.48</v>
      </c>
      <c r="G27" s="3462">
        <v>11378</v>
      </c>
      <c r="H27" s="3462">
        <v>120557</v>
      </c>
      <c r="I27" s="3462" t="s">
        <v>3473</v>
      </c>
      <c r="J27" s="3462">
        <v>117.16</v>
      </c>
      <c r="K27" s="3462">
        <v>11616</v>
      </c>
      <c r="L27" s="3462">
        <v>120555</v>
      </c>
      <c r="M27" s="3462" t="s">
        <v>3448</v>
      </c>
      <c r="N27" s="3462">
        <v>118.28</v>
      </c>
      <c r="O27" s="3462">
        <v>11272</v>
      </c>
      <c r="P27" s="3462">
        <v>123320</v>
      </c>
      <c r="Q27" s="3462" t="s">
        <v>3552</v>
      </c>
      <c r="R27" s="3462">
        <v>121.74</v>
      </c>
      <c r="S27" s="3462">
        <v>10343</v>
      </c>
      <c r="T27" s="3462">
        <v>123697</v>
      </c>
      <c r="U27" s="3462" t="s">
        <v>3564</v>
      </c>
      <c r="V27" s="3462">
        <v>120.43</v>
      </c>
      <c r="W27" s="3462">
        <v>9924</v>
      </c>
      <c r="X27" s="3462">
        <v>125041</v>
      </c>
      <c r="Y27" s="3462" t="s">
        <v>3477</v>
      </c>
      <c r="Z27" s="3462">
        <v>120.25</v>
      </c>
      <c r="AA27" s="3462">
        <v>9846</v>
      </c>
      <c r="AB27" s="3462">
        <v>122532</v>
      </c>
      <c r="AC27" s="3462" t="s">
        <v>3498</v>
      </c>
      <c r="AD27" s="3462">
        <v>115.12</v>
      </c>
      <c r="AE27" s="3462">
        <v>11384</v>
      </c>
      <c r="AF27" s="3462">
        <v>121141</v>
      </c>
      <c r="AG27" s="3462" t="s">
        <v>3561</v>
      </c>
      <c r="AH27" s="3462">
        <v>113.6</v>
      </c>
      <c r="AI27" s="3462">
        <v>12663</v>
      </c>
      <c r="AJ27" s="3462">
        <v>121866</v>
      </c>
      <c r="AK27" s="3462" t="s">
        <v>3590</v>
      </c>
      <c r="AL27" s="3462">
        <v>110.07</v>
      </c>
      <c r="AM27" s="3462">
        <v>12826</v>
      </c>
      <c r="AN27" s="3462">
        <v>123044</v>
      </c>
      <c r="AO27" s="3462" t="s">
        <v>3625</v>
      </c>
      <c r="AP27" s="3462">
        <v>110.26</v>
      </c>
      <c r="AQ27" s="3462">
        <v>11475</v>
      </c>
      <c r="AR27" s="3462">
        <v>123695</v>
      </c>
      <c r="AS27" s="3462" t="s">
        <v>3626</v>
      </c>
    </row>
    <row r="28" spans="1:45">
      <c r="A28" s="3462" t="s">
        <v>3627</v>
      </c>
      <c r="B28" s="3462">
        <v>111.83</v>
      </c>
      <c r="C28" s="3462">
        <v>6385</v>
      </c>
      <c r="D28" s="3462">
        <v>120102</v>
      </c>
      <c r="E28" s="3462" t="s">
        <v>3628</v>
      </c>
      <c r="F28" s="3462">
        <v>111.6</v>
      </c>
      <c r="G28" s="3462">
        <v>6339</v>
      </c>
      <c r="H28" s="3462">
        <v>118982</v>
      </c>
      <c r="I28" s="3462" t="s">
        <v>3629</v>
      </c>
      <c r="J28" s="3462">
        <v>112.03</v>
      </c>
      <c r="K28" s="3462">
        <v>6337</v>
      </c>
      <c r="L28" s="3462">
        <v>119624</v>
      </c>
      <c r="M28" s="3462" t="s">
        <v>3630</v>
      </c>
      <c r="N28" s="3462">
        <v>109.83</v>
      </c>
      <c r="O28" s="3462">
        <v>6556</v>
      </c>
      <c r="P28" s="3462">
        <v>120018</v>
      </c>
      <c r="Q28" s="3462" t="s">
        <v>3588</v>
      </c>
      <c r="R28" s="3462">
        <v>111.66</v>
      </c>
      <c r="S28" s="3462">
        <v>6890</v>
      </c>
      <c r="T28" s="3462">
        <v>120762</v>
      </c>
      <c r="U28" s="3462" t="s">
        <v>3631</v>
      </c>
      <c r="V28" s="3462">
        <v>114.43</v>
      </c>
      <c r="W28" s="3462">
        <v>6910</v>
      </c>
      <c r="X28" s="3462">
        <v>122315</v>
      </c>
      <c r="Y28" s="3462" t="s">
        <v>3483</v>
      </c>
      <c r="Z28" s="3462">
        <v>114.8</v>
      </c>
      <c r="AA28" s="3462">
        <v>6916</v>
      </c>
      <c r="AB28" s="3462">
        <v>125403</v>
      </c>
      <c r="AC28" s="3462" t="s">
        <v>3588</v>
      </c>
      <c r="AD28" s="3462">
        <v>114.05</v>
      </c>
      <c r="AE28" s="3462">
        <v>6769</v>
      </c>
      <c r="AF28" s="3462">
        <v>123025</v>
      </c>
      <c r="AG28" s="3462" t="s">
        <v>3613</v>
      </c>
      <c r="AH28" s="3462">
        <v>111.82</v>
      </c>
      <c r="AI28" s="3462">
        <v>6275</v>
      </c>
      <c r="AJ28" s="3462">
        <v>120204</v>
      </c>
      <c r="AK28" s="3462" t="s">
        <v>3596</v>
      </c>
      <c r="AL28" s="3462">
        <v>110.11</v>
      </c>
      <c r="AM28" s="3462">
        <v>5851</v>
      </c>
      <c r="AN28" s="3462">
        <v>120389</v>
      </c>
      <c r="AO28" s="3462" t="s">
        <v>3632</v>
      </c>
      <c r="AP28" s="3462">
        <v>109.44</v>
      </c>
      <c r="AQ28" s="3462">
        <v>5958</v>
      </c>
      <c r="AR28" s="3462">
        <v>119820</v>
      </c>
      <c r="AS28" s="3462" t="s">
        <v>3633</v>
      </c>
    </row>
    <row r="29" spans="1:45">
      <c r="A29" s="3462" t="s">
        <v>3634</v>
      </c>
      <c r="B29" s="3462">
        <v>111.63</v>
      </c>
      <c r="C29" s="3462">
        <v>5368</v>
      </c>
      <c r="D29" s="3462">
        <v>110400</v>
      </c>
      <c r="E29" s="3462" t="s">
        <v>3509</v>
      </c>
      <c r="F29" s="3462">
        <v>109.97</v>
      </c>
      <c r="G29" s="3462">
        <v>5573</v>
      </c>
      <c r="H29" s="3462">
        <v>110984</v>
      </c>
      <c r="I29" s="3462" t="s">
        <v>3581</v>
      </c>
      <c r="J29" s="3462">
        <v>111.14</v>
      </c>
      <c r="K29" s="3462">
        <v>5632</v>
      </c>
      <c r="L29" s="3462">
        <v>111478</v>
      </c>
      <c r="M29" s="3462" t="s">
        <v>3635</v>
      </c>
      <c r="N29" s="3462">
        <v>113.01</v>
      </c>
      <c r="O29" s="3462">
        <v>5637</v>
      </c>
      <c r="P29" s="3462">
        <v>112401</v>
      </c>
      <c r="Q29" s="3462" t="s">
        <v>3636</v>
      </c>
      <c r="R29" s="3462">
        <v>114.02</v>
      </c>
      <c r="S29" s="3462">
        <v>5817</v>
      </c>
      <c r="T29" s="3462">
        <v>112374</v>
      </c>
      <c r="U29" s="3462" t="s">
        <v>3637</v>
      </c>
      <c r="V29" s="3462">
        <v>108.53</v>
      </c>
      <c r="W29" s="3462">
        <v>5777</v>
      </c>
      <c r="X29" s="3462">
        <v>111343</v>
      </c>
      <c r="Y29" s="3462" t="s">
        <v>3610</v>
      </c>
      <c r="Z29" s="3462">
        <v>105.41</v>
      </c>
      <c r="AA29" s="3462">
        <v>5585</v>
      </c>
      <c r="AB29" s="3462">
        <v>114507</v>
      </c>
      <c r="AC29" s="3462" t="s">
        <v>3638</v>
      </c>
      <c r="AD29" s="3462">
        <v>106.93</v>
      </c>
      <c r="AE29" s="3462">
        <v>5605</v>
      </c>
      <c r="AF29" s="3462">
        <v>113595</v>
      </c>
      <c r="AG29" s="3462" t="s">
        <v>3473</v>
      </c>
      <c r="AH29" s="3462">
        <v>112.33</v>
      </c>
      <c r="AI29" s="3462">
        <v>5685</v>
      </c>
      <c r="AJ29" s="3462">
        <v>114067</v>
      </c>
      <c r="AK29" s="3462" t="s">
        <v>3474</v>
      </c>
      <c r="AL29" s="3462">
        <v>116.32</v>
      </c>
      <c r="AM29" s="3462">
        <v>5887</v>
      </c>
      <c r="AN29" s="3462">
        <v>114789</v>
      </c>
      <c r="AO29" s="3462" t="s">
        <v>3446</v>
      </c>
      <c r="AP29" s="3462">
        <v>116.41</v>
      </c>
      <c r="AQ29" s="3462">
        <v>5875</v>
      </c>
      <c r="AR29" s="3462">
        <v>116814</v>
      </c>
      <c r="AS29" s="3462" t="s">
        <v>3635</v>
      </c>
    </row>
    <row r="30" spans="1:45">
      <c r="A30" s="3462" t="s">
        <v>3639</v>
      </c>
      <c r="B30" s="3462">
        <v>111.52</v>
      </c>
      <c r="C30" s="3462">
        <v>6413</v>
      </c>
      <c r="D30" s="3462">
        <v>88823</v>
      </c>
      <c r="E30" s="3462" t="s">
        <v>3640</v>
      </c>
      <c r="F30" s="3462">
        <v>115.16</v>
      </c>
      <c r="G30" s="3462">
        <v>6700</v>
      </c>
      <c r="H30" s="3462">
        <v>97672</v>
      </c>
      <c r="I30" s="3462" t="s">
        <v>3641</v>
      </c>
      <c r="J30" s="3462">
        <v>120.14</v>
      </c>
      <c r="K30" s="3462">
        <v>6958</v>
      </c>
      <c r="L30" s="3462">
        <v>96536</v>
      </c>
      <c r="M30" s="3462" t="s">
        <v>3642</v>
      </c>
      <c r="N30" s="3462">
        <v>125.31</v>
      </c>
      <c r="O30" s="3462">
        <v>6483</v>
      </c>
      <c r="P30" s="3462">
        <v>96688</v>
      </c>
      <c r="Q30" s="3462" t="s">
        <v>3643</v>
      </c>
      <c r="R30" s="3462">
        <v>124.22</v>
      </c>
      <c r="S30" s="3462">
        <v>6607</v>
      </c>
      <c r="T30" s="3462">
        <v>97165</v>
      </c>
      <c r="U30" s="3462" t="s">
        <v>3463</v>
      </c>
      <c r="V30" s="3462">
        <v>119.71</v>
      </c>
      <c r="W30" s="3462">
        <v>6105</v>
      </c>
      <c r="X30" s="3462">
        <v>100588</v>
      </c>
      <c r="Y30" s="3462" t="s">
        <v>3644</v>
      </c>
      <c r="Z30" s="3462">
        <v>112.38</v>
      </c>
      <c r="AA30" s="3462">
        <v>5144</v>
      </c>
      <c r="AB30" s="3462">
        <v>101580</v>
      </c>
      <c r="AC30" s="3462" t="s">
        <v>3645</v>
      </c>
      <c r="AD30" s="3462">
        <v>110.72</v>
      </c>
      <c r="AE30" s="3462">
        <v>5262</v>
      </c>
      <c r="AF30" s="3462">
        <v>97207</v>
      </c>
      <c r="AG30" s="3462" t="s">
        <v>3577</v>
      </c>
      <c r="AH30" s="3462">
        <v>113.05</v>
      </c>
      <c r="AI30" s="3462">
        <v>5110</v>
      </c>
      <c r="AJ30" s="3462">
        <v>98442</v>
      </c>
      <c r="AK30" s="3462" t="s">
        <v>3646</v>
      </c>
      <c r="AL30" s="3462">
        <v>115.11</v>
      </c>
      <c r="AM30" s="3462">
        <v>5055</v>
      </c>
      <c r="AN30" s="3462">
        <v>98427</v>
      </c>
      <c r="AO30" s="3462" t="s">
        <v>3647</v>
      </c>
      <c r="AP30" s="3462">
        <v>118.32</v>
      </c>
      <c r="AQ30" s="3462">
        <v>5289</v>
      </c>
      <c r="AR30" s="3462">
        <v>96675</v>
      </c>
      <c r="AS30" s="3462" t="s">
        <v>3648</v>
      </c>
    </row>
    <row r="31" spans="1:45">
      <c r="A31" s="3462" t="s">
        <v>3649</v>
      </c>
      <c r="B31" s="3462">
        <v>110.68</v>
      </c>
      <c r="C31" s="3462">
        <v>5716</v>
      </c>
      <c r="D31" s="3462">
        <v>110880</v>
      </c>
      <c r="E31" s="3462" t="s">
        <v>3650</v>
      </c>
      <c r="F31" s="3462">
        <v>114.73</v>
      </c>
      <c r="G31" s="3462">
        <v>5825</v>
      </c>
      <c r="H31" s="3462">
        <v>112320</v>
      </c>
      <c r="I31" s="3462" t="s">
        <v>3538</v>
      </c>
      <c r="J31" s="3462">
        <v>113.67</v>
      </c>
      <c r="K31" s="3462">
        <v>6003</v>
      </c>
      <c r="L31" s="3462">
        <v>113438</v>
      </c>
      <c r="M31" s="3462" t="s">
        <v>3612</v>
      </c>
      <c r="N31" s="3462">
        <v>113.92</v>
      </c>
      <c r="O31" s="3462">
        <v>6146</v>
      </c>
      <c r="P31" s="3462">
        <v>114215</v>
      </c>
      <c r="Q31" s="3462" t="s">
        <v>3528</v>
      </c>
      <c r="R31" s="3462">
        <v>115.34</v>
      </c>
      <c r="S31" s="3462">
        <v>6101</v>
      </c>
      <c r="T31" s="3462">
        <v>114252</v>
      </c>
      <c r="U31" s="3462" t="s">
        <v>3516</v>
      </c>
      <c r="V31" s="3462">
        <v>114.59</v>
      </c>
      <c r="W31" s="3462">
        <v>6096</v>
      </c>
      <c r="X31" s="3462">
        <v>114501</v>
      </c>
      <c r="Y31" s="3462" t="s">
        <v>3579</v>
      </c>
      <c r="Z31" s="3462">
        <v>109.05</v>
      </c>
      <c r="AA31" s="3462">
        <v>6040</v>
      </c>
      <c r="AB31" s="3462">
        <v>114763</v>
      </c>
      <c r="AC31" s="3462" t="s">
        <v>3561</v>
      </c>
      <c r="AD31" s="3462">
        <v>110.08</v>
      </c>
      <c r="AE31" s="3462">
        <v>5982</v>
      </c>
      <c r="AF31" s="3462">
        <v>115030</v>
      </c>
      <c r="AG31" s="3462" t="s">
        <v>3651</v>
      </c>
      <c r="AH31" s="3462">
        <v>115.89</v>
      </c>
      <c r="AI31" s="3462">
        <v>5950</v>
      </c>
      <c r="AJ31" s="3462">
        <v>117208</v>
      </c>
      <c r="AK31" s="3462" t="s">
        <v>3478</v>
      </c>
      <c r="AL31" s="3462">
        <v>113.06</v>
      </c>
      <c r="AM31" s="3462">
        <v>5905</v>
      </c>
      <c r="AN31" s="3462">
        <v>116194</v>
      </c>
      <c r="AO31" s="3462" t="s">
        <v>3589</v>
      </c>
      <c r="AP31" s="3462">
        <v>105.59</v>
      </c>
      <c r="AQ31" s="3462">
        <v>5623</v>
      </c>
      <c r="AR31" s="3462">
        <v>112256</v>
      </c>
      <c r="AS31" s="3462" t="s">
        <v>3652</v>
      </c>
    </row>
    <row r="32" spans="1:45">
      <c r="A32" s="3462" t="s">
        <v>3653</v>
      </c>
      <c r="B32" s="3462">
        <v>110.52</v>
      </c>
      <c r="C32" s="3462">
        <v>5433</v>
      </c>
      <c r="D32" s="3462">
        <v>110948</v>
      </c>
      <c r="E32" s="3462" t="s">
        <v>3635</v>
      </c>
      <c r="F32" s="3462">
        <v>114.68</v>
      </c>
      <c r="G32" s="3462">
        <v>5476</v>
      </c>
      <c r="H32" s="3462">
        <v>112978</v>
      </c>
      <c r="I32" s="3462" t="s">
        <v>3637</v>
      </c>
      <c r="J32" s="3462">
        <v>117.21</v>
      </c>
      <c r="K32" s="3462">
        <v>5624</v>
      </c>
      <c r="L32" s="3462">
        <v>112388</v>
      </c>
      <c r="M32" s="3462" t="s">
        <v>3514</v>
      </c>
      <c r="N32" s="3462">
        <v>118.75</v>
      </c>
      <c r="O32" s="3462">
        <v>5913</v>
      </c>
      <c r="P32" s="3462">
        <v>112472</v>
      </c>
      <c r="Q32" s="3462" t="s">
        <v>3499</v>
      </c>
      <c r="R32" s="3462">
        <v>116.11</v>
      </c>
      <c r="S32" s="3462">
        <v>5916</v>
      </c>
      <c r="T32" s="3462">
        <v>114854</v>
      </c>
      <c r="U32" s="3462" t="s">
        <v>3466</v>
      </c>
      <c r="V32" s="3462">
        <v>113.22</v>
      </c>
      <c r="W32" s="3462">
        <v>5687</v>
      </c>
      <c r="X32" s="3462">
        <v>114879</v>
      </c>
      <c r="Y32" s="3462" t="s">
        <v>3654</v>
      </c>
      <c r="Z32" s="3462">
        <v>112.23</v>
      </c>
      <c r="AA32" s="3462">
        <v>5459</v>
      </c>
      <c r="AB32" s="3462">
        <v>109453</v>
      </c>
      <c r="AC32" s="3462" t="s">
        <v>3582</v>
      </c>
      <c r="AD32" s="3462">
        <v>103.08</v>
      </c>
      <c r="AE32" s="3462">
        <v>5499</v>
      </c>
      <c r="AF32" s="3462">
        <v>112642</v>
      </c>
      <c r="AG32" s="3462" t="s">
        <v>3588</v>
      </c>
      <c r="AH32" s="3462">
        <v>107.92</v>
      </c>
      <c r="AI32" s="3462">
        <v>5581</v>
      </c>
      <c r="AJ32" s="3462">
        <v>106838</v>
      </c>
      <c r="AK32" s="3462" t="s">
        <v>3466</v>
      </c>
      <c r="AL32" s="3462">
        <v>108.82</v>
      </c>
      <c r="AM32" s="3462">
        <v>5545</v>
      </c>
      <c r="AN32" s="3462">
        <v>107657</v>
      </c>
      <c r="AO32" s="3462" t="s">
        <v>3466</v>
      </c>
      <c r="AP32" s="3462">
        <v>104.52</v>
      </c>
      <c r="AQ32" s="3462">
        <v>5550</v>
      </c>
      <c r="AR32" s="3462">
        <v>105647</v>
      </c>
      <c r="AS32" s="3462" t="s">
        <v>3655</v>
      </c>
    </row>
    <row r="33" spans="1:45">
      <c r="A33" s="3462" t="s">
        <v>3656</v>
      </c>
      <c r="B33" s="3462">
        <v>109.37</v>
      </c>
      <c r="C33" s="3462">
        <v>6420</v>
      </c>
      <c r="D33" s="3462">
        <v>98961</v>
      </c>
      <c r="E33" s="3462" t="s">
        <v>3657</v>
      </c>
      <c r="F33" s="3462">
        <v>107.19</v>
      </c>
      <c r="G33" s="3462">
        <v>6259</v>
      </c>
      <c r="H33" s="3462">
        <v>103153</v>
      </c>
      <c r="I33" s="3462" t="s">
        <v>3494</v>
      </c>
      <c r="J33" s="3462">
        <v>109.09</v>
      </c>
      <c r="K33" s="3462">
        <v>6371</v>
      </c>
      <c r="L33" s="3462">
        <v>104879</v>
      </c>
      <c r="M33" s="3462" t="s">
        <v>3658</v>
      </c>
      <c r="N33" s="3462">
        <v>112.24</v>
      </c>
      <c r="O33" s="3462">
        <v>6639</v>
      </c>
      <c r="P33" s="3462">
        <v>105355</v>
      </c>
      <c r="Q33" s="3462" t="s">
        <v>3512</v>
      </c>
      <c r="R33" s="3462">
        <v>111.92</v>
      </c>
      <c r="S33" s="3462">
        <v>6571</v>
      </c>
      <c r="T33" s="3462">
        <v>105691</v>
      </c>
      <c r="U33" s="3462" t="s">
        <v>3441</v>
      </c>
      <c r="V33" s="3462">
        <v>104.11</v>
      </c>
      <c r="W33" s="3462">
        <v>7115</v>
      </c>
      <c r="X33" s="3462">
        <v>111243</v>
      </c>
      <c r="Y33" s="3462" t="s">
        <v>3483</v>
      </c>
      <c r="Z33" s="3462">
        <v>103.86</v>
      </c>
      <c r="AA33" s="3462">
        <v>6948</v>
      </c>
      <c r="AB33" s="3462">
        <v>112360</v>
      </c>
      <c r="AC33" s="3462" t="s">
        <v>3631</v>
      </c>
      <c r="AD33" s="3462">
        <v>108.63</v>
      </c>
      <c r="AE33" s="3462">
        <v>6633</v>
      </c>
      <c r="AF33" s="3462">
        <v>111291</v>
      </c>
      <c r="AG33" s="3462" t="s">
        <v>3560</v>
      </c>
      <c r="AH33" s="3462">
        <v>105.61</v>
      </c>
      <c r="AI33" s="3462">
        <v>6693</v>
      </c>
      <c r="AJ33" s="3462">
        <v>110292</v>
      </c>
      <c r="AK33" s="3462" t="s">
        <v>3651</v>
      </c>
      <c r="AL33" s="3462">
        <v>103.34</v>
      </c>
      <c r="AM33" s="3462">
        <v>6190</v>
      </c>
      <c r="AN33" s="3462">
        <v>110998</v>
      </c>
      <c r="AO33" s="3462" t="s">
        <v>3596</v>
      </c>
      <c r="AP33" s="3462">
        <v>109.56</v>
      </c>
      <c r="AQ33" s="3462">
        <v>6420</v>
      </c>
      <c r="AR33" s="3462">
        <v>111453</v>
      </c>
      <c r="AS33" s="3462" t="s">
        <v>3454</v>
      </c>
    </row>
    <row r="34" spans="1:45">
      <c r="A34" s="3462" t="s">
        <v>3659</v>
      </c>
      <c r="B34" s="3462">
        <v>109.32</v>
      </c>
      <c r="C34" s="3462">
        <v>6604</v>
      </c>
      <c r="D34" s="3462">
        <v>105100</v>
      </c>
      <c r="E34" s="3462" t="s">
        <v>3658</v>
      </c>
      <c r="F34" s="3462">
        <v>109.09</v>
      </c>
      <c r="G34" s="3462">
        <v>6546</v>
      </c>
      <c r="H34" s="3462">
        <v>103336</v>
      </c>
      <c r="I34" s="3462" t="s">
        <v>3499</v>
      </c>
      <c r="J34" s="3462">
        <v>105.66</v>
      </c>
      <c r="K34" s="3462">
        <v>6470</v>
      </c>
      <c r="L34" s="3462">
        <v>99755</v>
      </c>
      <c r="M34" s="3462" t="s">
        <v>3441</v>
      </c>
      <c r="N34" s="3462">
        <v>105.92</v>
      </c>
      <c r="O34" s="3462">
        <v>6333</v>
      </c>
      <c r="P34" s="3462">
        <v>100489</v>
      </c>
      <c r="Q34" s="3462" t="s">
        <v>3497</v>
      </c>
      <c r="R34" s="3462">
        <v>109.28</v>
      </c>
      <c r="S34" s="3462">
        <v>6305</v>
      </c>
      <c r="T34" s="3462">
        <v>102865</v>
      </c>
      <c r="U34" s="3462" t="s">
        <v>3660</v>
      </c>
      <c r="V34" s="3462">
        <v>108.73</v>
      </c>
      <c r="W34" s="3462">
        <v>6320</v>
      </c>
      <c r="X34" s="3462">
        <v>103024</v>
      </c>
      <c r="Y34" s="3462" t="s">
        <v>3499</v>
      </c>
      <c r="Z34" s="3462">
        <v>108.81</v>
      </c>
      <c r="AA34" s="3462">
        <v>6228</v>
      </c>
      <c r="AB34" s="3462">
        <v>98443</v>
      </c>
      <c r="AC34" s="3462" t="s">
        <v>3657</v>
      </c>
      <c r="AD34" s="3462">
        <v>107.38</v>
      </c>
      <c r="AE34" s="3462">
        <v>5928</v>
      </c>
      <c r="AF34" s="3462">
        <v>96918</v>
      </c>
      <c r="AG34" s="3462" t="s">
        <v>3661</v>
      </c>
      <c r="AH34" s="3462">
        <v>107.42</v>
      </c>
      <c r="AI34" s="3462">
        <v>5820</v>
      </c>
      <c r="AJ34" s="3462">
        <v>95775</v>
      </c>
      <c r="AK34" s="3462" t="s">
        <v>3496</v>
      </c>
      <c r="AL34" s="3462">
        <v>109.77</v>
      </c>
      <c r="AM34" s="3462">
        <v>6501</v>
      </c>
      <c r="AN34" s="3462">
        <v>92054</v>
      </c>
      <c r="AO34" s="3462" t="s">
        <v>3662</v>
      </c>
      <c r="AP34" s="3462">
        <v>111.26</v>
      </c>
      <c r="AQ34" s="3462">
        <v>6354</v>
      </c>
      <c r="AR34" s="3462">
        <v>90833</v>
      </c>
      <c r="AS34" s="3462" t="s">
        <v>3663</v>
      </c>
    </row>
    <row r="35" spans="1:45">
      <c r="A35" s="3462" t="s">
        <v>3664</v>
      </c>
      <c r="B35" s="3462">
        <v>107.95</v>
      </c>
      <c r="C35" s="3462">
        <v>6936</v>
      </c>
      <c r="D35" s="3462">
        <v>107177</v>
      </c>
      <c r="E35" s="3462" t="s">
        <v>3601</v>
      </c>
      <c r="F35" s="3462">
        <v>113.83</v>
      </c>
      <c r="G35" s="3462">
        <v>6261</v>
      </c>
      <c r="H35" s="3462">
        <v>108496</v>
      </c>
      <c r="I35" s="3462" t="s">
        <v>3665</v>
      </c>
      <c r="J35" s="3462">
        <v>109.94</v>
      </c>
      <c r="K35" s="3462">
        <v>6633</v>
      </c>
      <c r="L35" s="3462">
        <v>110112</v>
      </c>
      <c r="M35" s="3462" t="s">
        <v>3650</v>
      </c>
      <c r="N35" s="3462">
        <v>106.67</v>
      </c>
      <c r="O35" s="3462">
        <v>7169</v>
      </c>
      <c r="P35" s="3462">
        <v>113347</v>
      </c>
      <c r="Q35" s="3462" t="s">
        <v>3473</v>
      </c>
      <c r="R35" s="3462">
        <v>104.76</v>
      </c>
      <c r="S35" s="3462">
        <v>6841</v>
      </c>
      <c r="T35" s="3462">
        <v>114227</v>
      </c>
      <c r="U35" s="3462" t="s">
        <v>3457</v>
      </c>
      <c r="V35" s="3462">
        <v>105.57</v>
      </c>
      <c r="W35" s="3462">
        <v>6385</v>
      </c>
      <c r="X35" s="3462">
        <v>116612</v>
      </c>
      <c r="Y35" s="3462" t="s">
        <v>3666</v>
      </c>
      <c r="Z35" s="3462">
        <v>103.82</v>
      </c>
      <c r="AA35" s="3462">
        <v>6198</v>
      </c>
      <c r="AB35" s="3462">
        <v>114448</v>
      </c>
      <c r="AC35" s="3462" t="s">
        <v>3667</v>
      </c>
      <c r="AD35" s="3462">
        <v>109.69</v>
      </c>
      <c r="AE35" s="3462">
        <v>6417</v>
      </c>
      <c r="AF35" s="3462">
        <v>113386</v>
      </c>
      <c r="AG35" s="3462" t="s">
        <v>3554</v>
      </c>
      <c r="AH35" s="3462">
        <v>105.34</v>
      </c>
      <c r="AI35" s="3462">
        <v>5917</v>
      </c>
      <c r="AJ35" s="3462">
        <v>124316</v>
      </c>
      <c r="AK35" s="3462" t="s">
        <v>3668</v>
      </c>
      <c r="AL35" s="3462">
        <v>98.73</v>
      </c>
      <c r="AM35" s="3462">
        <v>6382</v>
      </c>
      <c r="AN35" s="3462">
        <v>125069</v>
      </c>
      <c r="AO35" s="3462" t="s">
        <v>3669</v>
      </c>
      <c r="AP35" s="3462">
        <v>100</v>
      </c>
      <c r="AQ35" s="3462">
        <v>6409</v>
      </c>
      <c r="AR35" s="3462">
        <v>116578</v>
      </c>
      <c r="AS35" s="3462" t="s">
        <v>3670</v>
      </c>
    </row>
    <row r="36" spans="1:45">
      <c r="A36" s="3462" t="s">
        <v>3671</v>
      </c>
      <c r="B36" s="3462">
        <v>107.51</v>
      </c>
      <c r="C36" s="3462">
        <v>5672</v>
      </c>
      <c r="D36" s="3462">
        <v>111805</v>
      </c>
      <c r="E36" s="3462" t="s">
        <v>3672</v>
      </c>
      <c r="F36" s="3462">
        <v>111.18</v>
      </c>
      <c r="G36" s="3462">
        <v>5348</v>
      </c>
      <c r="H36" s="3462">
        <v>108786</v>
      </c>
      <c r="I36" s="3462" t="s">
        <v>3538</v>
      </c>
      <c r="J36" s="3462">
        <v>114.58</v>
      </c>
      <c r="K36" s="3462">
        <v>5475</v>
      </c>
      <c r="L36" s="3462">
        <v>110400</v>
      </c>
      <c r="M36" s="3462" t="s">
        <v>3536</v>
      </c>
      <c r="N36" s="3462">
        <v>112.8</v>
      </c>
      <c r="O36" s="3462">
        <v>5706</v>
      </c>
      <c r="P36" s="3462">
        <v>111897</v>
      </c>
      <c r="Q36" s="3462" t="s">
        <v>3559</v>
      </c>
      <c r="R36" s="3462">
        <v>112</v>
      </c>
      <c r="S36" s="3462">
        <v>5676</v>
      </c>
      <c r="T36" s="3462">
        <v>110842</v>
      </c>
      <c r="U36" s="3462" t="s">
        <v>3466</v>
      </c>
      <c r="V36" s="3462">
        <v>108.39</v>
      </c>
      <c r="W36" s="3462">
        <v>5557</v>
      </c>
      <c r="X36" s="3462">
        <v>115626</v>
      </c>
      <c r="Y36" s="3462" t="s">
        <v>3629</v>
      </c>
      <c r="Z36" s="3462">
        <v>106.36</v>
      </c>
      <c r="AA36" s="3462">
        <v>5389</v>
      </c>
      <c r="AB36" s="3462">
        <v>112964</v>
      </c>
      <c r="AC36" s="3462" t="s">
        <v>3473</v>
      </c>
      <c r="AD36" s="3462">
        <v>102.9</v>
      </c>
      <c r="AE36" s="3462">
        <v>5256</v>
      </c>
      <c r="AF36" s="3462">
        <v>115676</v>
      </c>
      <c r="AG36" s="3462" t="s">
        <v>3488</v>
      </c>
      <c r="AH36" s="3462">
        <v>108</v>
      </c>
      <c r="AI36" s="3462">
        <v>5032</v>
      </c>
      <c r="AJ36" s="3462">
        <v>111618</v>
      </c>
      <c r="AK36" s="3462" t="s">
        <v>3554</v>
      </c>
      <c r="AL36" s="3462">
        <v>115.09</v>
      </c>
      <c r="AM36" s="3462">
        <v>5200</v>
      </c>
      <c r="AN36" s="3462">
        <v>111570</v>
      </c>
      <c r="AO36" s="3462" t="s">
        <v>3586</v>
      </c>
      <c r="AP36" s="3462">
        <v>112.71</v>
      </c>
      <c r="AQ36" s="3462">
        <v>5700</v>
      </c>
      <c r="AR36" s="3462">
        <v>111268</v>
      </c>
      <c r="AS36" s="3462" t="s">
        <v>3673</v>
      </c>
    </row>
    <row r="37" spans="1:45">
      <c r="A37" s="3462" t="s">
        <v>3674</v>
      </c>
      <c r="B37" s="3462">
        <v>106.65</v>
      </c>
      <c r="C37" s="3462">
        <v>9298</v>
      </c>
      <c r="D37" s="3462">
        <v>112140</v>
      </c>
      <c r="E37" s="3462" t="s">
        <v>3455</v>
      </c>
      <c r="F37" s="3462">
        <v>106.81</v>
      </c>
      <c r="G37" s="3462">
        <v>9800</v>
      </c>
      <c r="H37" s="3462">
        <v>103907</v>
      </c>
      <c r="I37" s="3462" t="s">
        <v>3675</v>
      </c>
      <c r="J37" s="3462">
        <v>106.72</v>
      </c>
      <c r="K37" s="3462">
        <v>9225</v>
      </c>
      <c r="L37" s="3462">
        <v>101953</v>
      </c>
      <c r="M37" s="3462" t="s">
        <v>3676</v>
      </c>
      <c r="N37" s="3462">
        <v>109.64</v>
      </c>
      <c r="O37" s="3462">
        <v>10111</v>
      </c>
      <c r="P37" s="3462">
        <v>102628</v>
      </c>
      <c r="Q37" s="3462" t="s">
        <v>3677</v>
      </c>
      <c r="R37" s="3462">
        <v>107.75</v>
      </c>
      <c r="S37" s="3462">
        <v>10280</v>
      </c>
      <c r="T37" s="3462">
        <v>108661</v>
      </c>
      <c r="U37" s="3462" t="s">
        <v>3475</v>
      </c>
      <c r="V37" s="3462">
        <v>103.77</v>
      </c>
      <c r="W37" s="3462">
        <v>10518</v>
      </c>
      <c r="X37" s="3462">
        <v>104270</v>
      </c>
      <c r="Y37" s="3462" t="s">
        <v>3551</v>
      </c>
      <c r="Z37" s="3462">
        <v>103.8</v>
      </c>
      <c r="AA37" s="3462">
        <v>10028</v>
      </c>
      <c r="AB37" s="3462">
        <v>102368</v>
      </c>
      <c r="AC37" s="3462" t="s">
        <v>3446</v>
      </c>
      <c r="AD37" s="3462">
        <v>101.82</v>
      </c>
      <c r="AE37" s="3462">
        <v>9812</v>
      </c>
      <c r="AF37" s="3462">
        <v>102125</v>
      </c>
      <c r="AG37" s="3462" t="s">
        <v>3528</v>
      </c>
      <c r="AH37" s="3462">
        <v>108.92</v>
      </c>
      <c r="AI37" s="3462">
        <v>10611</v>
      </c>
      <c r="AJ37" s="3462">
        <v>101259</v>
      </c>
      <c r="AK37" s="3462" t="s">
        <v>3465</v>
      </c>
      <c r="AL37" s="3462">
        <v>90.37</v>
      </c>
      <c r="AM37" s="3462">
        <v>8731</v>
      </c>
      <c r="AN37" s="3462">
        <v>99992</v>
      </c>
      <c r="AO37" s="3462" t="s">
        <v>3450</v>
      </c>
      <c r="AP37" s="3462">
        <v>83.18</v>
      </c>
      <c r="AQ37" s="3462">
        <v>8136</v>
      </c>
      <c r="AR37" s="3462">
        <v>100885</v>
      </c>
      <c r="AS37" s="3462" t="s">
        <v>3678</v>
      </c>
    </row>
    <row r="38" spans="1:45">
      <c r="A38" s="3462" t="s">
        <v>3679</v>
      </c>
      <c r="B38" s="3462">
        <v>106.6</v>
      </c>
      <c r="C38" s="3462">
        <v>6299</v>
      </c>
      <c r="D38" s="3462">
        <v>113662</v>
      </c>
      <c r="E38" s="3462" t="s">
        <v>3629</v>
      </c>
      <c r="F38" s="3462">
        <v>113.44</v>
      </c>
      <c r="G38" s="3462">
        <v>6484</v>
      </c>
      <c r="H38" s="3462">
        <v>111262</v>
      </c>
      <c r="I38" s="3462" t="s">
        <v>3506</v>
      </c>
      <c r="J38" s="3462">
        <v>117.05</v>
      </c>
      <c r="K38" s="3462">
        <v>6762</v>
      </c>
      <c r="L38" s="3462">
        <v>108989</v>
      </c>
      <c r="M38" s="3462" t="s">
        <v>3604</v>
      </c>
      <c r="N38" s="3462">
        <v>115.31</v>
      </c>
      <c r="O38" s="3462">
        <v>7707</v>
      </c>
      <c r="P38" s="3462">
        <v>109625</v>
      </c>
      <c r="Q38" s="3462" t="s">
        <v>3680</v>
      </c>
      <c r="R38" s="3462">
        <v>117.28</v>
      </c>
      <c r="S38" s="3462">
        <v>8012</v>
      </c>
      <c r="T38" s="3462">
        <v>103879</v>
      </c>
      <c r="U38" s="3462" t="s">
        <v>3460</v>
      </c>
      <c r="V38" s="3462">
        <v>121.51</v>
      </c>
      <c r="W38" s="3462">
        <v>7429</v>
      </c>
      <c r="X38" s="3462">
        <v>109960</v>
      </c>
      <c r="Y38" s="3462" t="s">
        <v>3657</v>
      </c>
      <c r="Z38" s="3462">
        <v>117.34</v>
      </c>
      <c r="AA38" s="3462">
        <v>7637</v>
      </c>
      <c r="AB38" s="3462">
        <v>109648</v>
      </c>
      <c r="AC38" s="3462" t="s">
        <v>3439</v>
      </c>
      <c r="AD38" s="3462">
        <v>110.65</v>
      </c>
      <c r="AE38" s="3462">
        <v>8171</v>
      </c>
      <c r="AF38" s="3462">
        <v>107671</v>
      </c>
      <c r="AG38" s="3462" t="s">
        <v>3681</v>
      </c>
      <c r="AH38" s="3462">
        <v>108.32</v>
      </c>
      <c r="AI38" s="3462">
        <v>8288</v>
      </c>
      <c r="AJ38" s="3462">
        <v>105908</v>
      </c>
      <c r="AK38" s="3462" t="s">
        <v>3682</v>
      </c>
      <c r="AL38" s="3462">
        <v>106.37</v>
      </c>
      <c r="AM38" s="3462">
        <v>7844</v>
      </c>
      <c r="AN38" s="3462">
        <v>102078</v>
      </c>
      <c r="AO38" s="3462" t="s">
        <v>3683</v>
      </c>
      <c r="AP38" s="3462">
        <v>104.15</v>
      </c>
      <c r="AQ38" s="3462">
        <v>6693</v>
      </c>
      <c r="AR38" s="3462">
        <v>101399</v>
      </c>
      <c r="AS38" s="3462" t="s">
        <v>3681</v>
      </c>
    </row>
    <row r="39" spans="1:45">
      <c r="A39" s="3462" t="s">
        <v>3684</v>
      </c>
      <c r="B39" s="3462">
        <v>106.31</v>
      </c>
      <c r="C39" s="3462">
        <v>5206</v>
      </c>
      <c r="D39" s="3462">
        <v>95394</v>
      </c>
      <c r="E39" s="3462" t="s">
        <v>3685</v>
      </c>
      <c r="F39" s="3462">
        <v>105.07</v>
      </c>
      <c r="G39" s="3462">
        <v>5211</v>
      </c>
      <c r="H39" s="3462">
        <v>99431</v>
      </c>
      <c r="I39" s="3462" t="s">
        <v>3686</v>
      </c>
      <c r="J39" s="3462">
        <v>105.99</v>
      </c>
      <c r="K39" s="3462">
        <v>5413</v>
      </c>
      <c r="L39" s="3462">
        <v>99771</v>
      </c>
      <c r="M39" s="3462" t="s">
        <v>3660</v>
      </c>
      <c r="N39" s="3462">
        <v>107.97</v>
      </c>
      <c r="O39" s="3462">
        <v>5535</v>
      </c>
      <c r="P39" s="3462">
        <v>100902</v>
      </c>
      <c r="Q39" s="3462" t="s">
        <v>3439</v>
      </c>
      <c r="R39" s="3462">
        <v>107.53</v>
      </c>
      <c r="S39" s="3462">
        <v>5478</v>
      </c>
      <c r="T39" s="3462">
        <v>100791</v>
      </c>
      <c r="U39" s="3462" t="s">
        <v>3502</v>
      </c>
      <c r="V39" s="3462">
        <v>104.09</v>
      </c>
      <c r="W39" s="3462">
        <v>5471</v>
      </c>
      <c r="X39" s="3462">
        <v>101752</v>
      </c>
      <c r="Y39" s="3462" t="s">
        <v>3682</v>
      </c>
      <c r="Z39" s="3462">
        <v>102.55</v>
      </c>
      <c r="AA39" s="3462">
        <v>5274</v>
      </c>
      <c r="AB39" s="3462">
        <v>101063</v>
      </c>
      <c r="AC39" s="3462" t="s">
        <v>3637</v>
      </c>
      <c r="AD39" s="3462">
        <v>105.63</v>
      </c>
      <c r="AE39" s="3462">
        <v>5454</v>
      </c>
      <c r="AF39" s="3462">
        <v>100137</v>
      </c>
      <c r="AG39" s="3462" t="s">
        <v>3499</v>
      </c>
      <c r="AH39" s="3462">
        <v>105.77</v>
      </c>
      <c r="AI39" s="3462">
        <v>5231</v>
      </c>
      <c r="AJ39" s="3462">
        <v>99481</v>
      </c>
      <c r="AK39" s="3462" t="s">
        <v>3687</v>
      </c>
      <c r="AL39" s="3462">
        <v>99.72</v>
      </c>
      <c r="AM39" s="3462">
        <v>4942</v>
      </c>
      <c r="AN39" s="3462">
        <v>97474</v>
      </c>
      <c r="AO39" s="3462" t="s">
        <v>3682</v>
      </c>
      <c r="AP39" s="3462">
        <v>98.2</v>
      </c>
      <c r="AQ39" s="3462">
        <v>4910</v>
      </c>
      <c r="AR39" s="3462">
        <v>97070</v>
      </c>
      <c r="AS39" s="3462" t="s">
        <v>3509</v>
      </c>
    </row>
    <row r="40" spans="1:45">
      <c r="A40" s="3462" t="s">
        <v>3688</v>
      </c>
      <c r="B40" s="3462">
        <v>105.93</v>
      </c>
      <c r="C40" s="3462">
        <v>5976</v>
      </c>
      <c r="D40" s="3462">
        <v>108511</v>
      </c>
      <c r="E40" s="3462" t="s">
        <v>3560</v>
      </c>
      <c r="F40" s="3462">
        <v>103.11</v>
      </c>
      <c r="G40" s="3462">
        <v>5817</v>
      </c>
      <c r="H40" s="3462">
        <v>111763</v>
      </c>
      <c r="I40" s="3462" t="s">
        <v>3597</v>
      </c>
      <c r="J40" s="3462">
        <v>108.26</v>
      </c>
      <c r="K40" s="3462">
        <v>5707</v>
      </c>
      <c r="L40" s="3462">
        <v>112529</v>
      </c>
      <c r="M40" s="3462" t="s">
        <v>3672</v>
      </c>
      <c r="N40" s="3462">
        <v>115.79</v>
      </c>
      <c r="O40" s="3462">
        <v>5490</v>
      </c>
      <c r="P40" s="3462">
        <v>110496</v>
      </c>
      <c r="Q40" s="3462" t="s">
        <v>3689</v>
      </c>
      <c r="R40" s="3462">
        <v>113.74</v>
      </c>
      <c r="S40" s="3462">
        <v>5508</v>
      </c>
      <c r="T40" s="3462">
        <v>116158</v>
      </c>
      <c r="U40" s="3462" t="s">
        <v>3600</v>
      </c>
      <c r="V40" s="3462">
        <v>116.04</v>
      </c>
      <c r="W40" s="3462">
        <v>5409</v>
      </c>
      <c r="X40" s="3462">
        <v>123904</v>
      </c>
      <c r="Y40" s="3462" t="s">
        <v>3630</v>
      </c>
      <c r="Z40" s="3462">
        <v>110.54</v>
      </c>
      <c r="AA40" s="3462">
        <v>5343</v>
      </c>
      <c r="AB40" s="3462">
        <v>123156</v>
      </c>
      <c r="AC40" s="3462" t="s">
        <v>3619</v>
      </c>
      <c r="AD40" s="3462">
        <v>109.6</v>
      </c>
      <c r="AE40" s="3462">
        <v>5162</v>
      </c>
      <c r="AF40" s="3462">
        <v>116902</v>
      </c>
      <c r="AG40" s="3462" t="s">
        <v>3629</v>
      </c>
      <c r="AH40" s="3462">
        <v>109.09</v>
      </c>
      <c r="AI40" s="3462">
        <v>5372</v>
      </c>
      <c r="AJ40" s="3462">
        <v>118965</v>
      </c>
      <c r="AK40" s="3462" t="s">
        <v>3457</v>
      </c>
      <c r="AL40" s="3462">
        <v>103.59</v>
      </c>
      <c r="AM40" s="3462">
        <v>5861</v>
      </c>
      <c r="AN40" s="3462">
        <v>120317</v>
      </c>
      <c r="AO40" s="3462" t="s">
        <v>3690</v>
      </c>
      <c r="AP40" s="3462">
        <v>101.77</v>
      </c>
      <c r="AQ40" s="3462">
        <v>6195</v>
      </c>
      <c r="AR40" s="3462">
        <v>123036</v>
      </c>
      <c r="AS40" s="3462" t="s">
        <v>3691</v>
      </c>
    </row>
    <row r="41" spans="1:45">
      <c r="A41" s="3462" t="s">
        <v>3692</v>
      </c>
      <c r="B41" s="3462">
        <v>105.89</v>
      </c>
      <c r="C41" s="3462">
        <v>6270</v>
      </c>
      <c r="D41" s="3462">
        <v>102187</v>
      </c>
      <c r="E41" s="3462" t="s">
        <v>3443</v>
      </c>
      <c r="F41" s="3462">
        <v>106.57</v>
      </c>
      <c r="G41" s="3462">
        <v>6356</v>
      </c>
      <c r="H41" s="3462">
        <v>103173</v>
      </c>
      <c r="I41" s="3462" t="s">
        <v>3693</v>
      </c>
      <c r="J41" s="3462">
        <v>107.71</v>
      </c>
      <c r="K41" s="3462">
        <v>6500</v>
      </c>
      <c r="L41" s="3462">
        <v>103262</v>
      </c>
      <c r="M41" s="3462" t="s">
        <v>3514</v>
      </c>
      <c r="N41" s="3462">
        <v>108.68</v>
      </c>
      <c r="O41" s="3462">
        <v>6555</v>
      </c>
      <c r="P41" s="3462">
        <v>103623</v>
      </c>
      <c r="Q41" s="3462" t="s">
        <v>3665</v>
      </c>
      <c r="R41" s="3462">
        <v>103.8</v>
      </c>
      <c r="S41" s="3462">
        <v>6206</v>
      </c>
      <c r="T41" s="3462">
        <v>106542</v>
      </c>
      <c r="U41" s="3462" t="s">
        <v>3694</v>
      </c>
      <c r="V41" s="3462">
        <v>101.73</v>
      </c>
      <c r="W41" s="3462">
        <v>6079</v>
      </c>
      <c r="X41" s="3462">
        <v>108303</v>
      </c>
      <c r="Y41" s="3462" t="s">
        <v>3565</v>
      </c>
      <c r="Z41" s="3462">
        <v>104.22</v>
      </c>
      <c r="AA41" s="3462">
        <v>6656</v>
      </c>
      <c r="AB41" s="3462">
        <v>106420</v>
      </c>
      <c r="AC41" s="3462" t="s">
        <v>3600</v>
      </c>
      <c r="AD41" s="3462">
        <v>102.4</v>
      </c>
      <c r="AE41" s="3462">
        <v>6618</v>
      </c>
      <c r="AF41" s="3462">
        <v>107037</v>
      </c>
      <c r="AG41" s="3462" t="s">
        <v>3537</v>
      </c>
      <c r="AH41" s="3462">
        <v>102.07</v>
      </c>
      <c r="AI41" s="3462">
        <v>6419</v>
      </c>
      <c r="AJ41" s="3462">
        <v>106817</v>
      </c>
      <c r="AK41" s="3462" t="s">
        <v>3599</v>
      </c>
      <c r="AL41" s="3462">
        <v>102.7</v>
      </c>
      <c r="AM41" s="3462">
        <v>6357</v>
      </c>
      <c r="AN41" s="3462">
        <v>104935</v>
      </c>
      <c r="AO41" s="3462" t="s">
        <v>3600</v>
      </c>
      <c r="AP41" s="3462">
        <v>101.03</v>
      </c>
      <c r="AQ41" s="3462">
        <v>6391</v>
      </c>
      <c r="AR41" s="3462">
        <v>104023</v>
      </c>
      <c r="AS41" s="3462" t="s">
        <v>3452</v>
      </c>
    </row>
    <row r="42" spans="1:45">
      <c r="A42" s="3462" t="s">
        <v>3695</v>
      </c>
      <c r="B42" s="3462">
        <v>105.45</v>
      </c>
      <c r="C42" s="3462">
        <v>5951</v>
      </c>
      <c r="D42" s="3462">
        <v>112300</v>
      </c>
      <c r="E42" s="3462" t="s">
        <v>3565</v>
      </c>
      <c r="F42" s="3462">
        <v>105.62</v>
      </c>
      <c r="G42" s="3462">
        <v>5809</v>
      </c>
      <c r="H42" s="3462">
        <v>112546</v>
      </c>
      <c r="I42" s="3462" t="s">
        <v>3696</v>
      </c>
      <c r="J42" s="3462">
        <v>112.87</v>
      </c>
      <c r="K42" s="3462">
        <v>5938</v>
      </c>
      <c r="L42" s="3462">
        <v>113917</v>
      </c>
      <c r="M42" s="3462" t="s">
        <v>3581</v>
      </c>
      <c r="N42" s="3462">
        <v>113.86</v>
      </c>
      <c r="O42" s="3462">
        <v>5965</v>
      </c>
      <c r="P42" s="3462">
        <v>114928</v>
      </c>
      <c r="Q42" s="3462" t="s">
        <v>3581</v>
      </c>
      <c r="R42" s="3462">
        <v>116.43</v>
      </c>
      <c r="S42" s="3462">
        <v>6422</v>
      </c>
      <c r="T42" s="3462">
        <v>116933</v>
      </c>
      <c r="U42" s="3462" t="s">
        <v>3551</v>
      </c>
      <c r="V42" s="3462">
        <v>107.15</v>
      </c>
      <c r="W42" s="3462">
        <v>6285</v>
      </c>
      <c r="X42" s="3462">
        <v>120934</v>
      </c>
      <c r="Y42" s="3462" t="s">
        <v>3615</v>
      </c>
      <c r="Z42" s="3462">
        <v>102</v>
      </c>
      <c r="AA42" s="3462">
        <v>5776</v>
      </c>
      <c r="AB42" s="3462">
        <v>121093</v>
      </c>
      <c r="AC42" s="3462" t="s">
        <v>3697</v>
      </c>
      <c r="AD42" s="3462">
        <v>102.78</v>
      </c>
      <c r="AE42" s="3462">
        <v>5877</v>
      </c>
      <c r="AF42" s="3462">
        <v>122714</v>
      </c>
      <c r="AG42" s="3462" t="s">
        <v>3698</v>
      </c>
      <c r="AH42" s="3462" t="s">
        <v>633</v>
      </c>
      <c r="AI42" s="3462" t="s">
        <v>633</v>
      </c>
      <c r="AJ42" s="3462" t="s">
        <v>633</v>
      </c>
      <c r="AK42" s="3462" t="s">
        <v>633</v>
      </c>
      <c r="AL42" s="3462" t="s">
        <v>633</v>
      </c>
      <c r="AM42" s="3462" t="s">
        <v>633</v>
      </c>
      <c r="AN42" s="3462" t="s">
        <v>633</v>
      </c>
      <c r="AO42" s="3462" t="s">
        <v>633</v>
      </c>
      <c r="AP42" s="3462" t="s">
        <v>633</v>
      </c>
      <c r="AQ42" s="3462" t="s">
        <v>633</v>
      </c>
      <c r="AR42" s="3462" t="s">
        <v>633</v>
      </c>
      <c r="AS42" s="3462" t="s">
        <v>633</v>
      </c>
    </row>
    <row r="43" spans="1:45">
      <c r="A43" s="3462" t="s">
        <v>3699</v>
      </c>
      <c r="B43" s="3462">
        <v>104</v>
      </c>
      <c r="C43" s="3462">
        <v>5633</v>
      </c>
      <c r="D43" s="3462">
        <v>37483</v>
      </c>
      <c r="E43" s="3462" t="s">
        <v>3522</v>
      </c>
      <c r="F43" s="3462">
        <v>103.91</v>
      </c>
      <c r="G43" s="3462">
        <v>5650</v>
      </c>
      <c r="H43" s="3462">
        <v>37154</v>
      </c>
      <c r="I43" s="3462" t="s">
        <v>3700</v>
      </c>
      <c r="J43" s="3462">
        <v>104.37</v>
      </c>
      <c r="K43" s="3462">
        <v>5967</v>
      </c>
      <c r="L43" s="3462">
        <v>40685</v>
      </c>
      <c r="M43" s="3462" t="s">
        <v>3701</v>
      </c>
      <c r="N43" s="3462">
        <v>104.52</v>
      </c>
      <c r="O43" s="3462">
        <v>5982</v>
      </c>
      <c r="P43" s="3462">
        <v>41087</v>
      </c>
      <c r="Q43" s="3462" t="s">
        <v>3702</v>
      </c>
      <c r="R43" s="3462">
        <v>105.11</v>
      </c>
      <c r="S43" s="3462">
        <v>5982</v>
      </c>
      <c r="T43" s="3462">
        <v>47165</v>
      </c>
      <c r="U43" s="3462" t="s">
        <v>3703</v>
      </c>
      <c r="V43" s="3462" t="s">
        <v>633</v>
      </c>
      <c r="W43" s="3462" t="s">
        <v>633</v>
      </c>
      <c r="X43" s="3462" t="s">
        <v>633</v>
      </c>
      <c r="Y43" s="3462" t="s">
        <v>633</v>
      </c>
      <c r="Z43" s="3462" t="s">
        <v>633</v>
      </c>
      <c r="AA43" s="3462" t="s">
        <v>633</v>
      </c>
      <c r="AB43" s="3462" t="s">
        <v>633</v>
      </c>
      <c r="AC43" s="3462" t="s">
        <v>633</v>
      </c>
      <c r="AD43" s="3462" t="s">
        <v>633</v>
      </c>
      <c r="AE43" s="3462" t="s">
        <v>633</v>
      </c>
      <c r="AF43" s="3462" t="s">
        <v>633</v>
      </c>
      <c r="AG43" s="3462" t="s">
        <v>633</v>
      </c>
      <c r="AH43" s="3462" t="s">
        <v>633</v>
      </c>
      <c r="AI43" s="3462" t="s">
        <v>633</v>
      </c>
      <c r="AJ43" s="3462" t="s">
        <v>633</v>
      </c>
      <c r="AK43" s="3462" t="s">
        <v>633</v>
      </c>
      <c r="AL43" s="3462" t="s">
        <v>633</v>
      </c>
      <c r="AM43" s="3462" t="s">
        <v>633</v>
      </c>
      <c r="AN43" s="3462" t="s">
        <v>633</v>
      </c>
      <c r="AO43" s="3462" t="s">
        <v>633</v>
      </c>
      <c r="AP43" s="3462" t="s">
        <v>633</v>
      </c>
      <c r="AQ43" s="3462" t="s">
        <v>633</v>
      </c>
      <c r="AR43" s="3462" t="s">
        <v>633</v>
      </c>
      <c r="AS43" s="3462" t="s">
        <v>633</v>
      </c>
    </row>
    <row r="44" spans="1:45">
      <c r="A44" s="3462" t="s">
        <v>3704</v>
      </c>
      <c r="B44" s="3462">
        <v>103.51</v>
      </c>
      <c r="C44" s="3462">
        <v>5644</v>
      </c>
      <c r="D44" s="3462">
        <v>95895</v>
      </c>
      <c r="E44" s="3462" t="s">
        <v>3705</v>
      </c>
      <c r="F44" s="3462">
        <v>106.75</v>
      </c>
      <c r="G44" s="3462">
        <v>5957</v>
      </c>
      <c r="H44" s="3462">
        <v>98386</v>
      </c>
      <c r="I44" s="3462" t="s">
        <v>3706</v>
      </c>
      <c r="J44" s="3462">
        <v>102.93</v>
      </c>
      <c r="K44" s="3462">
        <v>5807</v>
      </c>
      <c r="L44" s="3462">
        <v>98983</v>
      </c>
      <c r="M44" s="3462" t="s">
        <v>3658</v>
      </c>
      <c r="N44" s="3462">
        <v>99.57</v>
      </c>
      <c r="O44" s="3462">
        <v>5540</v>
      </c>
      <c r="P44" s="3462">
        <v>98611</v>
      </c>
      <c r="Q44" s="3462" t="s">
        <v>3516</v>
      </c>
      <c r="R44" s="3462">
        <v>95.65</v>
      </c>
      <c r="S44" s="3462">
        <v>5429</v>
      </c>
      <c r="T44" s="3462">
        <v>100575</v>
      </c>
      <c r="U44" s="3462" t="s">
        <v>3455</v>
      </c>
      <c r="V44" s="3462">
        <v>98.08</v>
      </c>
      <c r="W44" s="3462">
        <v>5577</v>
      </c>
      <c r="X44" s="3462">
        <v>102429</v>
      </c>
      <c r="Y44" s="3462" t="s">
        <v>3651</v>
      </c>
      <c r="Z44" s="3462">
        <v>97.47</v>
      </c>
      <c r="AA44" s="3462">
        <v>5390</v>
      </c>
      <c r="AB44" s="3462">
        <v>104123</v>
      </c>
      <c r="AC44" s="3462" t="s">
        <v>3483</v>
      </c>
      <c r="AD44" s="3462">
        <v>93.18</v>
      </c>
      <c r="AE44" s="3462">
        <v>5249</v>
      </c>
      <c r="AF44" s="3462">
        <v>106597</v>
      </c>
      <c r="AG44" s="3462" t="s">
        <v>3707</v>
      </c>
      <c r="AH44" s="3462">
        <v>98.46</v>
      </c>
      <c r="AI44" s="3462">
        <v>5086</v>
      </c>
      <c r="AJ44" s="3462">
        <v>105145</v>
      </c>
      <c r="AK44" s="3462" t="s">
        <v>3630</v>
      </c>
      <c r="AL44" s="3462">
        <v>103.06</v>
      </c>
      <c r="AM44" s="3462">
        <v>4904</v>
      </c>
      <c r="AN44" s="3462">
        <v>105903</v>
      </c>
      <c r="AO44" s="3462" t="s">
        <v>3589</v>
      </c>
      <c r="AP44" s="3462">
        <v>102.52</v>
      </c>
      <c r="AQ44" s="3462">
        <v>4699</v>
      </c>
      <c r="AR44" s="3462">
        <v>105967</v>
      </c>
      <c r="AS44" s="3462" t="s">
        <v>3554</v>
      </c>
    </row>
    <row r="45" spans="1:45">
      <c r="A45" s="3462" t="s">
        <v>3708</v>
      </c>
      <c r="B45" s="3462">
        <v>103.16</v>
      </c>
      <c r="C45" s="3462">
        <v>6022</v>
      </c>
      <c r="D45" s="3462">
        <v>112605</v>
      </c>
      <c r="E45" s="3462" t="s">
        <v>3709</v>
      </c>
      <c r="F45" s="3462">
        <v>105.37</v>
      </c>
      <c r="G45" s="3462">
        <v>6016</v>
      </c>
      <c r="H45" s="3462">
        <v>119861</v>
      </c>
      <c r="I45" s="3462" t="s">
        <v>3710</v>
      </c>
      <c r="J45" s="3462">
        <v>108.53</v>
      </c>
      <c r="K45" s="3462">
        <v>6042</v>
      </c>
      <c r="L45" s="3462">
        <v>120140</v>
      </c>
      <c r="M45" s="3462" t="s">
        <v>3450</v>
      </c>
      <c r="N45" s="3462">
        <v>115.11</v>
      </c>
      <c r="O45" s="3462">
        <v>6000</v>
      </c>
      <c r="P45" s="3462">
        <v>121445</v>
      </c>
      <c r="Q45" s="3462" t="s">
        <v>3563</v>
      </c>
      <c r="R45" s="3462">
        <v>122.55</v>
      </c>
      <c r="S45" s="3462">
        <v>6473</v>
      </c>
      <c r="T45" s="3462">
        <v>122437</v>
      </c>
      <c r="U45" s="3462" t="s">
        <v>3579</v>
      </c>
      <c r="V45" s="3462">
        <v>115.44</v>
      </c>
      <c r="W45" s="3462">
        <v>6400</v>
      </c>
      <c r="X45" s="3462">
        <v>121862</v>
      </c>
      <c r="Y45" s="3462" t="s">
        <v>3563</v>
      </c>
      <c r="Z45" s="3462">
        <v>106.82</v>
      </c>
      <c r="AA45" s="3462">
        <v>6000</v>
      </c>
      <c r="AB45" s="3462">
        <v>121698</v>
      </c>
      <c r="AC45" s="3462" t="s">
        <v>3711</v>
      </c>
      <c r="AD45" s="3462">
        <v>109.74</v>
      </c>
      <c r="AE45" s="3462">
        <v>6045</v>
      </c>
      <c r="AF45" s="3462">
        <v>118828</v>
      </c>
      <c r="AG45" s="3462" t="s">
        <v>3712</v>
      </c>
      <c r="AH45" s="3462">
        <v>112.77</v>
      </c>
      <c r="AI45" s="3462">
        <v>6378</v>
      </c>
      <c r="AJ45" s="3462">
        <v>120778</v>
      </c>
      <c r="AK45" s="3462" t="s">
        <v>3713</v>
      </c>
      <c r="AL45" s="3462">
        <v>114.5</v>
      </c>
      <c r="AM45" s="3462">
        <v>6240</v>
      </c>
      <c r="AN45" s="3462">
        <v>116239</v>
      </c>
      <c r="AO45" s="3462" t="s">
        <v>3474</v>
      </c>
      <c r="AP45" s="3462">
        <v>113.46</v>
      </c>
      <c r="AQ45" s="3462">
        <v>6113</v>
      </c>
      <c r="AR45" s="3462">
        <v>115959</v>
      </c>
      <c r="AS45" s="3462" t="s">
        <v>3553</v>
      </c>
    </row>
    <row r="46" spans="1:45">
      <c r="A46" s="3462" t="s">
        <v>3714</v>
      </c>
      <c r="B46" s="3462">
        <v>101.53</v>
      </c>
      <c r="C46" s="3462">
        <v>5233</v>
      </c>
      <c r="D46" s="3462">
        <v>95524</v>
      </c>
      <c r="E46" s="3462" t="s">
        <v>3687</v>
      </c>
      <c r="F46" s="3462">
        <v>109.83</v>
      </c>
      <c r="G46" s="3462">
        <v>5283</v>
      </c>
      <c r="H46" s="3462">
        <v>97526</v>
      </c>
      <c r="I46" s="3462" t="s">
        <v>3606</v>
      </c>
      <c r="J46" s="3462">
        <v>109.79</v>
      </c>
      <c r="K46" s="3462">
        <v>5279</v>
      </c>
      <c r="L46" s="3462">
        <v>98022</v>
      </c>
      <c r="M46" s="3462" t="s">
        <v>3715</v>
      </c>
      <c r="N46" s="3462">
        <v>101.2</v>
      </c>
      <c r="O46" s="3462">
        <v>5122</v>
      </c>
      <c r="P46" s="3462">
        <v>98433</v>
      </c>
      <c r="Q46" s="3462" t="s">
        <v>3675</v>
      </c>
      <c r="R46" s="3462">
        <v>96.69</v>
      </c>
      <c r="S46" s="3462">
        <v>4896</v>
      </c>
      <c r="T46" s="3462">
        <v>101640</v>
      </c>
      <c r="U46" s="3462" t="s">
        <v>3455</v>
      </c>
      <c r="V46" s="3462">
        <v>96.6</v>
      </c>
      <c r="W46" s="3462">
        <v>4854</v>
      </c>
      <c r="X46" s="3462">
        <v>99930</v>
      </c>
      <c r="Y46" s="3462" t="s">
        <v>3614</v>
      </c>
      <c r="Z46" s="3462">
        <v>97</v>
      </c>
      <c r="AA46" s="3462">
        <v>4773</v>
      </c>
      <c r="AB46" s="3462">
        <v>99230</v>
      </c>
      <c r="AC46" s="3462" t="s">
        <v>3553</v>
      </c>
      <c r="AD46" s="3462">
        <v>99.8</v>
      </c>
      <c r="AE46" s="3462">
        <v>5083</v>
      </c>
      <c r="AF46" s="3462">
        <v>100404</v>
      </c>
      <c r="AG46" s="3462" t="s">
        <v>3481</v>
      </c>
      <c r="AH46" s="3462">
        <v>97.22</v>
      </c>
      <c r="AI46" s="3462">
        <v>5163</v>
      </c>
      <c r="AJ46" s="3462">
        <v>99882</v>
      </c>
      <c r="AK46" s="3462" t="s">
        <v>3589</v>
      </c>
      <c r="AL46" s="3462">
        <v>92.29</v>
      </c>
      <c r="AM46" s="3462">
        <v>5313</v>
      </c>
      <c r="AN46" s="3462">
        <v>99465</v>
      </c>
      <c r="AO46" s="3462" t="s">
        <v>3623</v>
      </c>
      <c r="AP46" s="3462">
        <v>91.02</v>
      </c>
      <c r="AQ46" s="3462">
        <v>5286</v>
      </c>
      <c r="AR46" s="3462">
        <v>98036</v>
      </c>
      <c r="AS46" s="3462" t="s">
        <v>3623</v>
      </c>
    </row>
    <row r="47" spans="1:45">
      <c r="A47" s="3462" t="s">
        <v>3716</v>
      </c>
      <c r="B47" s="3462">
        <v>100.82</v>
      </c>
      <c r="C47" s="3462">
        <v>6166</v>
      </c>
      <c r="D47" s="3462">
        <v>96776</v>
      </c>
      <c r="E47" s="3462" t="s">
        <v>3683</v>
      </c>
      <c r="F47" s="3462">
        <v>101.83</v>
      </c>
      <c r="G47" s="3462">
        <v>5773</v>
      </c>
      <c r="H47" s="3462">
        <v>96514</v>
      </c>
      <c r="I47" s="3462" t="s">
        <v>3499</v>
      </c>
      <c r="J47" s="3462">
        <v>99.52</v>
      </c>
      <c r="K47" s="3462">
        <v>5648</v>
      </c>
      <c r="L47" s="3462">
        <v>96367</v>
      </c>
      <c r="M47" s="3462" t="s">
        <v>3693</v>
      </c>
      <c r="N47" s="3462">
        <v>98.67</v>
      </c>
      <c r="O47" s="3462">
        <v>5591</v>
      </c>
      <c r="P47" s="3462">
        <v>96765</v>
      </c>
      <c r="Q47" s="3462" t="s">
        <v>3506</v>
      </c>
      <c r="R47" s="3462">
        <v>100.17</v>
      </c>
      <c r="S47" s="3462">
        <v>5563</v>
      </c>
      <c r="T47" s="3462">
        <v>96390</v>
      </c>
      <c r="U47" s="3462" t="s">
        <v>3494</v>
      </c>
      <c r="V47" s="3462">
        <v>103.64</v>
      </c>
      <c r="W47" s="3462">
        <v>5566</v>
      </c>
      <c r="X47" s="3462">
        <v>98179</v>
      </c>
      <c r="Y47" s="3462" t="s">
        <v>3499</v>
      </c>
      <c r="Z47" s="3462">
        <v>103.93</v>
      </c>
      <c r="AA47" s="3462">
        <v>5384</v>
      </c>
      <c r="AB47" s="3462">
        <v>99456</v>
      </c>
      <c r="AC47" s="3462" t="s">
        <v>3555</v>
      </c>
      <c r="AD47" s="3462">
        <v>101.8</v>
      </c>
      <c r="AE47" s="3462">
        <v>5155</v>
      </c>
      <c r="AF47" s="3462">
        <v>96066</v>
      </c>
      <c r="AG47" s="3462" t="s">
        <v>3445</v>
      </c>
      <c r="AH47" s="3462">
        <v>102.03</v>
      </c>
      <c r="AI47" s="3462">
        <v>5113</v>
      </c>
      <c r="AJ47" s="3462">
        <v>96484</v>
      </c>
      <c r="AK47" s="3462" t="s">
        <v>3504</v>
      </c>
      <c r="AL47" s="3462">
        <v>100.82</v>
      </c>
      <c r="AM47" s="3462">
        <v>5375</v>
      </c>
      <c r="AN47" s="3462">
        <v>94316</v>
      </c>
      <c r="AO47" s="3462" t="s">
        <v>3505</v>
      </c>
      <c r="AP47" s="3462">
        <v>102.71</v>
      </c>
      <c r="AQ47" s="3462">
        <v>5421</v>
      </c>
      <c r="AR47" s="3462">
        <v>94358</v>
      </c>
      <c r="AS47" s="3462" t="s">
        <v>3495</v>
      </c>
    </row>
    <row r="48" spans="1:45">
      <c r="A48" s="3462" t="s">
        <v>3717</v>
      </c>
      <c r="B48" s="3462">
        <v>99.77</v>
      </c>
      <c r="C48" s="3462">
        <v>5538</v>
      </c>
      <c r="D48" s="3462">
        <v>93123</v>
      </c>
      <c r="E48" s="3462" t="s">
        <v>3501</v>
      </c>
      <c r="F48" s="3462">
        <v>100.87</v>
      </c>
      <c r="G48" s="3462">
        <v>5264</v>
      </c>
      <c r="H48" s="3462">
        <v>94515</v>
      </c>
      <c r="I48" s="3462" t="s">
        <v>3677</v>
      </c>
      <c r="J48" s="3462">
        <v>101.42</v>
      </c>
      <c r="K48" s="3462">
        <v>5100</v>
      </c>
      <c r="L48" s="3462">
        <v>96222</v>
      </c>
      <c r="M48" s="3462" t="s">
        <v>3497</v>
      </c>
      <c r="N48" s="3462" t="s">
        <v>633</v>
      </c>
      <c r="O48" s="3462" t="s">
        <v>633</v>
      </c>
      <c r="P48" s="3462" t="s">
        <v>633</v>
      </c>
      <c r="Q48" s="3462" t="s">
        <v>633</v>
      </c>
      <c r="R48" s="3462" t="s">
        <v>633</v>
      </c>
      <c r="S48" s="3462" t="s">
        <v>633</v>
      </c>
      <c r="T48" s="3462" t="s">
        <v>633</v>
      </c>
      <c r="U48" s="3462" t="s">
        <v>633</v>
      </c>
      <c r="V48" s="3462" t="s">
        <v>633</v>
      </c>
      <c r="W48" s="3462" t="s">
        <v>633</v>
      </c>
      <c r="X48" s="3462" t="s">
        <v>633</v>
      </c>
      <c r="Y48" s="3462" t="s">
        <v>633</v>
      </c>
      <c r="Z48" s="3462" t="s">
        <v>633</v>
      </c>
      <c r="AA48" s="3462" t="s">
        <v>633</v>
      </c>
      <c r="AB48" s="3462" t="s">
        <v>633</v>
      </c>
      <c r="AC48" s="3462" t="s">
        <v>633</v>
      </c>
      <c r="AD48" s="3462" t="s">
        <v>633</v>
      </c>
      <c r="AE48" s="3462" t="s">
        <v>633</v>
      </c>
      <c r="AF48" s="3462" t="s">
        <v>633</v>
      </c>
      <c r="AG48" s="3462" t="s">
        <v>633</v>
      </c>
      <c r="AH48" s="3462" t="s">
        <v>633</v>
      </c>
      <c r="AI48" s="3462" t="s">
        <v>633</v>
      </c>
      <c r="AJ48" s="3462" t="s">
        <v>633</v>
      </c>
      <c r="AK48" s="3462" t="s">
        <v>633</v>
      </c>
      <c r="AL48" s="3462" t="s">
        <v>633</v>
      </c>
      <c r="AM48" s="3462" t="s">
        <v>633</v>
      </c>
      <c r="AN48" s="3462" t="s">
        <v>633</v>
      </c>
      <c r="AO48" s="3462" t="s">
        <v>633</v>
      </c>
      <c r="AP48" s="3462" t="s">
        <v>633</v>
      </c>
      <c r="AQ48" s="3462" t="s">
        <v>633</v>
      </c>
      <c r="AR48" s="3462" t="s">
        <v>633</v>
      </c>
      <c r="AS48" s="3462" t="s">
        <v>633</v>
      </c>
    </row>
    <row r="49" spans="1:45">
      <c r="A49" s="3462" t="s">
        <v>3718</v>
      </c>
      <c r="B49" s="3462">
        <v>98.15</v>
      </c>
      <c r="C49" s="3462">
        <v>5353</v>
      </c>
      <c r="D49" s="3462">
        <v>97312</v>
      </c>
      <c r="E49" s="3462" t="s">
        <v>3559</v>
      </c>
      <c r="F49" s="3462">
        <v>101.95</v>
      </c>
      <c r="G49" s="3462">
        <v>5413</v>
      </c>
      <c r="H49" s="3462">
        <v>95330</v>
      </c>
      <c r="I49" s="3462" t="s">
        <v>3505</v>
      </c>
      <c r="J49" s="3462">
        <v>99.68</v>
      </c>
      <c r="K49" s="3462">
        <v>5904</v>
      </c>
      <c r="L49" s="3462">
        <v>100833</v>
      </c>
      <c r="M49" s="3462" t="s">
        <v>3478</v>
      </c>
      <c r="N49" s="3462">
        <v>96.86</v>
      </c>
      <c r="O49" s="3462">
        <v>5973</v>
      </c>
      <c r="P49" s="3462">
        <v>110622</v>
      </c>
      <c r="Q49" s="3462" t="s">
        <v>3530</v>
      </c>
      <c r="R49" s="3462">
        <v>105.73</v>
      </c>
      <c r="S49" s="3462">
        <v>5963</v>
      </c>
      <c r="T49" s="3462">
        <v>106033</v>
      </c>
      <c r="U49" s="3462" t="s">
        <v>3528</v>
      </c>
      <c r="V49" s="3462">
        <v>105.72</v>
      </c>
      <c r="W49" s="3462">
        <v>6138</v>
      </c>
      <c r="X49" s="3462">
        <v>106461</v>
      </c>
      <c r="Y49" s="3462" t="s">
        <v>3485</v>
      </c>
      <c r="Z49" s="3462">
        <v>104.59</v>
      </c>
      <c r="AA49" s="3462">
        <v>6430</v>
      </c>
      <c r="AB49" s="3462">
        <v>112672</v>
      </c>
      <c r="AC49" s="3462" t="s">
        <v>3623</v>
      </c>
      <c r="AD49" s="3462">
        <v>102.5</v>
      </c>
      <c r="AE49" s="3462">
        <v>6751</v>
      </c>
      <c r="AF49" s="3462">
        <v>93057</v>
      </c>
      <c r="AG49" s="3462" t="s">
        <v>3719</v>
      </c>
      <c r="AH49" s="3462">
        <v>104.56</v>
      </c>
      <c r="AI49" s="3462">
        <v>6552</v>
      </c>
      <c r="AJ49" s="3462">
        <v>92493</v>
      </c>
      <c r="AK49" s="3462" t="s">
        <v>3720</v>
      </c>
      <c r="AL49" s="3462">
        <v>107.22</v>
      </c>
      <c r="AM49" s="3462">
        <v>7000</v>
      </c>
      <c r="AN49" s="3462">
        <v>93631</v>
      </c>
      <c r="AO49" s="3462" t="s">
        <v>3721</v>
      </c>
      <c r="AP49" s="3462" t="s">
        <v>633</v>
      </c>
      <c r="AQ49" s="3462" t="s">
        <v>633</v>
      </c>
      <c r="AR49" s="3462" t="s">
        <v>633</v>
      </c>
      <c r="AS49" s="3462" t="s">
        <v>633</v>
      </c>
    </row>
    <row r="50" spans="1:45" s="3463" customFormat="1">
      <c r="A50" s="3463" t="s">
        <v>3722</v>
      </c>
      <c r="B50" s="3463">
        <v>95.89</v>
      </c>
      <c r="C50" s="3463">
        <v>5865</v>
      </c>
      <c r="D50" s="3463">
        <v>94793</v>
      </c>
      <c r="E50" s="3463" t="s">
        <v>3509</v>
      </c>
      <c r="F50" s="3463">
        <v>96.85</v>
      </c>
      <c r="G50" s="3463">
        <v>6094</v>
      </c>
      <c r="H50" s="3463">
        <v>95218</v>
      </c>
      <c r="I50" s="3463" t="s">
        <v>3508</v>
      </c>
      <c r="J50" s="3463">
        <v>96</v>
      </c>
      <c r="K50" s="3463">
        <v>6059</v>
      </c>
      <c r="L50" s="3463">
        <v>94088</v>
      </c>
      <c r="M50" s="3463" t="s">
        <v>3506</v>
      </c>
      <c r="N50" s="3463">
        <v>94.55</v>
      </c>
      <c r="O50" s="3463">
        <v>5905</v>
      </c>
      <c r="P50" s="3463">
        <v>95063</v>
      </c>
      <c r="Q50" s="3463" t="s">
        <v>3723</v>
      </c>
      <c r="R50" s="3463">
        <v>92.86</v>
      </c>
      <c r="S50" s="3463">
        <v>5929</v>
      </c>
      <c r="T50" s="3463">
        <v>94376</v>
      </c>
      <c r="U50" s="3463" t="s">
        <v>3564</v>
      </c>
      <c r="V50" s="3463">
        <v>92.1</v>
      </c>
      <c r="W50" s="3463">
        <v>5951</v>
      </c>
      <c r="X50" s="3463">
        <v>95410</v>
      </c>
      <c r="Y50" s="3463" t="s">
        <v>3587</v>
      </c>
      <c r="Z50" s="3463">
        <v>91.35</v>
      </c>
      <c r="AA50" s="3463">
        <v>5979</v>
      </c>
      <c r="AB50" s="3463">
        <v>96642</v>
      </c>
      <c r="AC50" s="3463" t="s">
        <v>3724</v>
      </c>
      <c r="AD50" s="3463">
        <v>90.59</v>
      </c>
      <c r="AE50" s="3463">
        <v>5963</v>
      </c>
      <c r="AF50" s="3463">
        <v>96153</v>
      </c>
      <c r="AG50" s="3463" t="s">
        <v>3725</v>
      </c>
      <c r="AH50" s="3463">
        <v>90.79</v>
      </c>
      <c r="AI50" s="3463">
        <v>6145</v>
      </c>
      <c r="AJ50" s="3463">
        <v>96499</v>
      </c>
      <c r="AK50" s="3463" t="s">
        <v>3473</v>
      </c>
      <c r="AL50" s="3463">
        <v>91.29</v>
      </c>
      <c r="AM50" s="3463">
        <v>6087</v>
      </c>
      <c r="AN50" s="3463">
        <v>95975</v>
      </c>
      <c r="AO50" s="3463" t="s">
        <v>3455</v>
      </c>
      <c r="AP50" s="3463">
        <v>91.04</v>
      </c>
      <c r="AQ50" s="3463">
        <v>5916</v>
      </c>
      <c r="AR50" s="3463">
        <v>96170</v>
      </c>
      <c r="AS50" s="3463" t="s">
        <v>3598</v>
      </c>
    </row>
    <row r="51" spans="1:45">
      <c r="A51" s="3462" t="s">
        <v>3726</v>
      </c>
      <c r="B51" s="3462">
        <v>95.86</v>
      </c>
      <c r="C51" s="3462">
        <v>5308</v>
      </c>
      <c r="D51" s="3462">
        <v>96151</v>
      </c>
      <c r="E51" s="3462" t="s">
        <v>3635</v>
      </c>
      <c r="F51" s="3462">
        <v>95.97</v>
      </c>
      <c r="G51" s="3462">
        <v>5384</v>
      </c>
      <c r="H51" s="3462">
        <v>95865</v>
      </c>
      <c r="I51" s="3462" t="s">
        <v>3444</v>
      </c>
      <c r="J51" s="3462">
        <v>97.78</v>
      </c>
      <c r="K51" s="3462">
        <v>5408</v>
      </c>
      <c r="L51" s="3462">
        <v>94212</v>
      </c>
      <c r="M51" s="3462" t="s">
        <v>3536</v>
      </c>
      <c r="N51" s="3462">
        <v>99.91</v>
      </c>
      <c r="O51" s="3462">
        <v>5384</v>
      </c>
      <c r="P51" s="3462">
        <v>96243</v>
      </c>
      <c r="Q51" s="3462" t="s">
        <v>3536</v>
      </c>
      <c r="R51" s="3462">
        <v>96.27</v>
      </c>
      <c r="S51" s="3462">
        <v>5568</v>
      </c>
      <c r="T51" s="3462">
        <v>98795</v>
      </c>
      <c r="U51" s="3462" t="s">
        <v>3694</v>
      </c>
      <c r="V51" s="3462">
        <v>93.36</v>
      </c>
      <c r="W51" s="3462">
        <v>5864</v>
      </c>
      <c r="X51" s="3462">
        <v>98878</v>
      </c>
      <c r="Y51" s="3462" t="s">
        <v>3727</v>
      </c>
      <c r="Z51" s="3462">
        <v>92.79</v>
      </c>
      <c r="AA51" s="3462">
        <v>5771</v>
      </c>
      <c r="AB51" s="3462">
        <v>99723</v>
      </c>
      <c r="AC51" s="3462" t="s">
        <v>3596</v>
      </c>
      <c r="AD51" s="3462">
        <v>91.53</v>
      </c>
      <c r="AE51" s="3462">
        <v>5461</v>
      </c>
      <c r="AF51" s="3462">
        <v>101847</v>
      </c>
      <c r="AG51" s="3462" t="s">
        <v>3728</v>
      </c>
      <c r="AH51" s="3462">
        <v>93.45</v>
      </c>
      <c r="AI51" s="3462">
        <v>5551</v>
      </c>
      <c r="AJ51" s="3462">
        <v>100810</v>
      </c>
      <c r="AK51" s="3462" t="s">
        <v>3613</v>
      </c>
      <c r="AL51" s="3462">
        <v>99.95</v>
      </c>
      <c r="AM51" s="3462">
        <v>6355</v>
      </c>
      <c r="AN51" s="3462">
        <v>99821</v>
      </c>
      <c r="AO51" s="3462" t="s">
        <v>3444</v>
      </c>
      <c r="AP51" s="3462">
        <v>103.13</v>
      </c>
      <c r="AQ51" s="3462">
        <v>6595</v>
      </c>
      <c r="AR51" s="3462">
        <v>102213</v>
      </c>
      <c r="AS51" s="3462" t="s">
        <v>3559</v>
      </c>
    </row>
    <row r="52" spans="1:45">
      <c r="A52" s="3462" t="s">
        <v>3729</v>
      </c>
      <c r="B52" s="3462">
        <v>94.56</v>
      </c>
      <c r="C52" s="3462">
        <v>5401</v>
      </c>
      <c r="D52" s="3462">
        <v>97130</v>
      </c>
      <c r="E52" s="3462" t="s">
        <v>3589</v>
      </c>
      <c r="F52" s="3462">
        <v>92.85</v>
      </c>
      <c r="G52" s="3462">
        <v>5327</v>
      </c>
      <c r="H52" s="3462">
        <v>99740</v>
      </c>
      <c r="I52" s="3462" t="s">
        <v>3596</v>
      </c>
      <c r="J52" s="3462">
        <v>94.12</v>
      </c>
      <c r="K52" s="3462">
        <v>5550</v>
      </c>
      <c r="L52" s="3462">
        <v>100417</v>
      </c>
      <c r="M52" s="3462" t="s">
        <v>3629</v>
      </c>
      <c r="N52" s="3462">
        <v>97.69</v>
      </c>
      <c r="O52" s="3462">
        <v>5959</v>
      </c>
      <c r="P52" s="3462">
        <v>100903</v>
      </c>
      <c r="Q52" s="3462" t="s">
        <v>3730</v>
      </c>
      <c r="R52" s="3462">
        <v>96.06</v>
      </c>
      <c r="S52" s="3462">
        <v>5807</v>
      </c>
      <c r="T52" s="3462">
        <v>101776</v>
      </c>
      <c r="U52" s="3462" t="s">
        <v>3727</v>
      </c>
      <c r="V52" s="3462">
        <v>95.28</v>
      </c>
      <c r="W52" s="3462">
        <v>5733</v>
      </c>
      <c r="X52" s="3462">
        <v>99776</v>
      </c>
      <c r="Y52" s="3462" t="s">
        <v>3731</v>
      </c>
      <c r="Z52" s="3462">
        <v>95.99</v>
      </c>
      <c r="AA52" s="3462">
        <v>5748</v>
      </c>
      <c r="AB52" s="3462">
        <v>99473</v>
      </c>
      <c r="AC52" s="3462" t="s">
        <v>3732</v>
      </c>
      <c r="AD52" s="3462">
        <v>95.52</v>
      </c>
      <c r="AE52" s="3462">
        <v>5744</v>
      </c>
      <c r="AF52" s="3462">
        <v>100211</v>
      </c>
      <c r="AG52" s="3462" t="s">
        <v>3733</v>
      </c>
      <c r="AH52" s="3462">
        <v>100.42</v>
      </c>
      <c r="AI52" s="3462">
        <v>5523</v>
      </c>
      <c r="AJ52" s="3462">
        <v>101668</v>
      </c>
      <c r="AK52" s="3462" t="s">
        <v>3734</v>
      </c>
      <c r="AL52" s="3462">
        <v>104.51</v>
      </c>
      <c r="AM52" s="3462">
        <v>5637</v>
      </c>
      <c r="AN52" s="3462">
        <v>100823</v>
      </c>
      <c r="AO52" s="3462" t="s">
        <v>3735</v>
      </c>
      <c r="AP52" s="3462">
        <v>100.77</v>
      </c>
      <c r="AQ52" s="3462">
        <v>5636</v>
      </c>
      <c r="AR52" s="3462">
        <v>101380</v>
      </c>
      <c r="AS52" s="3462" t="s">
        <v>3481</v>
      </c>
    </row>
    <row r="53" spans="1:45">
      <c r="A53" s="3462" t="s">
        <v>3736</v>
      </c>
      <c r="B53" s="3462">
        <v>93.59</v>
      </c>
      <c r="C53" s="3462">
        <v>12193</v>
      </c>
      <c r="D53" s="3462">
        <v>101999</v>
      </c>
      <c r="E53" s="3462" t="s">
        <v>3737</v>
      </c>
      <c r="F53" s="3462">
        <v>92.73</v>
      </c>
      <c r="G53" s="3462">
        <v>11832</v>
      </c>
      <c r="H53" s="3462">
        <v>99752</v>
      </c>
      <c r="I53" s="3462" t="s">
        <v>3472</v>
      </c>
      <c r="J53" s="3462">
        <v>93.73</v>
      </c>
      <c r="K53" s="3462">
        <v>13428</v>
      </c>
      <c r="L53" s="3462">
        <v>99315</v>
      </c>
      <c r="M53" s="3462" t="s">
        <v>3727</v>
      </c>
      <c r="N53" s="3462">
        <v>93.85</v>
      </c>
      <c r="O53" s="3462">
        <v>12062</v>
      </c>
      <c r="P53" s="3462">
        <v>99639</v>
      </c>
      <c r="Q53" s="3462" t="s">
        <v>3725</v>
      </c>
      <c r="R53" s="3462">
        <v>93.56</v>
      </c>
      <c r="S53" s="3462">
        <v>10598</v>
      </c>
      <c r="T53" s="3462">
        <v>97863</v>
      </c>
      <c r="U53" s="3462" t="s">
        <v>3537</v>
      </c>
      <c r="V53" s="3462">
        <v>93.79</v>
      </c>
      <c r="W53" s="3462">
        <v>10141</v>
      </c>
      <c r="X53" s="3462">
        <v>96164</v>
      </c>
      <c r="Y53" s="3462" t="s">
        <v>3610</v>
      </c>
      <c r="Z53" s="3462">
        <v>101.41</v>
      </c>
      <c r="AA53" s="3462">
        <v>11865</v>
      </c>
      <c r="AB53" s="3462">
        <v>98612</v>
      </c>
      <c r="AC53" s="3462" t="s">
        <v>3675</v>
      </c>
      <c r="AD53" s="3462">
        <v>102.89</v>
      </c>
      <c r="AE53" s="3462">
        <v>11572</v>
      </c>
      <c r="AF53" s="3462">
        <v>98405</v>
      </c>
      <c r="AG53" s="3462" t="s">
        <v>3555</v>
      </c>
      <c r="AH53" s="3462">
        <v>104.02</v>
      </c>
      <c r="AI53" s="3462">
        <v>12487</v>
      </c>
      <c r="AJ53" s="3462">
        <v>95356</v>
      </c>
      <c r="AK53" s="3462" t="s">
        <v>3738</v>
      </c>
      <c r="AL53" s="3462">
        <v>105.07</v>
      </c>
      <c r="AM53" s="3462">
        <v>12377</v>
      </c>
      <c r="AN53" s="3462">
        <v>96841</v>
      </c>
      <c r="AO53" s="3462" t="s">
        <v>3706</v>
      </c>
      <c r="AP53" s="3462">
        <v>101.52</v>
      </c>
      <c r="AQ53" s="3462">
        <v>11417</v>
      </c>
      <c r="AR53" s="3462">
        <v>93932</v>
      </c>
      <c r="AS53" s="3462" t="s">
        <v>3739</v>
      </c>
    </row>
    <row r="54" spans="1:45">
      <c r="A54" s="3462" t="s">
        <v>3740</v>
      </c>
      <c r="B54" s="3462">
        <v>91.65</v>
      </c>
      <c r="C54" s="3462">
        <v>6141</v>
      </c>
      <c r="D54" s="3462">
        <v>100031</v>
      </c>
      <c r="E54" s="3462" t="s">
        <v>3709</v>
      </c>
      <c r="F54" s="3462">
        <v>97.51</v>
      </c>
      <c r="G54" s="3462">
        <v>5718</v>
      </c>
      <c r="H54" s="3462">
        <v>104922</v>
      </c>
      <c r="I54" s="3462" t="s">
        <v>3741</v>
      </c>
      <c r="J54" s="3462">
        <v>102.47</v>
      </c>
      <c r="K54" s="3462">
        <v>6397</v>
      </c>
      <c r="L54" s="3462">
        <v>103808</v>
      </c>
      <c r="M54" s="3462" t="s">
        <v>3453</v>
      </c>
      <c r="N54" s="3462">
        <v>100.79</v>
      </c>
      <c r="O54" s="3462">
        <v>6277</v>
      </c>
      <c r="P54" s="3462">
        <v>107664</v>
      </c>
      <c r="Q54" s="3462" t="s">
        <v>3483</v>
      </c>
      <c r="R54" s="3462">
        <v>100.64</v>
      </c>
      <c r="S54" s="3462">
        <v>6018</v>
      </c>
      <c r="T54" s="3462">
        <v>108370</v>
      </c>
      <c r="U54" s="3462" t="s">
        <v>3741</v>
      </c>
      <c r="V54" s="3462">
        <v>99.39</v>
      </c>
      <c r="W54" s="3462">
        <v>6224</v>
      </c>
      <c r="X54" s="3462">
        <v>106888</v>
      </c>
      <c r="Y54" s="3462" t="s">
        <v>3472</v>
      </c>
      <c r="Z54" s="3462">
        <v>98.34</v>
      </c>
      <c r="AA54" s="3462">
        <v>6539</v>
      </c>
      <c r="AB54" s="3462">
        <v>107547</v>
      </c>
      <c r="AC54" s="3462" t="s">
        <v>3632</v>
      </c>
      <c r="AD54" s="3462">
        <v>95.57</v>
      </c>
      <c r="AE54" s="3462">
        <v>6505</v>
      </c>
      <c r="AF54" s="3462">
        <v>111134</v>
      </c>
      <c r="AG54" s="3462" t="s">
        <v>3742</v>
      </c>
      <c r="AH54" s="3462">
        <v>94.46</v>
      </c>
      <c r="AI54" s="3462">
        <v>6452</v>
      </c>
      <c r="AJ54" s="3462">
        <v>105973</v>
      </c>
      <c r="AK54" s="3462" t="s">
        <v>3626</v>
      </c>
      <c r="AL54" s="3462">
        <v>98.11</v>
      </c>
      <c r="AM54" s="3462">
        <v>6702</v>
      </c>
      <c r="AN54" s="3462">
        <v>107754</v>
      </c>
      <c r="AO54" s="3462" t="s">
        <v>3743</v>
      </c>
      <c r="AP54" s="3462">
        <v>96</v>
      </c>
      <c r="AQ54" s="3462">
        <v>6683</v>
      </c>
      <c r="AR54" s="3462">
        <v>109253</v>
      </c>
      <c r="AS54" s="3462" t="s">
        <v>3744</v>
      </c>
    </row>
    <row r="55" spans="1:45">
      <c r="A55" s="3462" t="s">
        <v>3745</v>
      </c>
      <c r="B55" s="3462">
        <v>90.82</v>
      </c>
      <c r="C55" s="3462">
        <v>5226</v>
      </c>
      <c r="D55" s="3462">
        <v>82335</v>
      </c>
      <c r="E55" s="3462" t="s">
        <v>3558</v>
      </c>
      <c r="F55" s="3462">
        <v>93.39</v>
      </c>
      <c r="G55" s="3462">
        <v>4790</v>
      </c>
      <c r="H55" s="3462">
        <v>80721</v>
      </c>
      <c r="I55" s="3462" t="s">
        <v>3746</v>
      </c>
      <c r="J55" s="3462">
        <v>95.17</v>
      </c>
      <c r="K55" s="3462">
        <v>5014</v>
      </c>
      <c r="L55" s="3462">
        <v>79139</v>
      </c>
      <c r="M55" s="3462" t="s">
        <v>3747</v>
      </c>
      <c r="N55" s="3462">
        <v>97.96</v>
      </c>
      <c r="O55" s="3462">
        <v>5167</v>
      </c>
      <c r="P55" s="3462">
        <v>77588</v>
      </c>
      <c r="Q55" s="3462" t="s">
        <v>3748</v>
      </c>
      <c r="R55" s="3462">
        <v>94.54</v>
      </c>
      <c r="S55" s="3462">
        <v>5080</v>
      </c>
      <c r="T55" s="3462">
        <v>79988</v>
      </c>
      <c r="U55" s="3462" t="s">
        <v>3749</v>
      </c>
      <c r="V55" s="3462">
        <v>91.13</v>
      </c>
      <c r="W55" s="3462">
        <v>5064</v>
      </c>
      <c r="X55" s="3462">
        <v>77659</v>
      </c>
      <c r="Y55" s="3462" t="s">
        <v>3493</v>
      </c>
      <c r="Z55" s="3462">
        <v>92.64</v>
      </c>
      <c r="AA55" s="3462">
        <v>4903</v>
      </c>
      <c r="AB55" s="3462">
        <v>76891</v>
      </c>
      <c r="AC55" s="3462" t="s">
        <v>3546</v>
      </c>
      <c r="AD55" s="3462">
        <v>91.21</v>
      </c>
      <c r="AE55" s="3462">
        <v>4918</v>
      </c>
      <c r="AF55" s="3462">
        <v>76891</v>
      </c>
      <c r="AG55" s="3462" t="s">
        <v>3750</v>
      </c>
      <c r="AH55" s="3462" t="s">
        <v>633</v>
      </c>
      <c r="AI55" s="3462" t="s">
        <v>633</v>
      </c>
      <c r="AJ55" s="3462" t="s">
        <v>633</v>
      </c>
      <c r="AK55" s="3462" t="s">
        <v>633</v>
      </c>
      <c r="AL55" s="3462" t="s">
        <v>633</v>
      </c>
      <c r="AM55" s="3462" t="s">
        <v>633</v>
      </c>
      <c r="AN55" s="3462" t="s">
        <v>633</v>
      </c>
      <c r="AO55" s="3462" t="s">
        <v>633</v>
      </c>
      <c r="AP55" s="3462" t="s">
        <v>633</v>
      </c>
      <c r="AQ55" s="3462" t="s">
        <v>633</v>
      </c>
      <c r="AR55" s="3462" t="s">
        <v>633</v>
      </c>
      <c r="AS55" s="3462" t="s">
        <v>633</v>
      </c>
    </row>
  </sheetData>
  <mergeCells count="12">
    <mergeCell ref="AP1:AS1"/>
    <mergeCell ref="A1:A2"/>
    <mergeCell ref="B1:E1"/>
    <mergeCell ref="F1:I1"/>
    <mergeCell ref="J1:M1"/>
    <mergeCell ref="N1:Q1"/>
    <mergeCell ref="R1:U1"/>
    <mergeCell ref="V1:Y1"/>
    <mergeCell ref="Z1:AC1"/>
    <mergeCell ref="AD1:AG1"/>
    <mergeCell ref="AH1:AK1"/>
    <mergeCell ref="AL1:AO1"/>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9" t="s">
        <v>2607</v>
      </c>
      <c r="B20" s="3784" t="s">
        <v>2628</v>
      </c>
      <c r="C20" s="3102" t="s">
        <v>2439</v>
      </c>
      <c r="D20" s="3103"/>
      <c r="E20" s="3104">
        <v>1</v>
      </c>
      <c r="F20" s="3105" t="s">
        <v>2440</v>
      </c>
      <c r="G20" s="3105"/>
    </row>
    <row r="21" spans="1:13" ht="19.5" customHeight="1">
      <c r="A21" s="3790"/>
      <c r="B21" s="3783"/>
      <c r="C21" s="3106" t="s">
        <v>2441</v>
      </c>
      <c r="D21" s="3107"/>
      <c r="E21" s="3108">
        <v>1</v>
      </c>
      <c r="F21" s="3105" t="s">
        <v>2442</v>
      </c>
      <c r="G21" s="3105"/>
    </row>
    <row r="22" spans="1:13" ht="19.5" customHeight="1">
      <c r="A22" s="3790"/>
      <c r="B22" s="3783"/>
      <c r="C22" s="3106" t="s">
        <v>2443</v>
      </c>
      <c r="D22" s="3107"/>
      <c r="E22" s="3108">
        <v>0.9</v>
      </c>
      <c r="F22" s="3105" t="s">
        <v>2444</v>
      </c>
      <c r="G22" s="3105"/>
    </row>
    <row r="23" spans="1:13" ht="19.5" customHeight="1">
      <c r="A23" s="3790"/>
      <c r="B23" s="3783"/>
      <c r="C23" s="3106" t="s">
        <v>2445</v>
      </c>
      <c r="D23" s="3107"/>
      <c r="E23" s="3108">
        <v>0.9</v>
      </c>
      <c r="F23" s="3105" t="s">
        <v>2446</v>
      </c>
      <c r="G23" s="3105"/>
    </row>
    <row r="24" spans="1:13" ht="19.5" customHeight="1">
      <c r="A24" s="3790"/>
      <c r="B24" s="3783"/>
      <c r="C24" s="3106" t="s">
        <v>2447</v>
      </c>
      <c r="D24" s="3107"/>
      <c r="E24" s="3108">
        <v>0.8</v>
      </c>
      <c r="F24" s="3105" t="s">
        <v>2448</v>
      </c>
      <c r="G24" s="3105"/>
    </row>
    <row r="25" spans="1:13" ht="19.5" customHeight="1" thickBot="1">
      <c r="A25" s="3791"/>
      <c r="B25" s="378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6" t="s">
        <v>2631</v>
      </c>
      <c r="B27" s="3784" t="s">
        <v>2612</v>
      </c>
      <c r="C27" s="3102" t="s">
        <v>2452</v>
      </c>
      <c r="D27" s="3103"/>
      <c r="E27" s="3104">
        <v>1</v>
      </c>
      <c r="F27" s="3105" t="s">
        <v>2453</v>
      </c>
      <c r="G27" s="3105"/>
    </row>
    <row r="28" spans="1:13" ht="19.5" customHeight="1">
      <c r="A28" s="3787"/>
      <c r="B28" s="3783"/>
      <c r="C28" s="3106" t="s">
        <v>2454</v>
      </c>
      <c r="D28" s="3107"/>
      <c r="E28" s="3108">
        <v>1</v>
      </c>
      <c r="F28" s="3105" t="s">
        <v>2455</v>
      </c>
      <c r="G28" s="3105"/>
    </row>
    <row r="29" spans="1:13" ht="19.5" customHeight="1">
      <c r="A29" s="3787"/>
      <c r="B29" s="3783"/>
      <c r="C29" s="3106" t="s">
        <v>2456</v>
      </c>
      <c r="D29" s="3107"/>
      <c r="E29" s="3108">
        <v>0.8</v>
      </c>
      <c r="F29" s="3105" t="s">
        <v>2457</v>
      </c>
      <c r="G29" s="3105"/>
    </row>
    <row r="30" spans="1:13" ht="19.5" customHeight="1">
      <c r="A30" s="3787"/>
      <c r="B30" s="3783"/>
      <c r="C30" s="3106" t="s">
        <v>2458</v>
      </c>
      <c r="D30" s="3107"/>
      <c r="E30" s="3108">
        <v>0.8</v>
      </c>
      <c r="F30" s="3105" t="s">
        <v>2459</v>
      </c>
      <c r="G30" s="3105"/>
    </row>
    <row r="31" spans="1:13" ht="19.5" customHeight="1">
      <c r="A31" s="3787"/>
      <c r="B31" s="3783"/>
      <c r="C31" s="3106" t="s">
        <v>2460</v>
      </c>
      <c r="D31" s="3107"/>
      <c r="E31" s="3108">
        <v>0.8</v>
      </c>
      <c r="F31" s="3105" t="s">
        <v>2461</v>
      </c>
      <c r="G31" s="3105"/>
    </row>
    <row r="32" spans="1:13" ht="19.5" customHeight="1">
      <c r="A32" s="3787"/>
      <c r="B32" s="3783"/>
      <c r="C32" s="3106" t="s">
        <v>2462</v>
      </c>
      <c r="D32" s="3107"/>
      <c r="E32" s="3108">
        <v>0.7</v>
      </c>
      <c r="F32" s="3105" t="s">
        <v>2463</v>
      </c>
      <c r="G32" s="3105"/>
    </row>
    <row r="33" spans="1:7" ht="19.5" customHeight="1">
      <c r="A33" s="3787"/>
      <c r="B33" s="3783"/>
      <c r="C33" s="3106" t="s">
        <v>2464</v>
      </c>
      <c r="D33" s="3107"/>
      <c r="E33" s="3108">
        <v>0.8</v>
      </c>
      <c r="F33" s="3105" t="s">
        <v>2465</v>
      </c>
      <c r="G33" s="3105"/>
    </row>
    <row r="34" spans="1:7" ht="19.5" customHeight="1">
      <c r="A34" s="3787"/>
      <c r="B34" s="3783"/>
      <c r="C34" s="3106" t="s">
        <v>2466</v>
      </c>
      <c r="D34" s="3107"/>
      <c r="E34" s="3108">
        <v>0.6</v>
      </c>
      <c r="F34" s="3105" t="s">
        <v>2467</v>
      </c>
      <c r="G34" s="3105"/>
    </row>
    <row r="35" spans="1:7" ht="19.5" customHeight="1">
      <c r="A35" s="3787"/>
      <c r="B35" s="3783"/>
      <c r="C35" s="3106" t="s">
        <v>2468</v>
      </c>
      <c r="D35" s="3107"/>
      <c r="E35" s="3108">
        <v>0.2</v>
      </c>
      <c r="F35" s="3105" t="s">
        <v>2469</v>
      </c>
      <c r="G35" s="3105"/>
    </row>
    <row r="36" spans="1:7" ht="19.5" customHeight="1">
      <c r="A36" s="3787"/>
      <c r="B36" s="3783"/>
      <c r="C36" s="3106" t="s">
        <v>2470</v>
      </c>
      <c r="D36" s="3107"/>
      <c r="E36" s="3108">
        <v>0.2</v>
      </c>
      <c r="F36" s="3105" t="s">
        <v>2471</v>
      </c>
      <c r="G36" s="3105"/>
    </row>
    <row r="37" spans="1:7" ht="19.5" customHeight="1">
      <c r="A37" s="3787"/>
      <c r="B37" s="3781" t="s">
        <v>2632</v>
      </c>
      <c r="C37" s="3106" t="s">
        <v>2472</v>
      </c>
      <c r="D37" s="3107"/>
      <c r="E37" s="3108">
        <v>0.6</v>
      </c>
      <c r="F37" s="3105" t="s">
        <v>2473</v>
      </c>
      <c r="G37" s="3105"/>
    </row>
    <row r="38" spans="1:7" ht="19.5" customHeight="1">
      <c r="A38" s="3787"/>
      <c r="B38" s="3783"/>
      <c r="C38" s="3106" t="s">
        <v>2474</v>
      </c>
      <c r="D38" s="3107"/>
      <c r="E38" s="3108">
        <v>0.6</v>
      </c>
      <c r="F38" s="3105" t="s">
        <v>2475</v>
      </c>
      <c r="G38" s="3105"/>
    </row>
    <row r="39" spans="1:7" ht="19.5" customHeight="1" thickBot="1">
      <c r="A39" s="3788"/>
      <c r="B39" s="378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9" t="s">
        <v>2610</v>
      </c>
      <c r="B41" s="3784" t="s">
        <v>2634</v>
      </c>
      <c r="C41" s="3102" t="s">
        <v>2479</v>
      </c>
      <c r="D41" s="3103"/>
      <c r="E41" s="3104">
        <v>1</v>
      </c>
      <c r="F41" s="3105" t="s">
        <v>2480</v>
      </c>
      <c r="G41" s="3105"/>
    </row>
    <row r="42" spans="1:7" ht="19.5" customHeight="1">
      <c r="A42" s="3790"/>
      <c r="B42" s="3783"/>
      <c r="C42" s="3106" t="s">
        <v>2481</v>
      </c>
      <c r="D42" s="3107"/>
      <c r="E42" s="3108">
        <v>1</v>
      </c>
      <c r="F42" s="3105" t="s">
        <v>2482</v>
      </c>
      <c r="G42" s="3105"/>
    </row>
    <row r="43" spans="1:7" ht="19.5" customHeight="1">
      <c r="A43" s="3790"/>
      <c r="B43" s="3782"/>
      <c r="C43" s="3106" t="s">
        <v>2483</v>
      </c>
      <c r="D43" s="3107"/>
      <c r="E43" s="3108">
        <v>1.5</v>
      </c>
      <c r="F43" s="3105" t="s">
        <v>2484</v>
      </c>
      <c r="G43" s="3105"/>
    </row>
    <row r="44" spans="1:7" ht="19.5" customHeight="1">
      <c r="A44" s="3790"/>
      <c r="B44" s="3117" t="s">
        <v>2635</v>
      </c>
      <c r="C44" s="3106" t="s">
        <v>2636</v>
      </c>
      <c r="D44" s="3107"/>
      <c r="E44" s="3108">
        <v>2</v>
      </c>
      <c r="F44" s="3105" t="s">
        <v>2485</v>
      </c>
      <c r="G44" s="3105"/>
    </row>
    <row r="45" spans="1:7" ht="19.5" customHeight="1">
      <c r="A45" s="3790"/>
      <c r="B45" s="3781" t="s">
        <v>2637</v>
      </c>
      <c r="C45" s="3106" t="s">
        <v>2486</v>
      </c>
      <c r="D45" s="3107"/>
      <c r="E45" s="3108">
        <v>1</v>
      </c>
      <c r="F45" s="3105" t="s">
        <v>2487</v>
      </c>
      <c r="G45" s="3105"/>
    </row>
    <row r="46" spans="1:7" ht="19.5" customHeight="1">
      <c r="A46" s="3790"/>
      <c r="B46" s="3783"/>
      <c r="C46" s="3106" t="s">
        <v>2488</v>
      </c>
      <c r="D46" s="3107"/>
      <c r="E46" s="3108">
        <v>1</v>
      </c>
      <c r="F46" s="3105" t="s">
        <v>2489</v>
      </c>
      <c r="G46" s="3105"/>
    </row>
    <row r="47" spans="1:7" ht="19.5" customHeight="1">
      <c r="A47" s="3790"/>
      <c r="B47" s="3783"/>
      <c r="C47" s="3106" t="s">
        <v>2490</v>
      </c>
      <c r="D47" s="3107"/>
      <c r="E47" s="3108">
        <v>1</v>
      </c>
      <c r="F47" s="3105" t="s">
        <v>2491</v>
      </c>
      <c r="G47" s="3105"/>
    </row>
    <row r="48" spans="1:7" ht="19.5" customHeight="1">
      <c r="A48" s="3790"/>
      <c r="B48" s="3783"/>
      <c r="C48" s="3106" t="s">
        <v>2492</v>
      </c>
      <c r="D48" s="3107"/>
      <c r="E48" s="3108">
        <v>1</v>
      </c>
      <c r="F48" s="3105" t="s">
        <v>2493</v>
      </c>
      <c r="G48" s="3105"/>
    </row>
    <row r="49" spans="1:7" ht="19.5" customHeight="1">
      <c r="A49" s="3790"/>
      <c r="B49" s="3783"/>
      <c r="C49" s="3106" t="s">
        <v>2494</v>
      </c>
      <c r="D49" s="3107"/>
      <c r="E49" s="3108">
        <v>1</v>
      </c>
      <c r="F49" s="3105" t="s">
        <v>2495</v>
      </c>
      <c r="G49" s="3105"/>
    </row>
    <row r="50" spans="1:7" ht="19.5" customHeight="1">
      <c r="A50" s="3790"/>
      <c r="B50" s="3783"/>
      <c r="C50" s="3106" t="s">
        <v>2496</v>
      </c>
      <c r="D50" s="3107"/>
      <c r="E50" s="3108">
        <v>1</v>
      </c>
      <c r="F50" s="3105" t="s">
        <v>2497</v>
      </c>
      <c r="G50" s="3105"/>
    </row>
    <row r="51" spans="1:7" ht="19.5" customHeight="1" thickBot="1">
      <c r="A51" s="3791"/>
      <c r="B51" s="378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1" t="s">
        <v>2651</v>
      </c>
      <c r="C73" s="3091" t="s">
        <v>2652</v>
      </c>
      <c r="D73" s="3091" t="s">
        <v>2653</v>
      </c>
      <c r="E73" s="3117">
        <v>0.2</v>
      </c>
      <c r="F73" s="3117">
        <v>25</v>
      </c>
    </row>
    <row r="74" spans="1:7" ht="24">
      <c r="A74" s="3117">
        <v>2</v>
      </c>
      <c r="B74" s="3783"/>
      <c r="C74" s="3091" t="s">
        <v>2654</v>
      </c>
      <c r="D74" s="3091" t="s">
        <v>2655</v>
      </c>
      <c r="E74" s="3117">
        <v>0.2</v>
      </c>
      <c r="F74" s="3117">
        <v>25</v>
      </c>
    </row>
    <row r="75" spans="1:7" ht="24">
      <c r="A75" s="3117">
        <v>3</v>
      </c>
      <c r="B75" s="3783"/>
      <c r="C75" s="3091" t="s">
        <v>2656</v>
      </c>
      <c r="D75" s="3091" t="s">
        <v>2657</v>
      </c>
      <c r="E75" s="3117">
        <v>0.2</v>
      </c>
      <c r="F75" s="3117">
        <v>25</v>
      </c>
    </row>
    <row r="76" spans="1:7" ht="13.5">
      <c r="A76" s="3117">
        <v>4</v>
      </c>
      <c r="B76" s="3783"/>
      <c r="C76" s="3091" t="s">
        <v>2658</v>
      </c>
      <c r="D76" s="3091" t="s">
        <v>2659</v>
      </c>
      <c r="E76" s="3117">
        <v>0.15</v>
      </c>
      <c r="F76" s="3117">
        <v>20</v>
      </c>
    </row>
    <row r="77" spans="1:7" ht="24">
      <c r="A77" s="3117">
        <v>5</v>
      </c>
      <c r="B77" s="3783"/>
      <c r="C77" s="3091" t="s">
        <v>2660</v>
      </c>
      <c r="D77" s="3091" t="s">
        <v>2661</v>
      </c>
      <c r="E77" s="3117">
        <v>0.15</v>
      </c>
      <c r="F77" s="3117">
        <v>20</v>
      </c>
    </row>
    <row r="78" spans="1:7" ht="24">
      <c r="A78" s="3117">
        <v>6</v>
      </c>
      <c r="B78" s="3783"/>
      <c r="C78" s="3091" t="s">
        <v>2662</v>
      </c>
      <c r="D78" s="3091" t="s">
        <v>2663</v>
      </c>
      <c r="E78" s="3117">
        <v>0.15</v>
      </c>
      <c r="F78" s="3117">
        <v>20</v>
      </c>
    </row>
    <row r="79" spans="1:7" ht="24">
      <c r="A79" s="3117">
        <v>7</v>
      </c>
      <c r="B79" s="3783"/>
      <c r="C79" s="3091" t="s">
        <v>2664</v>
      </c>
      <c r="D79" s="3091" t="s">
        <v>2665</v>
      </c>
      <c r="E79" s="3117">
        <v>0.15</v>
      </c>
      <c r="F79" s="3117">
        <v>20</v>
      </c>
    </row>
    <row r="80" spans="1:7" ht="24">
      <c r="A80" s="3117">
        <v>8</v>
      </c>
      <c r="B80" s="3783"/>
      <c r="C80" s="3091" t="s">
        <v>2666</v>
      </c>
      <c r="D80" s="3091" t="s">
        <v>2667</v>
      </c>
      <c r="E80" s="3117">
        <v>0.1</v>
      </c>
      <c r="F80" s="3117">
        <v>15</v>
      </c>
    </row>
    <row r="81" spans="1:6" ht="24">
      <c r="A81" s="3117">
        <v>9</v>
      </c>
      <c r="B81" s="3783"/>
      <c r="C81" s="3091" t="s">
        <v>2668</v>
      </c>
      <c r="D81" s="3091" t="s">
        <v>2669</v>
      </c>
      <c r="E81" s="3117">
        <v>0.1</v>
      </c>
      <c r="F81" s="3117">
        <v>15</v>
      </c>
    </row>
    <row r="82" spans="1:6" ht="24">
      <c r="A82" s="3117">
        <v>10</v>
      </c>
      <c r="B82" s="3783"/>
      <c r="C82" s="3091" t="s">
        <v>2670</v>
      </c>
      <c r="D82" s="3091" t="s">
        <v>2671</v>
      </c>
      <c r="E82" s="3117">
        <v>0.1</v>
      </c>
      <c r="F82" s="3117">
        <v>15</v>
      </c>
    </row>
    <row r="83" spans="1:6" ht="24">
      <c r="A83" s="3117">
        <v>11</v>
      </c>
      <c r="B83" s="3783"/>
      <c r="C83" s="3091" t="s">
        <v>2672</v>
      </c>
      <c r="D83" s="3091" t="s">
        <v>2673</v>
      </c>
      <c r="E83" s="3117">
        <v>0.1</v>
      </c>
      <c r="F83" s="3117">
        <v>15</v>
      </c>
    </row>
    <row r="84" spans="1:6" ht="24">
      <c r="A84" s="3117">
        <v>12</v>
      </c>
      <c r="B84" s="3783"/>
      <c r="C84" s="3091" t="s">
        <v>2674</v>
      </c>
      <c r="D84" s="3091" t="s">
        <v>2675</v>
      </c>
      <c r="E84" s="3117">
        <v>0.1</v>
      </c>
      <c r="F84" s="3117">
        <v>15</v>
      </c>
    </row>
    <row r="85" spans="1:6" ht="13.5">
      <c r="A85" s="3117">
        <v>13</v>
      </c>
      <c r="B85" s="3783"/>
      <c r="C85" s="3091" t="s">
        <v>2676</v>
      </c>
      <c r="D85" s="3091" t="s">
        <v>2677</v>
      </c>
      <c r="E85" s="3117">
        <v>0.1</v>
      </c>
      <c r="F85" s="3117">
        <v>15</v>
      </c>
    </row>
    <row r="86" spans="1:6" ht="13.5">
      <c r="A86" s="3117">
        <v>14</v>
      </c>
      <c r="B86" s="3783"/>
      <c r="C86" s="3091" t="s">
        <v>2678</v>
      </c>
      <c r="D86" s="3091" t="s">
        <v>2679</v>
      </c>
      <c r="E86" s="3117">
        <v>0.1</v>
      </c>
      <c r="F86" s="3117">
        <v>15</v>
      </c>
    </row>
    <row r="87" spans="1:6" ht="13.5">
      <c r="A87" s="3117">
        <v>15</v>
      </c>
      <c r="B87" s="3783"/>
      <c r="C87" s="3091" t="s">
        <v>2680</v>
      </c>
      <c r="D87" s="3091" t="s">
        <v>2681</v>
      </c>
      <c r="E87" s="3117">
        <v>0.1</v>
      </c>
      <c r="F87" s="3117">
        <v>15</v>
      </c>
    </row>
    <row r="88" spans="1:6" ht="24">
      <c r="A88" s="3117">
        <v>16</v>
      </c>
      <c r="B88" s="3783"/>
      <c r="C88" s="3091" t="s">
        <v>2682</v>
      </c>
      <c r="D88" s="3091" t="s">
        <v>2683</v>
      </c>
      <c r="E88" s="3117">
        <v>0.1</v>
      </c>
      <c r="F88" s="3117">
        <v>15</v>
      </c>
    </row>
    <row r="89" spans="1:6" ht="24">
      <c r="A89" s="3117">
        <v>17</v>
      </c>
      <c r="B89" s="3782"/>
      <c r="C89" s="3091" t="s">
        <v>2684</v>
      </c>
      <c r="D89" s="3091" t="s">
        <v>2685</v>
      </c>
      <c r="E89" s="3117">
        <v>0.1</v>
      </c>
      <c r="F89" s="3117">
        <v>15</v>
      </c>
    </row>
    <row r="90" spans="1:6" ht="13.5">
      <c r="A90" s="3117">
        <v>18</v>
      </c>
      <c r="B90" s="3781" t="s">
        <v>2686</v>
      </c>
      <c r="C90" s="3091" t="s">
        <v>2687</v>
      </c>
      <c r="D90" s="3091" t="s">
        <v>2688</v>
      </c>
      <c r="E90" s="3117">
        <v>0.2</v>
      </c>
      <c r="F90" s="3117">
        <v>25</v>
      </c>
    </row>
    <row r="91" spans="1:6" ht="24">
      <c r="A91" s="3117">
        <v>19</v>
      </c>
      <c r="B91" s="3783"/>
      <c r="C91" s="3091" t="s">
        <v>2689</v>
      </c>
      <c r="D91" s="3091" t="s">
        <v>2690</v>
      </c>
      <c r="E91" s="3117">
        <v>0.2</v>
      </c>
      <c r="F91" s="3117">
        <v>25</v>
      </c>
    </row>
    <row r="92" spans="1:6" ht="13.5">
      <c r="A92" s="3117">
        <v>20</v>
      </c>
      <c r="B92" s="3783"/>
      <c r="C92" s="3091" t="s">
        <v>2691</v>
      </c>
      <c r="D92" s="3091" t="s">
        <v>2692</v>
      </c>
      <c r="E92" s="3117">
        <v>0.15</v>
      </c>
      <c r="F92" s="3117">
        <v>20</v>
      </c>
    </row>
    <row r="93" spans="1:6" ht="13.5">
      <c r="A93" s="3117">
        <v>21</v>
      </c>
      <c r="B93" s="3783"/>
      <c r="C93" s="3091" t="s">
        <v>2693</v>
      </c>
      <c r="D93" s="3091" t="s">
        <v>2694</v>
      </c>
      <c r="E93" s="3117">
        <v>0.15</v>
      </c>
      <c r="F93" s="3117">
        <v>20</v>
      </c>
    </row>
    <row r="94" spans="1:6" ht="13.5">
      <c r="A94" s="3117">
        <v>22</v>
      </c>
      <c r="B94" s="3783"/>
      <c r="C94" s="3091" t="s">
        <v>2695</v>
      </c>
      <c r="D94" s="3091" t="s">
        <v>2696</v>
      </c>
      <c r="E94" s="3117">
        <v>0.15</v>
      </c>
      <c r="F94" s="3117">
        <v>20</v>
      </c>
    </row>
    <row r="95" spans="1:6" ht="36">
      <c r="A95" s="3117">
        <v>23</v>
      </c>
      <c r="B95" s="3783"/>
      <c r="C95" s="3091" t="s">
        <v>2697</v>
      </c>
      <c r="D95" s="3091" t="s">
        <v>2698</v>
      </c>
      <c r="E95" s="3117">
        <v>0.15</v>
      </c>
      <c r="F95" s="3117">
        <v>20</v>
      </c>
    </row>
    <row r="96" spans="1:6" ht="13.5">
      <c r="A96" s="3117">
        <v>24</v>
      </c>
      <c r="B96" s="3783"/>
      <c r="C96" s="3091" t="s">
        <v>2699</v>
      </c>
      <c r="D96" s="3091" t="s">
        <v>2700</v>
      </c>
      <c r="E96" s="3117">
        <v>0.1</v>
      </c>
      <c r="F96" s="3117">
        <v>15</v>
      </c>
    </row>
    <row r="97" spans="1:6" ht="13.5">
      <c r="A97" s="3117">
        <v>25</v>
      </c>
      <c r="B97" s="3783"/>
      <c r="C97" s="3091" t="s">
        <v>2701</v>
      </c>
      <c r="D97" s="3091" t="s">
        <v>2702</v>
      </c>
      <c r="E97" s="3117">
        <v>0.1</v>
      </c>
      <c r="F97" s="3117">
        <v>15</v>
      </c>
    </row>
    <row r="98" spans="1:6" ht="24">
      <c r="A98" s="3117">
        <v>26</v>
      </c>
      <c r="B98" s="3783"/>
      <c r="C98" s="3091" t="s">
        <v>2703</v>
      </c>
      <c r="D98" s="3091" t="s">
        <v>2704</v>
      </c>
      <c r="E98" s="3117">
        <v>0.1</v>
      </c>
      <c r="F98" s="3117">
        <v>15</v>
      </c>
    </row>
    <row r="99" spans="1:6" ht="24">
      <c r="A99" s="3117">
        <v>27</v>
      </c>
      <c r="B99" s="3783"/>
      <c r="C99" s="3091" t="s">
        <v>2705</v>
      </c>
      <c r="D99" s="3091" t="s">
        <v>2706</v>
      </c>
      <c r="E99" s="3117">
        <v>0.1</v>
      </c>
      <c r="F99" s="3117">
        <v>15</v>
      </c>
    </row>
    <row r="100" spans="1:6" ht="13.5">
      <c r="A100" s="3117">
        <v>28</v>
      </c>
      <c r="B100" s="3783"/>
      <c r="C100" s="3091" t="s">
        <v>2707</v>
      </c>
      <c r="D100" s="3091" t="s">
        <v>2708</v>
      </c>
      <c r="E100" s="3117">
        <v>0.1</v>
      </c>
      <c r="F100" s="3117">
        <v>15</v>
      </c>
    </row>
    <row r="101" spans="1:6" ht="13.5">
      <c r="A101" s="3117">
        <v>29</v>
      </c>
      <c r="B101" s="3783"/>
      <c r="C101" s="3091" t="s">
        <v>2709</v>
      </c>
      <c r="D101" s="3091" t="s">
        <v>2710</v>
      </c>
      <c r="E101" s="3117">
        <v>0.1</v>
      </c>
      <c r="F101" s="3117">
        <v>15</v>
      </c>
    </row>
    <row r="102" spans="1:6" ht="13.5">
      <c r="A102" s="3117">
        <v>30</v>
      </c>
      <c r="B102" s="3783"/>
      <c r="C102" s="3091" t="s">
        <v>2711</v>
      </c>
      <c r="D102" s="3091" t="s">
        <v>2712</v>
      </c>
      <c r="E102" s="3117">
        <v>0.1</v>
      </c>
      <c r="F102" s="3117">
        <v>15</v>
      </c>
    </row>
    <row r="103" spans="1:6" ht="24">
      <c r="A103" s="3117">
        <v>31</v>
      </c>
      <c r="B103" s="3783"/>
      <c r="C103" s="3091" t="s">
        <v>2713</v>
      </c>
      <c r="D103" s="3091" t="s">
        <v>2714</v>
      </c>
      <c r="E103" s="3117">
        <v>0.1</v>
      </c>
      <c r="F103" s="3117">
        <v>15</v>
      </c>
    </row>
    <row r="104" spans="1:6" ht="24">
      <c r="A104" s="3117">
        <v>32</v>
      </c>
      <c r="B104" s="3783"/>
      <c r="C104" s="3091" t="s">
        <v>2715</v>
      </c>
      <c r="D104" s="3091" t="s">
        <v>2716</v>
      </c>
      <c r="E104" s="3117">
        <v>0.1</v>
      </c>
      <c r="F104" s="3117">
        <v>15</v>
      </c>
    </row>
    <row r="105" spans="1:6" ht="24">
      <c r="A105" s="3117">
        <v>33</v>
      </c>
      <c r="B105" s="3783"/>
      <c r="C105" s="3091" t="s">
        <v>2717</v>
      </c>
      <c r="D105" s="3091" t="s">
        <v>2718</v>
      </c>
      <c r="E105" s="3117">
        <v>0.1</v>
      </c>
      <c r="F105" s="3117">
        <v>15</v>
      </c>
    </row>
    <row r="106" spans="1:6" ht="24">
      <c r="A106" s="3117">
        <v>34</v>
      </c>
      <c r="B106" s="3782"/>
      <c r="C106" s="3091" t="s">
        <v>2719</v>
      </c>
      <c r="D106" s="3091" t="s">
        <v>2720</v>
      </c>
      <c r="E106" s="3117">
        <v>0.1</v>
      </c>
      <c r="F106" s="3117">
        <v>15</v>
      </c>
    </row>
    <row r="107" spans="1:6" ht="24">
      <c r="A107" s="3117">
        <v>35</v>
      </c>
      <c r="B107" s="3781" t="s">
        <v>2721</v>
      </c>
      <c r="C107" s="3117" t="s">
        <v>2722</v>
      </c>
      <c r="D107" s="3091" t="s">
        <v>2723</v>
      </c>
      <c r="E107" s="3117">
        <v>0.15</v>
      </c>
      <c r="F107" s="3117">
        <v>20</v>
      </c>
    </row>
    <row r="108" spans="1:6" ht="13.5">
      <c r="A108" s="3117">
        <v>36</v>
      </c>
      <c r="B108" s="3783"/>
      <c r="C108" s="3117" t="s">
        <v>2724</v>
      </c>
      <c r="D108" s="3091" t="s">
        <v>2725</v>
      </c>
      <c r="E108" s="3117">
        <v>0.15</v>
      </c>
      <c r="F108" s="3117">
        <v>20</v>
      </c>
    </row>
    <row r="109" spans="1:6" ht="13.5">
      <c r="A109" s="3117">
        <v>37</v>
      </c>
      <c r="B109" s="3783"/>
      <c r="C109" s="3117" t="s">
        <v>2726</v>
      </c>
      <c r="D109" s="3091" t="s">
        <v>2727</v>
      </c>
      <c r="E109" s="3117">
        <v>0.15</v>
      </c>
      <c r="F109" s="3117">
        <v>20</v>
      </c>
    </row>
    <row r="110" spans="1:6" ht="13.5">
      <c r="A110" s="3117">
        <v>38</v>
      </c>
      <c r="B110" s="3783"/>
      <c r="C110" s="3117" t="s">
        <v>2728</v>
      </c>
      <c r="D110" s="3091" t="s">
        <v>2729</v>
      </c>
      <c r="E110" s="3117">
        <v>0.1</v>
      </c>
      <c r="F110" s="3117">
        <v>15</v>
      </c>
    </row>
    <row r="111" spans="1:6" ht="24">
      <c r="A111" s="3117">
        <v>39</v>
      </c>
      <c r="B111" s="3783"/>
      <c r="C111" s="3117" t="s">
        <v>2730</v>
      </c>
      <c r="D111" s="3091" t="s">
        <v>2731</v>
      </c>
      <c r="E111" s="3117">
        <v>0.1</v>
      </c>
      <c r="F111" s="3117">
        <v>15</v>
      </c>
    </row>
    <row r="112" spans="1:6" ht="24">
      <c r="A112" s="3117">
        <v>40</v>
      </c>
      <c r="B112" s="3782"/>
      <c r="C112" s="3117" t="s">
        <v>2732</v>
      </c>
      <c r="D112" s="3091" t="s">
        <v>2733</v>
      </c>
      <c r="E112" s="3117">
        <v>0.1</v>
      </c>
      <c r="F112" s="3117">
        <v>15</v>
      </c>
    </row>
    <row r="113" spans="1:6" ht="13.5">
      <c r="A113" s="3117">
        <v>41</v>
      </c>
      <c r="B113" s="3780" t="s">
        <v>2734</v>
      </c>
      <c r="C113" s="3117" t="s">
        <v>2735</v>
      </c>
      <c r="D113" s="3091" t="s">
        <v>2736</v>
      </c>
      <c r="E113" s="3117">
        <v>0.1</v>
      </c>
      <c r="F113" s="3117">
        <v>15</v>
      </c>
    </row>
    <row r="114" spans="1:6" ht="13.5">
      <c r="A114" s="3117">
        <v>42</v>
      </c>
      <c r="B114" s="3780"/>
      <c r="C114" s="3117" t="s">
        <v>2737</v>
      </c>
      <c r="D114" s="3091" t="s">
        <v>2738</v>
      </c>
      <c r="E114" s="3117">
        <v>0.1</v>
      </c>
      <c r="F114" s="3117">
        <v>15</v>
      </c>
    </row>
    <row r="115" spans="1:6" ht="24">
      <c r="A115" s="3117">
        <v>43</v>
      </c>
      <c r="B115" s="3780"/>
      <c r="C115" s="3117" t="s">
        <v>2739</v>
      </c>
      <c r="D115" s="3091" t="s">
        <v>2740</v>
      </c>
      <c r="E115" s="3117">
        <v>0.1</v>
      </c>
      <c r="F115" s="3117">
        <v>15</v>
      </c>
    </row>
    <row r="116" spans="1:6" ht="13.5">
      <c r="A116" s="3117">
        <v>44</v>
      </c>
      <c r="B116" s="3781" t="s">
        <v>2741</v>
      </c>
      <c r="C116" s="3117" t="s">
        <v>2742</v>
      </c>
      <c r="D116" s="3091" t="s">
        <v>2743</v>
      </c>
      <c r="E116" s="3117">
        <v>0.1</v>
      </c>
      <c r="F116" s="3117">
        <v>15</v>
      </c>
    </row>
    <row r="117" spans="1:6" ht="24">
      <c r="A117" s="3117">
        <v>45</v>
      </c>
      <c r="B117" s="3782"/>
      <c r="C117" s="3091" t="s">
        <v>2744</v>
      </c>
      <c r="D117" s="3091" t="s">
        <v>2745</v>
      </c>
      <c r="E117" s="3117">
        <v>0.1</v>
      </c>
      <c r="F117" s="3117">
        <v>15</v>
      </c>
    </row>
    <row r="118" spans="1:6" ht="24">
      <c r="A118" s="3117">
        <v>46</v>
      </c>
      <c r="B118" s="3781" t="s">
        <v>2746</v>
      </c>
      <c r="C118" s="3117" t="s">
        <v>2747</v>
      </c>
      <c r="D118" s="3091" t="s">
        <v>2748</v>
      </c>
      <c r="E118" s="3117">
        <v>0.1</v>
      </c>
      <c r="F118" s="3117">
        <v>15</v>
      </c>
    </row>
    <row r="119" spans="1:6" ht="24">
      <c r="A119" s="3117">
        <v>47</v>
      </c>
      <c r="B119" s="3782"/>
      <c r="C119" s="3117" t="s">
        <v>2749</v>
      </c>
      <c r="D119" s="3091" t="s">
        <v>2750</v>
      </c>
      <c r="E119" s="3117">
        <v>0.1</v>
      </c>
      <c r="F119" s="3117">
        <v>15</v>
      </c>
    </row>
    <row r="120" spans="1:6" ht="13.5">
      <c r="A120" s="3117">
        <v>48</v>
      </c>
      <c r="B120" s="3781" t="s">
        <v>2751</v>
      </c>
      <c r="C120" s="3117" t="s">
        <v>2752</v>
      </c>
      <c r="D120" s="3091" t="s">
        <v>2753</v>
      </c>
      <c r="E120" s="3117">
        <v>0.1</v>
      </c>
      <c r="F120" s="3117">
        <v>15</v>
      </c>
    </row>
    <row r="121" spans="1:6" ht="13.5">
      <c r="A121" s="3117">
        <v>49</v>
      </c>
      <c r="B121" s="3782"/>
      <c r="C121" s="3117" t="s">
        <v>2754</v>
      </c>
      <c r="D121" s="3091" t="s">
        <v>2755</v>
      </c>
      <c r="E121" s="3117">
        <v>0.1</v>
      </c>
      <c r="F121" s="3117">
        <v>15</v>
      </c>
    </row>
    <row r="122" spans="1:6" ht="24">
      <c r="A122" s="3117">
        <v>50</v>
      </c>
      <c r="B122" s="3780" t="s">
        <v>2756</v>
      </c>
      <c r="C122" s="3117" t="s">
        <v>2757</v>
      </c>
      <c r="D122" s="3091" t="s">
        <v>2758</v>
      </c>
      <c r="E122" s="3117">
        <v>0.1</v>
      </c>
      <c r="F122" s="3117">
        <v>15</v>
      </c>
    </row>
    <row r="123" spans="1:6" ht="24">
      <c r="A123" s="3117">
        <v>51</v>
      </c>
      <c r="B123" s="3780"/>
      <c r="C123" s="3117" t="s">
        <v>2759</v>
      </c>
      <c r="D123" s="3091" t="s">
        <v>2760</v>
      </c>
      <c r="E123" s="3117">
        <v>0.1</v>
      </c>
      <c r="F123" s="3117">
        <v>15</v>
      </c>
    </row>
    <row r="124" spans="1:6" ht="24">
      <c r="A124" s="3117">
        <v>52</v>
      </c>
      <c r="B124" s="3780" t="s">
        <v>2761</v>
      </c>
      <c r="C124" s="3117" t="s">
        <v>2762</v>
      </c>
      <c r="D124" s="3091" t="s">
        <v>2763</v>
      </c>
      <c r="E124" s="3117">
        <v>0.1</v>
      </c>
      <c r="F124" s="3117">
        <v>15</v>
      </c>
    </row>
    <row r="125" spans="1:6" ht="24">
      <c r="A125" s="3117">
        <v>53</v>
      </c>
      <c r="B125" s="3780"/>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0" t="s">
        <v>2769</v>
      </c>
      <c r="C127" s="3117" t="s">
        <v>2770</v>
      </c>
      <c r="D127" s="3091" t="s">
        <v>2771</v>
      </c>
      <c r="E127" s="3117">
        <v>0.1</v>
      </c>
      <c r="F127" s="3117">
        <v>15</v>
      </c>
    </row>
    <row r="128" spans="1:6" ht="13.5">
      <c r="A128" s="3117">
        <v>56</v>
      </c>
      <c r="B128" s="3780"/>
      <c r="C128" s="3117" t="s">
        <v>2772</v>
      </c>
      <c r="D128" s="3091" t="s">
        <v>2773</v>
      </c>
      <c r="E128" s="3117">
        <v>0.1</v>
      </c>
      <c r="F128" s="3117">
        <v>15</v>
      </c>
    </row>
    <row r="129" spans="1:6" ht="24">
      <c r="A129" s="3117">
        <v>57</v>
      </c>
      <c r="B129" s="3780"/>
      <c r="C129" s="3117" t="s">
        <v>2774</v>
      </c>
      <c r="D129" s="3091" t="s">
        <v>2775</v>
      </c>
      <c r="E129" s="3117">
        <v>0.1</v>
      </c>
      <c r="F129" s="3117">
        <v>15</v>
      </c>
    </row>
    <row r="130" spans="1:6" ht="24">
      <c r="A130" s="3117">
        <v>58</v>
      </c>
      <c r="B130" s="3780" t="s">
        <v>2776</v>
      </c>
      <c r="C130" s="3117" t="s">
        <v>2777</v>
      </c>
      <c r="D130" s="3091" t="s">
        <v>2778</v>
      </c>
      <c r="E130" s="3117">
        <v>0.1</v>
      </c>
      <c r="F130" s="3117">
        <v>15</v>
      </c>
    </row>
    <row r="131" spans="1:6" ht="13.5">
      <c r="A131" s="3117">
        <v>59</v>
      </c>
      <c r="B131" s="3780"/>
      <c r="C131" s="3117" t="s">
        <v>2779</v>
      </c>
      <c r="D131" s="3091" t="s">
        <v>2780</v>
      </c>
      <c r="E131" s="3117">
        <v>0.1</v>
      </c>
      <c r="F131" s="3117">
        <v>15</v>
      </c>
    </row>
    <row r="132" spans="1:6" ht="13.5">
      <c r="A132" s="3117">
        <v>60</v>
      </c>
      <c r="B132" s="3781" t="s">
        <v>2781</v>
      </c>
      <c r="C132" s="3117" t="s">
        <v>2782</v>
      </c>
      <c r="D132" s="3091" t="s">
        <v>2783</v>
      </c>
      <c r="E132" s="3117">
        <v>0.1</v>
      </c>
      <c r="F132" s="3117">
        <v>15</v>
      </c>
    </row>
    <row r="133" spans="1:6" ht="13.5">
      <c r="A133" s="3117">
        <v>61</v>
      </c>
      <c r="B133" s="378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0" t="s">
        <v>2789</v>
      </c>
      <c r="C135" s="3117" t="s">
        <v>2790</v>
      </c>
      <c r="D135" s="3091" t="s">
        <v>2791</v>
      </c>
      <c r="E135" s="3117">
        <v>0.1</v>
      </c>
      <c r="F135" s="3117">
        <v>15</v>
      </c>
    </row>
    <row r="136" spans="1:6" ht="13.5">
      <c r="A136" s="3117">
        <v>64</v>
      </c>
      <c r="B136" s="3780"/>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551</v>
      </c>
      <c r="E5" s="1491"/>
    </row>
    <row r="6" spans="1:5" ht="15.75">
      <c r="A6" s="1491"/>
      <c r="B6" s="3471"/>
      <c r="C6" s="1494" t="s">
        <v>911</v>
      </c>
      <c r="D6" s="850" t="str">
        <f ca="1">NUMBERSTRING(INT(D5*10000),2)&amp;"元整"</f>
        <v>伍佰伍拾壹万元整</v>
      </c>
      <c r="E6" s="1491"/>
    </row>
    <row r="7" spans="1:5" ht="15.75">
      <c r="A7" s="1491"/>
      <c r="B7" s="3476"/>
      <c r="C7" s="1495" t="s">
        <v>912</v>
      </c>
      <c r="D7" s="851">
        <f ca="1">结果表!H102</f>
        <v>79119</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551</v>
      </c>
      <c r="E13" s="1491"/>
    </row>
    <row r="14" spans="1:5" ht="15.75">
      <c r="A14" s="1491"/>
      <c r="B14" s="3471"/>
      <c r="C14" s="1494" t="s">
        <v>911</v>
      </c>
      <c r="D14" s="850" t="str">
        <f ca="1">NUMBERSTRING(INT(D13*10000),2)&amp;"元整"</f>
        <v>伍佰伍拾壹万元整</v>
      </c>
      <c r="E14" s="1491"/>
    </row>
    <row r="15" spans="1:5" ht="15">
      <c r="A15" s="1491"/>
      <c r="B15" s="3476"/>
      <c r="C15" s="1495" t="s">
        <v>921</v>
      </c>
      <c r="D15" s="859">
        <f ca="1">结果表!H108</f>
        <v>79119</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30772</v>
      </c>
      <c r="C2" s="2" t="s">
        <v>106</v>
      </c>
      <c r="D2" s="199"/>
      <c r="E2" s="199"/>
      <c r="F2" s="199"/>
      <c r="G2" s="199"/>
    </row>
    <row r="3" spans="1:7" s="200" customFormat="1" ht="18" customHeight="1" thickBot="1">
      <c r="A3" s="203" t="s">
        <v>58</v>
      </c>
      <c r="B3" s="204">
        <f ca="1">ROUND(B2*10000/'数据-汇总表'!E3,0)</f>
        <v>4414921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69.7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30772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4" t="s">
        <v>2839</v>
      </c>
      <c r="B1" s="3794"/>
      <c r="C1" s="3794"/>
      <c r="D1" s="3794"/>
      <c r="E1" s="3794"/>
      <c r="F1" s="3794"/>
      <c r="G1" s="379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9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9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6" t="s">
        <v>3181</v>
      </c>
      <c r="B1" s="379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7" t="s">
        <v>3232</v>
      </c>
      <c r="B1" s="3797"/>
      <c r="C1" s="3797"/>
      <c r="D1" s="3797"/>
      <c r="E1" s="3797"/>
      <c r="F1" s="379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3370</v>
      </c>
      <c r="C1" s="3210"/>
      <c r="D1" s="3210"/>
      <c r="E1" s="3210"/>
      <c r="F1" s="3210"/>
      <c r="G1" s="3210"/>
      <c r="H1" s="3210"/>
      <c r="I1" s="3210"/>
      <c r="J1" s="3164"/>
      <c r="K1" s="3210" t="s">
        <v>454</v>
      </c>
      <c r="L1" s="3210"/>
      <c r="M1" s="3210"/>
      <c r="N1" s="3210"/>
      <c r="O1" s="3210"/>
      <c r="P1" s="3210"/>
      <c r="Q1" s="3164"/>
      <c r="R1" s="3799" t="s">
        <v>456</v>
      </c>
      <c r="S1" s="3800"/>
      <c r="T1" s="3800"/>
      <c r="U1" s="3800"/>
      <c r="V1" s="3800"/>
      <c r="W1" s="3800"/>
      <c r="X1" s="3164"/>
      <c r="Y1" s="3799" t="s">
        <v>457</v>
      </c>
      <c r="Z1" s="3800"/>
      <c r="AA1" s="3800"/>
      <c r="AB1" s="3800"/>
      <c r="AC1" s="3800"/>
      <c r="AD1" s="3800"/>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3376</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3368</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3367</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3366</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3362</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3353</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3364</v>
      </c>
    </row>
    <row r="21" spans="1:30" s="3008" customFormat="1">
      <c r="I21" s="3207" t="s">
        <v>2825</v>
      </c>
    </row>
    <row r="22" spans="1:30" s="3008" customFormat="1"/>
    <row r="23" spans="1:30" s="3208" customFormat="1" ht="12.75">
      <c r="B23" s="3209" t="s">
        <v>3371</v>
      </c>
      <c r="C23" s="3210"/>
      <c r="D23" s="3210"/>
      <c r="E23" s="3210"/>
      <c r="F23" s="3210"/>
      <c r="G23" s="3210"/>
      <c r="H23" s="3210"/>
      <c r="I23" s="3210"/>
      <c r="J23" s="3164"/>
      <c r="K23" s="3210" t="s">
        <v>2826</v>
      </c>
      <c r="L23" s="3210"/>
      <c r="M23" s="3210"/>
      <c r="N23" s="3210"/>
      <c r="O23" s="3210"/>
      <c r="P23" s="3210"/>
      <c r="Q23" s="3164"/>
      <c r="R23" s="3799" t="s">
        <v>2827</v>
      </c>
      <c r="S23" s="3800"/>
      <c r="T23" s="3800"/>
      <c r="U23" s="3800"/>
      <c r="V23" s="3800"/>
      <c r="W23" s="3800"/>
      <c r="X23" s="3164"/>
      <c r="Y23" s="3799" t="s">
        <v>2828</v>
      </c>
      <c r="Z23" s="3800"/>
      <c r="AA23" s="3800"/>
      <c r="AB23" s="3800"/>
      <c r="AC23" s="3800"/>
      <c r="AD23" s="3800"/>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3376</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3372</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3367</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3366</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3363</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3353</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69.7</v>
      </c>
      <c r="C4" s="854">
        <f>项目基本情况!C18</f>
        <v>0</v>
      </c>
      <c r="D4" s="854" t="e">
        <f ca="1">结果表!D118</f>
        <v>#REF!</v>
      </c>
      <c r="E4" s="854" t="e">
        <f ca="1">结果表!E118</f>
        <v>#REF!</v>
      </c>
      <c r="F4" s="854" t="e">
        <f ca="1">结果表!F118</f>
        <v>#REF!</v>
      </c>
      <c r="G4" s="854" t="e">
        <f ca="1">结果表!G118</f>
        <v>#REF!</v>
      </c>
      <c r="H4" s="854">
        <f ca="1">结果表!H118</f>
        <v>551</v>
      </c>
      <c r="I4" s="854">
        <f ca="1">结果表!I118</f>
        <v>79119</v>
      </c>
    </row>
    <row r="5" spans="1:9" ht="30" customHeight="1">
      <c r="A5" s="3483" t="s">
        <v>927</v>
      </c>
      <c r="B5" s="3483"/>
      <c r="C5" s="3483"/>
      <c r="D5" s="3483" t="e">
        <f ca="1">结果表!D119</f>
        <v>#REF!</v>
      </c>
      <c r="E5" s="3483"/>
      <c r="F5" s="3483" t="e">
        <f ca="1">结果表!F119</f>
        <v>#REF!</v>
      </c>
      <c r="G5" s="3483"/>
      <c r="H5" s="3483" t="str">
        <f ca="1">结果表!H119</f>
        <v>伍佰伍拾壹万元整</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f ca="1">结果表!D122</f>
        <v>551</v>
      </c>
      <c r="E8" s="3482"/>
      <c r="F8" s="3482"/>
      <c r="G8" s="3482"/>
      <c r="H8" s="3482"/>
      <c r="I8" s="3482"/>
    </row>
    <row r="9" spans="1:9" ht="15">
      <c r="A9" s="3483" t="s">
        <v>927</v>
      </c>
      <c r="B9" s="3483"/>
      <c r="C9" s="3483"/>
      <c r="D9" s="3483" t="str">
        <f ca="1">结果表!D123</f>
        <v>伍佰伍拾壹万元整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宁小鳗</v>
      </c>
      <c r="B5" s="1511">
        <f>项目基本情况!E4</f>
        <v>1120210056</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3"/>
      <c r="E18" s="3508" t="s">
        <v>2161</v>
      </c>
      <c r="F18" s="3507"/>
      <c r="G18" s="350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售价</vt:lpstr>
      <vt:lpstr>租赁</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2024-01-05T04:50:02Z</dcterms:modified>
</cp:coreProperties>
</file>