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45" yWindow="60" windowWidth="13740" windowHeight="124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6" i="1"/>
  <c r="N21" i="1"/>
  <c r="N19"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L52" i="15" s="1"/>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F40" i="67"/>
  <c r="F7" i="73"/>
  <c r="B12" i="76"/>
  <c r="D7" i="73"/>
  <c r="M9" i="15"/>
  <c r="L48" i="67"/>
  <c r="F5" i="73"/>
  <c r="D6" i="73"/>
  <c r="M6" i="15"/>
  <c r="C76" i="15"/>
  <c r="F43" i="67"/>
  <c r="F38" i="67"/>
  <c r="B10" i="76"/>
  <c r="F37" i="15"/>
  <c r="M29" i="15"/>
  <c r="B11" i="76"/>
  <c r="M22" i="15"/>
  <c r="M23" i="67"/>
  <c r="L47" i="67"/>
  <c r="F42" i="67"/>
  <c r="F8" i="15"/>
  <c r="F37" i="67"/>
  <c r="F26" i="15"/>
  <c r="F3" i="73"/>
  <c r="E2" i="69"/>
  <c r="M8" i="67"/>
  <c r="F43" i="15"/>
  <c r="M24" i="15"/>
  <c r="B8" i="76"/>
  <c r="F36" i="15"/>
  <c r="J15" i="67"/>
  <c r="M26" i="67"/>
  <c r="M9" i="67"/>
  <c r="B13" i="76"/>
  <c r="E11" i="76"/>
  <c r="F16" i="67"/>
  <c r="B7" i="76"/>
  <c r="M28" i="15"/>
  <c r="D3" i="73"/>
  <c r="E7" i="76"/>
  <c r="F8" i="67"/>
  <c r="M6" i="67"/>
  <c r="M24" i="67"/>
  <c r="F20" i="31"/>
  <c r="F6" i="73"/>
  <c r="F4" i="73"/>
  <c r="F6" i="15"/>
  <c r="M29" i="67"/>
  <c r="M23" i="15"/>
  <c r="E2" i="68"/>
  <c r="F36" i="67"/>
  <c r="M8" i="15"/>
  <c r="F26" i="67"/>
  <c r="F42" i="15"/>
  <c r="F7" i="67"/>
  <c r="D5" i="73"/>
  <c r="F7" i="15"/>
  <c r="E10" i="76"/>
  <c r="E9" i="76"/>
  <c r="L48" i="15"/>
  <c r="F9" i="15"/>
  <c r="F9" i="67"/>
  <c r="F6" i="67"/>
  <c r="M26" i="15"/>
  <c r="C76" i="67"/>
  <c r="M28" i="67"/>
  <c r="J15" i="15"/>
  <c r="AO13" i="1"/>
  <c r="F16" i="15"/>
  <c r="E12" i="76"/>
  <c r="F40" i="15"/>
  <c r="F13" i="67"/>
  <c r="E13" i="76"/>
  <c r="E8" i="76"/>
  <c r="B9" i="76"/>
  <c r="D4" i="73"/>
  <c r="F38" i="15"/>
  <c r="L47" i="15"/>
  <c r="F13" i="15"/>
  <c r="BA5" i="3" l="1"/>
  <c r="G6" i="1"/>
  <c r="I24" i="43"/>
  <c r="C24" i="43" s="1"/>
  <c r="H50" i="43"/>
  <c r="H67" i="43"/>
  <c r="H69" i="43"/>
  <c r="C21" i="68"/>
  <c r="C40" i="69"/>
  <c r="G5" i="3"/>
  <c r="B3" i="3" s="1"/>
  <c r="E253" i="3" s="1"/>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0" i="3"/>
  <c r="E587" i="3"/>
  <c r="E73" i="3"/>
  <c r="E394" i="3"/>
  <c r="E236" i="3"/>
  <c r="AG6" i="3"/>
  <c r="E558" i="3"/>
  <c r="E88" i="3"/>
  <c r="E316"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E480" i="3" l="1"/>
  <c r="E295" i="3"/>
  <c r="E404" i="3"/>
  <c r="E443" i="3"/>
  <c r="E576" i="3"/>
  <c r="I6" i="3"/>
  <c r="E274" i="3"/>
  <c r="E55" i="3"/>
  <c r="E424" i="3"/>
  <c r="E238" i="3"/>
  <c r="E30" i="3"/>
  <c r="E166" i="3"/>
  <c r="E444" i="3"/>
  <c r="P6" i="3"/>
  <c r="E164" i="3"/>
  <c r="E32" i="3"/>
  <c r="E256" i="3"/>
  <c r="E496" i="3"/>
  <c r="E474" i="3"/>
  <c r="E334" i="3"/>
  <c r="E121" i="3"/>
  <c r="E581" i="3"/>
  <c r="E448" i="3"/>
  <c r="E252" i="3"/>
  <c r="E580" i="3"/>
  <c r="E203" i="3"/>
  <c r="E537" i="3"/>
  <c r="E560"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77" i="3"/>
  <c r="E344" i="3"/>
  <c r="E438" i="3"/>
  <c r="E472" i="3"/>
  <c r="Q6" i="3"/>
  <c r="E262" i="3"/>
  <c r="E156"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AE6" i="3"/>
  <c r="E288" i="3"/>
  <c r="E406" i="3"/>
  <c r="E437" i="3"/>
  <c r="E330" i="3"/>
  <c r="E128"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29" i="3"/>
  <c r="W6" i="3"/>
  <c r="E465" i="3"/>
  <c r="E481" i="3"/>
  <c r="E529" i="3"/>
  <c r="E177" i="3"/>
  <c r="E434" i="3"/>
  <c r="P6" i="1"/>
  <c r="C13" i="12" s="1"/>
  <c r="E532" i="3"/>
  <c r="E313" i="3"/>
  <c r="E224" i="3"/>
  <c r="E157" i="3"/>
  <c r="E306" i="3"/>
  <c r="E352" i="3"/>
  <c r="E136" i="3"/>
  <c r="E461" i="3"/>
  <c r="E122" i="3"/>
  <c r="K6" i="3"/>
  <c r="E133" i="3"/>
  <c r="E277" i="3"/>
  <c r="E228" i="3"/>
  <c r="AK6" i="3"/>
  <c r="E545" i="3"/>
  <c r="E181" i="3"/>
  <c r="E568" i="3"/>
  <c r="E77" i="3"/>
  <c r="E450" i="3"/>
  <c r="E571" i="3"/>
  <c r="E562" i="3"/>
  <c r="E457" i="3"/>
  <c r="E527" i="3"/>
  <c r="E458" i="3"/>
  <c r="E573" i="3"/>
  <c r="E519" i="3"/>
  <c r="E193" i="3"/>
  <c r="E45" i="3"/>
  <c r="E99" i="3"/>
  <c r="E511" i="3"/>
  <c r="E314" i="3"/>
  <c r="E85" i="3"/>
  <c r="E453"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512" i="3"/>
  <c r="E556" i="3"/>
  <c r="E452" i="3"/>
  <c r="E104" i="3"/>
  <c r="E139" i="3"/>
  <c r="E332" i="3"/>
  <c r="E42" i="3"/>
  <c r="E482" i="3"/>
  <c r="E78" i="3"/>
  <c r="E220" i="3"/>
  <c r="E383" i="3"/>
  <c r="E86" i="3"/>
  <c r="E232" i="3"/>
  <c r="E102" i="3"/>
  <c r="E158" i="3"/>
  <c r="E308" i="3"/>
  <c r="E22" i="3"/>
  <c r="E408" i="3"/>
  <c r="E497" i="3"/>
  <c r="E470" i="3"/>
  <c r="E41" i="3"/>
  <c r="E225" i="3"/>
  <c r="E391" i="3"/>
  <c r="E94" i="3"/>
  <c r="E412" i="3"/>
  <c r="E129" i="3"/>
  <c r="E275" i="3"/>
  <c r="E342" i="3"/>
  <c r="E34" i="3"/>
  <c r="E251" i="3"/>
  <c r="E80" i="3"/>
  <c r="E179" i="3"/>
  <c r="E323" i="3"/>
  <c r="E82" i="3"/>
  <c r="E451" i="3"/>
  <c r="E13" i="3"/>
  <c r="E420" i="3"/>
  <c r="E115" i="3"/>
  <c r="E281" i="3"/>
  <c r="E356" i="3"/>
  <c r="E75" i="3"/>
  <c r="E18" i="3"/>
  <c r="E190" i="3"/>
  <c r="E235" i="3"/>
  <c r="E522" i="3"/>
  <c r="E49" i="3"/>
  <c r="E370" i="3"/>
  <c r="E113" i="3"/>
  <c r="E287" i="3"/>
  <c r="E326" i="3"/>
  <c r="E83" i="3"/>
  <c r="E469" i="3"/>
  <c r="E360" i="3"/>
  <c r="E494" i="3"/>
  <c r="E26" i="3"/>
  <c r="E198" i="3"/>
  <c r="E243" i="3"/>
  <c r="AL6" i="3"/>
  <c r="E428" i="3"/>
  <c r="E96" i="3"/>
  <c r="E174" i="3"/>
  <c r="E324" i="3"/>
  <c r="E35" i="3"/>
  <c r="E206" i="3"/>
  <c r="AF6" i="3"/>
  <c r="E154" i="3"/>
  <c r="E222" i="3"/>
  <c r="E373" i="3"/>
  <c r="D18" i="53"/>
  <c r="B35" i="72" s="1"/>
  <c r="C7" i="74"/>
  <c r="J7" i="37"/>
  <c r="AC7" i="37" s="1"/>
  <c r="V42" i="37" s="1"/>
  <c r="I42" i="37"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B14" i="74" l="1"/>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4" i="74" l="1"/>
  <c r="B2" i="7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D8" i="74" l="1"/>
  <c r="D7" i="74"/>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D9" i="71"/>
  <c r="I63" i="40"/>
  <c r="H65" i="40"/>
  <c r="I58" i="21"/>
  <c r="J58" i="21" s="1"/>
  <c r="K58" i="21" s="1"/>
  <c r="L58" i="21" s="1"/>
  <c r="M58" i="21" s="1"/>
  <c r="N58" i="21" s="1"/>
  <c r="O58" i="21" s="1"/>
  <c r="H7" i="21" s="1"/>
  <c r="J48" i="35"/>
  <c r="G26" i="43" l="1"/>
  <c r="H26" i="43"/>
  <c r="N370" i="46"/>
  <c r="F26" i="43"/>
  <c r="N94" i="46"/>
  <c r="J26" i="43"/>
  <c r="E26" i="43"/>
  <c r="Z7" i="43"/>
  <c r="B116" i="43"/>
  <c r="C21" i="12"/>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W7" i="21"/>
  <c r="D26" i="43" l="1"/>
  <c r="C25" i="43" s="1"/>
  <c r="C33"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C118" i="43" l="1"/>
  <c r="D116" i="43"/>
  <c r="C34" i="43"/>
  <c r="E34" i="43" s="1"/>
  <c r="C31" i="43" s="1"/>
  <c r="E3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6" i="68" l="1"/>
  <c r="C30"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7" i="68"/>
  <c r="C5"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Q69" i="15" l="1"/>
  <c r="Q68" i="15" s="1"/>
  <c r="H39" i="15"/>
  <c r="B2" i="76"/>
  <c r="B3" i="76" s="1"/>
  <c r="C23" i="68"/>
  <c r="C20" i="68"/>
  <c r="B3"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C28" i="68" l="1"/>
  <c r="C27" i="68" s="1"/>
  <c r="C25" i="68"/>
  <c r="C22" i="68" s="1"/>
  <c r="C31" i="68" s="1"/>
  <c r="C5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AO11" i="1"/>
  <c r="AO9" i="1"/>
  <c r="AO7" i="1"/>
  <c r="B2" i="68" l="1"/>
  <c r="C57" i="68"/>
  <c r="C56" i="68" s="1"/>
  <c r="L46" i="15"/>
  <c r="B2" i="15"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D19" i="9"/>
  <c r="D20" i="9"/>
  <c r="AO6" i="1"/>
  <c r="C21" i="9" l="1"/>
  <c r="C102" i="9"/>
  <c r="B3" i="68"/>
  <c r="D103"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20" i="9"/>
  <c r="C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G118" i="9" s="1"/>
  <c r="G4" i="52" s="1"/>
  <c r="B52" i="72" s="1"/>
  <c r="H118" i="9"/>
  <c r="H4" i="52" l="1"/>
  <c r="D14" i="74"/>
  <c r="F119" i="9"/>
  <c r="F5" i="52" s="1"/>
  <c r="B53" i="72" s="1"/>
  <c r="H101" i="9"/>
  <c r="D4" i="52"/>
  <c r="B47" i="72" s="1"/>
  <c r="F4" i="52"/>
  <c r="B51" i="72" s="1"/>
  <c r="C104" i="9"/>
  <c r="I118" i="9"/>
  <c r="H119" i="9"/>
  <c r="H5" i="52" s="1"/>
  <c r="E14" i="74" l="1"/>
  <c r="B5" i="74"/>
  <c r="D5" i="74" s="1"/>
  <c r="F14" i="74"/>
  <c r="C105" i="9"/>
  <c r="E118" i="9"/>
  <c r="E4" i="52" s="1"/>
  <c r="B48" i="72" s="1"/>
  <c r="H102" i="9"/>
  <c r="I4" i="52"/>
  <c r="M48" i="9"/>
  <c r="D5" i="53"/>
  <c r="H107" i="9"/>
  <c r="D45" i="9"/>
  <c r="D53" i="9" l="1"/>
  <c r="C78" i="9"/>
  <c r="C73" i="9" s="1"/>
  <c r="C85" i="9"/>
  <c r="C95" i="9" s="1"/>
  <c r="D52" i="9"/>
  <c r="C93" i="9"/>
  <c r="C86" i="9" s="1"/>
  <c r="D55" i="9"/>
  <c r="M53" i="9" s="1"/>
  <c r="C64" i="9"/>
  <c r="C63" i="9" s="1"/>
  <c r="C67" i="9" s="1"/>
  <c r="C72" i="9"/>
  <c r="C5" i="74"/>
  <c r="D7" i="53"/>
  <c r="B21" i="72" s="1"/>
  <c r="B20" i="72"/>
  <c r="D6" i="53"/>
  <c r="B22" i="72" s="1"/>
  <c r="D122" i="9"/>
  <c r="H108" i="9"/>
  <c r="M49" i="9"/>
  <c r="D13" i="53"/>
  <c r="C79" i="9" l="1"/>
  <c r="C80" i="9" s="1"/>
  <c r="E80" i="9" s="1"/>
  <c r="E81" i="9" s="1"/>
  <c r="C96" i="9"/>
  <c r="E96" i="9" s="1"/>
  <c r="E97" i="9" s="1"/>
  <c r="C97" i="9"/>
  <c r="D58" i="9" s="1"/>
  <c r="D56" i="9" s="1"/>
  <c r="M54" i="9" s="1"/>
  <c r="D14" i="53"/>
  <c r="B32" i="72" s="1"/>
  <c r="B30" i="72"/>
  <c r="L64" i="9"/>
  <c r="M64" i="9" s="1"/>
  <c r="L63" i="9"/>
  <c r="M63" i="9" s="1"/>
  <c r="L65" i="9"/>
  <c r="M65" i="9" s="1"/>
  <c r="L68" i="9"/>
  <c r="M68" i="9" s="1"/>
  <c r="L66" i="9"/>
  <c r="M66" i="9" s="1"/>
  <c r="L67" i="9"/>
  <c r="M67" i="9" s="1"/>
  <c r="C68" i="9"/>
  <c r="D54" i="9" s="1"/>
  <c r="D59" i="9"/>
  <c r="M55" i="9" s="1"/>
  <c r="C6" i="74"/>
  <c r="D15" i="53"/>
  <c r="B31" i="72" s="1"/>
  <c r="D123" i="9"/>
  <c r="D9" i="52" s="1"/>
  <c r="D8" i="52"/>
  <c r="N57" i="9" l="1"/>
  <c r="P57" i="9" s="1"/>
  <c r="C81" i="9"/>
  <c r="M69" i="9"/>
  <c r="N69" i="9" s="1"/>
  <c r="N59"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<sst xmlns="http://schemas.openxmlformats.org/spreadsheetml/2006/main" count="7829" uniqueCount="3421">
  <si>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</si>
  <si>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</si>
  <si>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</si>
  <si>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</si>
  <si>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</si>
  <si>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</si>
  <si>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</si>
  <si>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</si>
  <si>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</si>
  <si>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</si>
  <si>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</si>
  <si>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</si>
  <si>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</si>
  <si>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</si>
  <si>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</si>
  <si>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</si>
  <si>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</si>
  <si>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</si>
  <si>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</si>
  <si>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</si>
  <si>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</si>
  <si>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</si>
  <si>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</si>
  <si>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</si>
  <si>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</si>
  <si>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</si>
  <si>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</si>
  <si>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</si>
  <si>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</si>
  <si>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</si>
  <si>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</si>
  <si>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</si>
  <si>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</si>
  <si>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</si>
  <si>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</si>
  <si>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</si>
  <si>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</si>
  <si>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</si>
  <si>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</si>
  <si>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</si>
  <si>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</si>
  <si>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</si>
  <si>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</si>
  <si>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</si>
  <si>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</si>
  <si>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</si>
  <si>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</si>
  <si>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</si>
  <si>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</si>
  <si>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</si>
  <si>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</si>
  <si>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</si>
  <si>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</si>
  <si>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</si>
  <si>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</si>
  <si>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</si>
  <si>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</si>
  <si>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</si>
  <si>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</si>
  <si>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</si>
  <si>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</si>
  <si>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</si>
  <si>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</si>
  <si>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</si>
  <si>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</si>
  <si>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</si>
  <si>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</si>
  <si>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</si>
  <si>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</si>
  <si>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</si>
  <si>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</si>
  <si>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</si>
  <si>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</si>
  <si>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</si>
  <si>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</si>
  <si>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</si>
  <si>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</si>
  <si>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</si>
  <si>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</si>
  <si>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</si>
  <si>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</si>
  <si>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</si>
  <si>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</si>
  <si>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</si>
  <si>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</si>
  <si>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</si>
  <si>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</si>
  <si>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</si>
  <si>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</si>
  <si>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</si>
  <si>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</si>
  <si>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</si>
  <si>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</si>
  <si>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</si>
  <si>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</si>
  <si>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</si>
  <si>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</si>
  <si>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</si>
  <si>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</si>
  <si>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</si>
  <si>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</si>
  <si>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</si>
  <si>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</si>
  <si>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</si>
  <si>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</si>
  <si>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</si>
  <si>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</si>
  <si>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</si>
  <si>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</si>
  <si>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</si>
  <si>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</si>
  <si>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</si>
  <si>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</si>
  <si>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</si>
  <si>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</si>
  <si>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</si>
  <si>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</si>
  <si>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</si>
  <si>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</si>
  <si>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</si>
  <si>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</si>
  <si>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</si>
  <si>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</si>
  <si>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</si>
  <si>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</si>
  <si>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</si>
  <si>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</si>
  <si>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</si>
  <si>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</si>
  <si>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</si>
  <si>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</si>
  <si>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</si>
  <si>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</si>
  <si>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</si>
  <si>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</si>
  <si>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</si>
  <si>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</si>
  <si>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</si>
  <si>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</si>
  <si>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</si>
  <si>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</si>
  <si>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</si>
  <si>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</si>
  <si>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</si>
  <si>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</si>
  <si>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</si>
  <si>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</si>
  <si>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</si>
  <si>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</si>
  <si>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</si>
  <si>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</si>
  <si>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</si>
  <si>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</si>
  <si>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</si>
  <si>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</si>
  <si>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</si>
  <si>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</si>
  <si>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</si>
  <si>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</si>
  <si>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</si>
  <si>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</si>
  <si>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</si>
  <si>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</si>
  <si>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</si>
  <si>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</si>
  <si>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</si>
  <si>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</si>
  <si>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</si>
  <si>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</si>
  <si>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</si>
  <si>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</si>
  <si>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</si>
  <si>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</si>
  <si>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</si>
  <si>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</si>
  <si>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</si>
  <si>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</si>
  <si>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</si>
  <si>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</si>
  <si>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</si>
  <si>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</si>
  <si>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</si>
  <si>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</si>
  <si>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</si>
  <si>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</si>
  <si>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</si>
  <si>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</si>
  <si>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</si>
  <si>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</si>
  <si>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</si>
  <si>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</si>
  <si>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</si>
  <si>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</si>
  <si>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</si>
  <si>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</si>
  <si>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</si>
  <si>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</si>
  <si>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</si>
  <si>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</si>
  <si>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</si>
  <si>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</si>
  <si>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</si>
  <si>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</si>
  <si>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</si>
  <si>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</si>
  <si>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</si>
  <si>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</si>
  <si>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</si>
  <si>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</si>
  <si>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</si>
  <si>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</si>
  <si>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</si>
  <si>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</si>
  <si>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</si>
  <si>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</si>
  <si>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</si>
  <si>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</si>
  <si>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</si>
  <si>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</si>
  <si>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</si>
  <si>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</si>
  <si>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</si>
  <si>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</si>
  <si>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</si>
  <si>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</si>
  <si>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</si>
  <si>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</si>
  <si>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</si>
  <si>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</si>
  <si>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</si>
  <si>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</si>
  <si>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</si>
  <si>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</si>
  <si>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</si>
  <si>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</si>
  <si>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</si>
  <si>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</si>
  <si>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</si>
  <si>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</si>
  <si>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</si>
  <si>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</si>
  <si>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</si>
  <si>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</si>
  <si>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</si>
  <si>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</si>
  <si>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</si>
  <si>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</si>
  <si>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</si>
  <si>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</si>
  <si>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</si>
  <si>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</si>
  <si>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</si>
  <si>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</si>
  <si>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</si>
  <si>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</si>
  <si>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</si>
  <si>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</si>
  <si>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</si>
  <si>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</si>
  <si>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</si>
  <si>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</si>
  <si>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</si>
  <si>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</si>
  <si>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</si>
  <si>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</si>
  <si>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</si>
  <si>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</si>
  <si>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</si>
  <si>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</si>
  <si>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</si>
  <si>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</si>
  <si>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</si>
  <si>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</si>
  <si>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</si>
  <si>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</si>
  <si>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</si>
  <si>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</si>
  <si>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</si>
  <si>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</si>
  <si>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</si>
  <si>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</si>
  <si>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</si>
  <si>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</si>
  <si>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</si>
  <si>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</si>
  <si>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</si>
  <si>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</si>
  <si>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</si>
  <si>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</si>
  <si>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</si>
  <si>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</si>
  <si>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</si>
  <si>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</si>
  <si>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</si>
  <si>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</si>
  <si>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</si>
  <si>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</si>
  <si>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</si>
  <si>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</si>
  <si>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</si>
  <si>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</si>
  <si>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</si>
  <si>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</si>
  <si>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</si>
  <si>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</si>
  <si>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</si>
  <si>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</si>
  <si>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</si>
  <si>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</si>
  <si>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</si>
  <si>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</si>
  <si>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</si>
  <si>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</si>
  <si>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</si>
  <si>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</si>
  <si>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</si>
  <si>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</si>
  <si>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</si>
  <si>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</si>
  <si>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</si>
  <si>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</si>
  <si>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</si>
  <si>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</si>
  <si>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</si>
  <si>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</si>
  <si>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</si>
  <si>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</si>
  <si>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</si>
  <si>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</si>
  <si>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</si>
  <si>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</si>
  <si>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</si>
  <si>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</si>
  <si>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</si>
  <si>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</si>
  <si>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</si>
  <si>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</si>
  <si>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</si>
  <si>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</si>
  <si>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</si>
  <si>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</si>
  <si>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</si>
  <si>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</si>
  <si>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</si>
  <si>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</si>
  <si>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</si>
  <si>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</si>
  <si>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</si>
  <si>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</si>
  <si>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</si>
  <si>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</si>
  <si>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</si>
  <si>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</si>
  <si>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</si>
  <si>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</si>
  <si>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</si>
  <si>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</si>
  <si>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</si>
  <si>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</si>
  <si>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</si>
  <si>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</si>
  <si>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</si>
  <si>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</si>
  <si>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</si>
  <si>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</si>
  <si>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</si>
  <si>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</si>
  <si>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</si>
  <si>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</si>
  <si>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</si>
  <si>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</si>
  <si>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</si>
  <si>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</si>
  <si>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</si>
  <si>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</si>
  <si>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</si>
  <si>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</si>
  <si>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</si>
  <si>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</si>
  <si>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</si>
  <si>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</si>
  <si>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</si>
  <si>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</si>
  <si>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</si>
  <si>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</si>
  <si>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</si>
  <si>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</si>
  <si>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</si>
  <si>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</si>
  <si>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</si>
  <si>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</si>
  <si>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</si>
  <si>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</si>
  <si>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</si>
  <si>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</si>
  <si>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</si>
  <si>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</si>
  <si>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</si>
  <si>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</si>
  <si>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</si>
  <si>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</si>
  <si>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</si>
  <si>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</si>
  <si>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</si>
  <si>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</si>
  <si>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</si>
  <si>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</si>
  <si>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</si>
  <si>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</si>
  <si>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</si>
  <si>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</si>
  <si>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</si>
  <si>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</si>
  <si>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</si>
  <si>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</si>
  <si>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</si>
  <si>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</si>
  <si>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</si>
  <si>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</si>
  <si>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</si>
  <si>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</si>
  <si>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</si>
  <si>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</si>
  <si>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</si>
  <si>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</si>
  <si>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</si>
  <si>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</si>
  <si>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</si>
  <si>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</si>
  <si>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</si>
  <si>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</si>
  <si>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</si>
  <si>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</si>
  <si>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</si>
  <si>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</si>
  <si>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</si>
  <si>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</si>
  <si>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</si>
  <si>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</si>
  <si>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</si>
  <si>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</si>
  <si>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</si>
  <si>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</si>
  <si>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</si>
  <si>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</si>
  <si>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</si>
  <si>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</si>
  <si>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</si>
  <si>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</si>
  <si>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</si>
  <si>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</si>
  <si>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</si>
  <si>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</si>
  <si>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</si>
  <si>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</si>
  <si>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</si>
  <si>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</si>
  <si>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</si>
  <si>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</si>
  <si>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</si>
  <si>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</si>
  <si>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</si>
  <si>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</si>
  <si>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</si>
  <si>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</si>
  <si>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</si>
  <si>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</si>
  <si>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</si>
  <si>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</si>
  <si>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</si>
  <si>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</si>
  <si>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</si>
  <si>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</si>
  <si>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</si>
  <si>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</si>
  <si>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</si>
  <si>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</si>
  <si>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</si>
  <si>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</si>
  <si>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</si>
  <si>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</si>
  <si>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</si>
  <si>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</si>
  <si>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</si>
  <si>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</si>
  <si>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</si>
  <si>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</si>
  <si>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</si>
  <si>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</si>
  <si>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</si>
  <si>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</si>
  <si>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</si>
  <si>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</si>
  <si>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</si>
  <si>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</si>
  <si>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</si>
  <si>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</si>
  <si>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</si>
  <si>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</si>
  <si>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</si>
  <si>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</si>
  <si>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</si>
  <si>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</si>
  <si>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</si>
  <si>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</si>
  <si>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</si>
  <si>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</si>
  <si>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</si>
  <si>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</si>
  <si>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</si>
  <si>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</si>
  <si>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</si>
  <si>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</si>
  <si>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</si>
  <si>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</si>
  <si>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</si>
  <si>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</si>
  <si>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</si>
  <si>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</si>
  <si>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</si>
  <si>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</si>
  <si>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</si>
  <si>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</si>
  <si>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</si>
  <si>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</si>
  <si>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</si>
  <si>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</si>
  <si>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</si>
  <si>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</si>
  <si>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</si>
  <si>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</si>
  <si>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</si>
  <si>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</si>
  <si>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</si>
  <si>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</si>
  <si>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</si>
  <si>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</si>
  <si>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</si>
  <si>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</si>
  <si>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</si>
  <si>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</si>
  <si>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</si>
  <si>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</si>
  <si>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</si>
  <si>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</si>
  <si>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</si>
  <si>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</si>
  <si>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</si>
  <si>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</si>
  <si>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</si>
  <si>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</si>
  <si>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</si>
  <si>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</si>
  <si>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</si>
  <si>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</si>
  <si>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</si>
  <si>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</si>
  <si>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</si>
  <si>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</si>
  <si>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</si>
  <si>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</si>
  <si>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</si>
  <si>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</si>
  <si>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</si>
  <si>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</si>
  <si>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</si>
  <si>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</si>
  <si>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</si>
  <si>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</si>
  <si>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</si>
  <si>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</si>
  <si>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</si>
  <si>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</si>
  <si>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</si>
  <si>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</si>
  <si>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</si>
  <si>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</si>
  <si>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</si>
  <si>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</si>
  <si>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</si>
  <si>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</si>
  <si>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</si>
  <si>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</si>
  <si>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</si>
  <si>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</si>
  <si>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</si>
  <si>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</si>
  <si>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</si>
  <si>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</si>
  <si>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</si>
  <si>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</si>
  <si>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</si>
  <si>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</si>
  <si>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</si>
  <si>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</si>
  <si>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</si>
  <si>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</si>
  <si>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</si>
  <si>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</si>
  <si>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</si>
  <si>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</si>
  <si>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</si>
  <si>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</si>
  <si>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</si>
  <si>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</si>
  <si>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</si>
  <si>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</si>
  <si>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</si>
  <si>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</si>
  <si>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</si>
  <si>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</si>
  <si>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</si>
  <si>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</si>
  <si>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</si>
  <si>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</si>
  <si>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</si>
  <si>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</si>
  <si>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</si>
  <si>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</si>
  <si>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</si>
  <si>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</si>
  <si>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</si>
  <si>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</si>
  <si>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</si>
  <si>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</si>
  <si>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</si>
  <si>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</si>
  <si>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</si>
  <si>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</si>
  <si>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</si>
  <si>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</si>
  <si>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</si>
  <si>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</si>
  <si>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</si>
  <si>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</si>
  <si>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</si>
  <si>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</si>
  <si>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</si>
  <si>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</si>
  <si>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</si>
  <si>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</si>
  <si>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</si>
  <si>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</si>
  <si>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</si>
  <si>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</si>
  <si>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</si>
  <si>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</si>
  <si>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</si>
  <si>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</si>
  <si>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</si>
  <si>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</si>
  <si>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</si>
  <si>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</si>
  <si>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</si>
  <si>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</si>
  <si>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</si>
  <si>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</si>
  <si>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</si>
  <si>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</si>
  <si>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</si>
  <si>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</si>
  <si>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</si>
  <si>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</si>
  <si>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</si>
  <si>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</si>
  <si>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</si>
  <si>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</si>
  <si>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</si>
  <si>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</si>
  <si>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</si>
  <si>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</si>
  <si>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</si>
  <si>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</si>
  <si>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</si>
  <si>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</si>
  <si>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</si>
  <si>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</si>
  <si>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</si>
  <si>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</si>
  <si>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</si>
  <si>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</si>
  <si>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</si>
  <si>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</si>
  <si>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</si>
  <si>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</si>
  <si>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</si>
  <si>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</si>
  <si>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</si>
  <si>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</si>
  <si>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</si>
  <si>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</si>
  <si>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</si>
  <si>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</si>
  <si>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</si>
  <si>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</si>
  <si>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</si>
  <si>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</si>
  <si>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</si>
  <si>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</si>
  <si>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</si>
  <si>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</si>
  <si>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</si>
  <si>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</si>
  <si>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</si>
  <si>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</si>
  <si>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</si>
  <si>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</si>
  <si>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</si>
  <si>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</si>
  <si>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</si>
  <si>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</si>
  <si>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</si>
  <si>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</si>
  <si>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</si>
  <si>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</si>
  <si>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</si>
  <si>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</si>
  <si>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</si>
  <si>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</si>
  <si>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</si>
  <si>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</si>
  <si>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</si>
  <si>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</si>
  <si>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</si>
  <si>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</si>
  <si>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</si>
  <si>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</si>
  <si>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</si>
  <si>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</si>
  <si>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</si>
  <si>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</si>
  <si>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</si>
  <si>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</si>
  <si>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</si>
  <si>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</si>
  <si>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</si>
  <si>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</si>
  <si>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</si>
  <si>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</si>
  <si>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</si>
  <si>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</si>
  <si>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</si>
  <si>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</si>
  <si>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</si>
  <si>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</si>
  <si>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</si>
  <si>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</si>
  <si>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</si>
  <si>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</si>
  <si>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</si>
  <si>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</si>
  <si>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</si>
  <si>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</si>
  <si>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</si>
  <si>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</si>
  <si>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</si>
  <si>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</si>
  <si>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</si>
  <si>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</si>
  <si>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</si>
  <si>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</si>
  <si>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</si>
  <si>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</si>
  <si>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</si>
  <si>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</si>
  <si>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</si>
  <si>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</si>
  <si>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</si>
  <si>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</si>
  <si>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</si>
  <si>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</si>
  <si>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</si>
  <si>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</si>
  <si>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</si>
  <si>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</si>
  <si>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</si>
  <si>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</si>
  <si>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</si>
  <si>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</si>
  <si>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</si>
  <si>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</si>
  <si>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</si>
  <si>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</si>
  <si>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</si>
  <si>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</si>
  <si>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</si>
  <si>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</si>
  <si>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</si>
  <si>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</si>
  <si>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</si>
  <si>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</si>
  <si>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</si>
  <si>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</si>
  <si>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</si>
  <si>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</si>
  <si>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</si>
  <si>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</si>
  <si>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</si>
  <si>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</si>
  <si>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</si>
  <si>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</si>
  <si>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</si>
  <si>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</si>
  <si>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</si>
  <si>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</si>
  <si>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</si>
  <si>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</si>
  <si>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</si>
  <si>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</si>
  <si>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</si>
  <si>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</si>
  <si>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</si>
  <si>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</si>
  <si>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</si>
  <si>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</si>
  <si>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</si>
  <si>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</si>
  <si>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</si>
  <si>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</si>
  <si>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</si>
  <si>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</si>
  <si>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</si>
  <si>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</si>
  <si>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</si>
  <si>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</si>
  <si>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</si>
  <si>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</si>
  <si>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</si>
  <si>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</si>
  <si>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</si>
  <si>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</si>
  <si>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</si>
  <si>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</si>
  <si>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</si>
  <si>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</si>
  <si>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</si>
  <si>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</si>
  <si>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</si>
  <si>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</si>
  <si>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</si>
  <si>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</si>
  <si>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</si>
  <si>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</si>
  <si>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</si>
  <si>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</si>
  <si>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</si>
  <si>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</si>
  <si>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</si>
  <si>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</si>
  <si>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</si>
  <si>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</si>
  <si>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</si>
  <si>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</si>
  <si>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</si>
  <si>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</si>
  <si>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</si>
  <si>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</si>
  <si>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</si>
  <si>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</si>
  <si>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</si>
  <si>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</si>
  <si>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</si>
  <si>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</si>
  <si>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</si>
  <si>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</si>
  <si>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</si>
  <si>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</si>
  <si>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</si>
  <si>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</si>
  <si>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</si>
  <si>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</si>
  <si>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</si>
  <si>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</si>
  <si>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</si>
  <si>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</si>
  <si>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</si>
  <si>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</si>
  <si>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</si>
  <si>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</si>
  <si>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</si>
  <si>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</si>
  <si>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</si>
  <si>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</si>
  <si>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</si>
  <si>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</si>
  <si>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</si>
  <si>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</si>
  <si>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</si>
  <si>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</si>
  <si>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</si>
  <si>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</si>
  <si>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</si>
  <si>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</si>
  <si>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</si>
  <si>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</si>
  <si>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</si>
  <si>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</si>
  <si>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</si>
  <si>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</si>
  <si>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</si>
  <si>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</si>
  <si>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</si>
  <si>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</si>
  <si>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</si>
  <si>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</si>
  <si>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</si>
  <si>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</si>
  <si>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</si>
  <si>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</si>
  <si>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</si>
  <si>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</si>
  <si>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</si>
  <si>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</si>
  <si>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</si>
  <si>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</si>
  <si>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</si>
  <si>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</si>
  <si>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</si>
  <si>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</si>
  <si>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</si>
  <si>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</si>
  <si>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</si>
  <si>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</si>
  <si>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</si>
  <si>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</si>
  <si>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</si>
  <si>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</si>
  <si>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</si>
  <si>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</si>
  <si>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</si>
  <si>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</si>
  <si>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</si>
  <si>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</si>
  <si>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</si>
  <si>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</si>
  <si>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</si>
  <si>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</si>
  <si>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</si>
  <si>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</si>
  <si>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</si>
  <si>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</si>
  <si>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</si>
  <si>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</si>
  <si>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</si>
  <si>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</si>
  <si>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</si>
  <si>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</si>
  <si>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</si>
  <si>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</si>
  <si>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</si>
  <si>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</si>
  <si>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</si>
  <si>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</si>
  <si>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</si>
  <si>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</si>
  <si>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</si>
  <si>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</si>
  <si>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</si>
  <si>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</si>
  <si>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</si>
  <si>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</si>
  <si>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</si>
  <si>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</si>
  <si>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</si>
  <si>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</si>
  <si>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</si>
  <si>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</si>
  <si>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</si>
  <si>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</si>
  <si>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</si>
  <si>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</si>
  <si>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</si>
  <si>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</si>
  <si>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</si>
  <si>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</si>
  <si>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</si>
  <si>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</si>
  <si>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</si>
  <si>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</si>
  <si>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</si>
  <si>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</si>
  <si>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</si>
  <si>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</si>
  <si>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</si>
  <si>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</si>
  <si>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</si>
  <si>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</si>
  <si>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</si>
  <si>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</si>
  <si>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</si>
  <si>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</si>
  <si>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</si>
  <si>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</si>
  <si>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</si>
  <si>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</si>
  <si>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</si>
  <si>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</si>
  <si>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</si>
  <si>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</si>
  <si>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</si>
  <si>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</si>
  <si>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</si>
  <si>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</si>
  <si>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</si>
  <si>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</si>
  <si>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</si>
  <si>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</si>
  <si>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</si>
  <si>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</si>
  <si>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</si>
  <si>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</si>
  <si>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</si>
  <si>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</si>
  <si>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</si>
  <si>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</si>
  <si>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</si>
  <si>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</si>
  <si>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</si>
  <si>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</si>
  <si>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</si>
  <si>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</si>
  <si>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</si>
  <si>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</si>
  <si>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</si>
  <si>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</si>
  <si>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</si>
  <si>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</si>
  <si>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</si>
  <si>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</si>
  <si>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</si>
  <si>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</si>
  <si>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</si>
  <si>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</si>
  <si>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</si>
  <si>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</si>
  <si>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</si>
  <si>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</si>
  <si>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</si>
  <si>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</si>
  <si>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</si>
  <si>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</si>
  <si>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</si>
  <si>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</si>
  <si>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</si>
  <si>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</si>
  <si>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</si>
  <si>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</si>
  <si>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</si>
  <si>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</si>
  <si>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</si>
  <si>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</si>
  <si>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</si>
  <si>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</si>
  <si>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</si>
  <si>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</si>
  <si>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</si>
  <si>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</si>
  <si>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</si>
  <si>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</si>
  <si>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</si>
  <si>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</si>
  <si>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</si>
  <si>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</si>
  <si>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</si>
  <si>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</si>
  <si>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</si>
  <si>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</si>
  <si>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</si>
  <si>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</si>
  <si>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</si>
  <si>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</si>
  <si>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</si>
  <si>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</si>
  <si>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</si>
  <si>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</si>
  <si>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</si>
  <si>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</si>
  <si>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</si>
  <si>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</si>
  <si>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</si>
  <si>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</si>
  <si>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</si>
  <si>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</si>
  <si>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</si>
  <si>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</si>
  <si>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</si>
  <si>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</si>
  <si>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</si>
  <si>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</si>
  <si>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</si>
  <si>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</si>
  <si>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</si>
  <si>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</si>
  <si>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</si>
  <si>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</si>
  <si>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</si>
  <si>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</si>
  <si>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</si>
  <si>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</si>
  <si>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</si>
  <si>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</si>
  <si>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</si>
  <si>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</si>
  <si>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</si>
  <si>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</si>
  <si>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</si>
  <si>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</si>
  <si>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</si>
  <si>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</si>
  <si>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</si>
  <si>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</si>
  <si>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</si>
  <si>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</si>
  <si>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</si>
  <si>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</si>
  <si>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</si>
  <si>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</si>
  <si>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</si>
  <si>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</si>
  <si>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</si>
  <si>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</si>
  <si>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</si>
  <si>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</si>
  <si>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</si>
  <si>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</si>
  <si>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</si>
  <si>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</si>
  <si>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</si>
  <si>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</si>
  <si>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</si>
  <si>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</si>
  <si>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</si>
  <si>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</si>
  <si>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</si>
  <si>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</si>
  <si>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</si>
  <si>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</si>
  <si>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</si>
  <si>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</si>
  <si>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</si>
  <si>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</si>
  <si>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</si>
  <si>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</si>
  <si>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</si>
  <si>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</si>
  <si>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</si>
  <si>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</si>
  <si>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</si>
  <si>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</si>
  <si>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</si>
  <si>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</si>
  <si>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</si>
  <si>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</si>
  <si>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</si>
  <si>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</si>
  <si>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</si>
  <si>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</si>
  <si>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</si>
  <si>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</si>
  <si>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</si>
  <si>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</si>
  <si>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</si>
  <si>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</si>
  <si>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</si>
  <si>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</si>
  <si>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</si>
  <si>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</si>
  <si>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</si>
  <si>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</si>
  <si>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</si>
  <si>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</si>
  <si>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</si>
  <si>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</si>
  <si>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</si>
  <si>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</si>
  <si>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</si>
  <si>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</si>
  <si>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</si>
  <si>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</si>
  <si>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</si>
  <si>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</si>
  <si>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</si>
  <si>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</si>
  <si>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</si>
  <si>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</si>
  <si>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</si>
  <si>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</si>
  <si>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</si>
  <si>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</si>
  <si>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</si>
  <si>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</si>
  <si>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</si>
  <si>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</si>
  <si>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</si>
  <si>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</si>
  <si>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</si>
  <si>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</si>
  <si>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</si>
  <si>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</si>
  <si>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</si>
  <si>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</si>
  <si>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</si>
  <si>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</si>
  <si>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</si>
  <si>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</si>
  <si>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</si>
  <si>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</si>
  <si>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</si>
  <si>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</si>
  <si>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</si>
  <si>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</si>
  <si>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</si>
  <si>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</si>
  <si>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</si>
  <si>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</si>
  <si>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</si>
  <si>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</si>
  <si>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</si>
  <si>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</si>
  <si>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</si>
  <si>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</si>
  <si>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</si>
  <si>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</si>
  <si>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</si>
  <si>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</si>
  <si>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</si>
  <si>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</si>
  <si>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</si>
  <si>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</si>
  <si>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</si>
  <si>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</si>
  <si>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</si>
  <si>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</si>
  <si>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</si>
  <si>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</si>
  <si>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</si>
  <si>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</si>
  <si>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</si>
  <si>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</si>
  <si>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</si>
  <si>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</si>
  <si>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</si>
  <si>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</si>
  <si>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</si>
  <si>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</si>
  <si>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</si>
  <si>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</si>
  <si>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</si>
  <si>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</si>
  <si>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</si>
  <si>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</si>
  <si>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</si>
  <si>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</si>
  <si>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</si>
  <si>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</si>
  <si>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</si>
  <si>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</si>
  <si>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</si>
  <si>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</si>
  <si>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</si>
  <si>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</si>
  <si>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</si>
  <si>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</si>
  <si>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</si>
  <si>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</si>
  <si>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</si>
  <si>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</si>
  <si>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</si>
  <si>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</si>
  <si>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</si>
  <si>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</si>
  <si>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</si>
  <si>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</si>
  <si>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</si>
  <si>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</si>
  <si>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</si>
  <si>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</si>
  <si>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</si>
  <si>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</si>
  <si>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</si>
  <si>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</si>
  <si>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</si>
  <si>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</si>
  <si>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</si>
  <si>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</si>
  <si>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</si>
  <si>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</si>
  <si>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</si>
  <si>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</si>
  <si>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</si>
  <si>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</si>
  <si>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</si>
  <si>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</si>
  <si>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</si>
  <si>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</si>
  <si>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</si>
  <si>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</si>
  <si>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</si>
  <si>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</si>
  <si>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</si>
  <si>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</si>
  <si>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</si>
  <si>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</si>
  <si>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</si>
  <si>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</si>
  <si>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</si>
  <si>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</si>
  <si>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</si>
  <si>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</si>
  <si>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</si>
  <si>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</si>
  <si>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</si>
  <si>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</si>
  <si>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</si>
  <si>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</si>
  <si>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</si>
  <si>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</si>
  <si>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</si>
  <si>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</si>
  <si>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</si>
  <si>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</si>
  <si>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</si>
  <si>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</si>
  <si>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</si>
  <si>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</si>
  <si>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</si>
  <si>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</si>
  <si>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</si>
  <si>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</si>
  <si>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</si>
  <si>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</si>
  <si>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</si>
  <si>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</si>
  <si>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</si>
  <si>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</si>
  <si>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</si>
  <si>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</si>
  <si>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</si>
  <si>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</si>
  <si>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</si>
  <si>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</si>
  <si>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</si>
  <si>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</si>
  <si>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</si>
  <si>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</si>
  <si>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</si>
  <si>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</si>
  <si>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</si>
  <si>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</si>
  <si>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</si>
  <si>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</si>
  <si>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</si>
  <si>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</si>
  <si>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</si>
  <si>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</si>
  <si>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</si>
  <si>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</si>
  <si>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</si>
  <si>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</si>
  <si>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</si>
  <si>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</si>
  <si>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</si>
  <si>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</si>
  <si>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</si>
  <si>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</si>
  <si>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</si>
  <si>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</si>
  <si>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</si>
  <si>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</si>
  <si>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</si>
  <si>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</si>
  <si>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</si>
  <si>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</si>
  <si>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</si>
  <si>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</si>
  <si>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</si>
  <si>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</si>
  <si>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</si>
  <si>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</si>
  <si>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</si>
  <si>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</si>
  <si>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</si>
  <si>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</si>
  <si>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</si>
  <si>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</si>
  <si>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</si>
  <si>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</si>
  <si>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</si>
  <si>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</si>
  <si>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</si>
  <si>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</si>
  <si>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</si>
  <si>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</si>
  <si>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</si>
  <si>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</si>
  <si>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</si>
  <si>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</si>
  <si>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</si>
  <si>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</si>
  <si>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</si>
  <si>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</si>
  <si>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</si>
  <si>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</si>
  <si>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</si>
  <si>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</si>
  <si>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</si>
  <si>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</si>
  <si>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</si>
  <si>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</si>
  <si>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</si>
  <si>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</si>
  <si>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</si>
  <si>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</si>
  <si>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</si>
  <si>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</si>
  <si>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</si>
  <si>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</si>
  <si>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</si>
  <si>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</si>
  <si>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</si>
  <si>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</si>
  <si>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</si>
  <si>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</si>
  <si>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</si>
  <si>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</si>
  <si>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</si>
  <si>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</si>
  <si>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</si>
  <si>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</si>
  <si>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</si>
  <si>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</si>
  <si>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</si>
  <si>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</si>
  <si>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</si>
  <si>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</si>
  <si>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</si>
  <si>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</si>
  <si>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</si>
  <si>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</si>
  <si>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</si>
  <si>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</si>
  <si>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</si>
  <si>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</si>
  <si>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</si>
  <si>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</si>
  <si>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</si>
  <si>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</si>
  <si>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</si>
  <si>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</si>
  <si>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</si>
  <si>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</si>
  <si>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</si>
  <si>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</si>
  <si>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</si>
  <si>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</si>
  <si>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</si>
  <si>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</si>
  <si>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</si>
  <si>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</si>
  <si>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</si>
  <si>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</si>
  <si>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</si>
  <si>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</si>
  <si>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</si>
  <si>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</si>
  <si>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</si>
  <si>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</si>
  <si>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</si>
  <si>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</si>
  <si>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</si>
  <si>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</si>
  <si>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</si>
  <si>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</si>
  <si>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</si>
  <si>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</si>
  <si>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</si>
  <si>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</si>
  <si>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</si>
  <si>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</si>
  <si>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</si>
  <si>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</si>
  <si>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</si>
  <si>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</si>
  <si>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</si>
  <si>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</si>
  <si>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</si>
  <si>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</si>
  <si>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</si>
  <si>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</si>
  <si>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</si>
  <si>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</si>
  <si>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</si>
  <si>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</si>
  <si>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</si>
  <si>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</si>
  <si>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</si>
  <si>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</si>
  <si>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</si>
  <si>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</si>
  <si>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</si>
  <si>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</si>
  <si>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</si>
  <si>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</si>
  <si>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</si>
  <si>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</si>
  <si>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</si>
  <si>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</si>
  <si>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</si>
  <si>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</si>
  <si>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</si>
  <si>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</si>
  <si>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</si>
  <si>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</si>
  <si>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</si>
  <si>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</si>
  <si>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</si>
  <si>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</si>
  <si>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</si>
  <si>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</si>
  <si>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</si>
  <si>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</si>
  <si>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</si>
  <si>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</si>
  <si>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</si>
  <si>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</si>
  <si>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</si>
  <si>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</si>
  <si>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</si>
  <si>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</si>
  <si>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</si>
  <si>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</si>
  <si>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</si>
  <si>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</si>
  <si>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</si>
  <si>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</si>
  <si>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</si>
  <si>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</si>
  <si>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</si>
  <si>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</si>
  <si>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</si>
  <si>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</si>
  <si>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</si>
  <si>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</si>
  <si>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</si>
  <si>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</si>
  <si>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</si>
  <si>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</si>
  <si>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</si>
  <si>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</si>
  <si>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</si>
  <si>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</si>
  <si>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</si>
  <si>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</si>
  <si>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</si>
  <si>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</si>
  <si>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</si>
  <si>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</si>
  <si>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</si>
  <si>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</si>
  <si>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</si>
  <si>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</si>
  <si>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</si>
  <si>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</si>
  <si>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</si>
  <si>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</si>
  <si>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</si>
  <si>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</si>
  <si>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</si>
  <si>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</si>
  <si>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</si>
  <si>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</si>
  <si>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</si>
  <si>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</si>
  <si>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</si>
  <si>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</si>
  <si>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</si>
  <si>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</si>
  <si>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</si>
  <si>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</si>
  <si>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</si>
  <si>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</si>
  <si>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</si>
  <si>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</si>
  <si>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</si>
  <si>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</si>
  <si>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</si>
  <si>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</si>
  <si>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</si>
  <si>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</si>
  <si>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</si>
  <si>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</si>
  <si>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</si>
  <si>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</si>
  <si>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</si>
  <si>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</si>
  <si>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</si>
  <si>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</si>
  <si>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</si>
  <si>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</si>
  <si>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</si>
  <si>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</si>
  <si>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</si>
  <si>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</si>
  <si>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</si>
  <si>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</si>
  <si>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</si>
  <si>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</si>
  <si>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</si>
  <si>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</si>
  <si>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</si>
  <si>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</si>
  <si>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</si>
  <si>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</si>
  <si>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</si>
  <si>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</si>
  <si>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</si>
  <si>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</si>
  <si>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</si>
  <si>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</si>
  <si>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</si>
  <si>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</si>
  <si>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</si>
  <si>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</si>
  <si>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</si>
  <si>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</si>
  <si>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</si>
  <si>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</si>
  <si>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</si>
  <si>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</si>
  <si>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</si>
  <si>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</si>
  <si>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</si>
  <si>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</si>
  <si>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</si>
  <si>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</si>
  <si>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</si>
  <si>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</si>
  <si>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</si>
  <si>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</si>
  <si>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</si>
  <si>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</si>
  <si>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</si>
  <si>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</si>
  <si>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</si>
  <si>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</si>
  <si>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</si>
  <si>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</si>
  <si>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</si>
  <si>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</si>
  <si>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</si>
  <si>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</si>
  <si>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</si>
  <si>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</si>
  <si>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</si>
  <si>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</si>
  <si>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</si>
  <si>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</si>
  <si>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</si>
  <si>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</si>
  <si>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</si>
  <si>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</si>
  <si>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</si>
  <si>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</si>
  <si>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</si>
  <si>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</si>
  <si>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</si>
  <si>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</si>
  <si>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</si>
  <si>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</si>
  <si>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</si>
  <si>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</si>
  <si>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</si>
  <si>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</si>
  <si>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</si>
  <si>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</si>
  <si>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</si>
  <si>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</si>
  <si>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</si>
  <si>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</si>
  <si>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</si>
  <si>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</si>
  <si>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</si>
  <si>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</si>
  <si>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</si>
  <si>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</si>
  <si>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</si>
  <si>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</si>
  <si>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</si>
  <si>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</si>
  <si>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</si>
  <si>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</si>
  <si>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</si>
  <si>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</si>
  <si>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</si>
  <si>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</si>
  <si>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</si>
  <si>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</si>
  <si>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</si>
  <si>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</si>
  <si>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</si>
  <si>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</si>
  <si>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</si>
  <si>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</si>
  <si>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</si>
  <si>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</si>
  <si>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</si>
  <si>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</si>
  <si>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</si>
  <si>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</si>
  <si>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</si>
  <si>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</si>
  <si>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</si>
  <si>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</si>
  <si>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</si>
  <si>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</si>
  <si>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</si>
  <si>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</si>
  <si>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</si>
  <si>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</si>
  <si>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</si>
  <si>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</si>
  <si>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</si>
  <si>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</si>
  <si>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</si>
  <si>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</si>
  <si>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</si>
  <si>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</si>
  <si>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</si>
  <si>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</si>
  <si>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</si>
  <si>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</si>
  <si>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</si>
  <si>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</si>
  <si>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</si>
  <si>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</si>
  <si>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</si>
  <si>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</si>
  <si>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</si>
  <si>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</si>
  <si>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</si>
  <si>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</si>
  <si>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</si>
  <si>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</si>
  <si>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</si>
  <si>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</si>
  <si>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</si>
  <si>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</si>
  <si>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</si>
  <si>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</si>
  <si>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</si>
  <si>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</si>
  <si>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</si>
  <si>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</si>
  <si>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</si>
  <si>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</si>
  <si>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</si>
  <si>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</si>
  <si>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</si>
  <si>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</si>
  <si>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</si>
  <si>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</si>
  <si>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</si>
  <si>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</si>
  <si>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</si>
  <si>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</si>
  <si>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</si>
  <si>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</si>
  <si>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</si>
  <si>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</si>
  <si>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</si>
  <si>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</si>
  <si>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</si>
  <si>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</si>
  <si>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</si>
  <si>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</si>
  <si>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</si>
  <si>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</si>
  <si>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</si>
  <si>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</si>
  <si>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</si>
  <si>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</si>
  <si>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</si>
  <si>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</si>
  <si>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</si>
  <si>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</si>
  <si>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</si>
  <si>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</si>
  <si>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</si>
  <si>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</si>
  <si>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</si>
  <si>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</si>
  <si>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</si>
  <si>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</si>
  <si>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</si>
  <si>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</si>
  <si>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</si>
  <si>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</si>
  <si>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</si>
  <si>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</si>
  <si>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</si>
  <si>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</si>
  <si>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</si>
  <si>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</si>
  <si>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</si>
  <si>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</si>
  <si>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</si>
  <si>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</si>
  <si>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</si>
  <si>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</si>
  <si>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</si>
  <si>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</si>
  <si>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</si>
  <si>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</si>
  <si>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</si>
  <si>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</si>
  <si>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</si>
  <si>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</si>
  <si>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</si>
  <si>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</si>
  <si>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</si>
  <si>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</si>
  <si>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</si>
  <si>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</si>
  <si>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</si>
  <si>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</si>
  <si>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</si>
  <si>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</si>
  <si>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</si>
  <si>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</si>
  <si>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</si>
  <si>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</si>
  <si>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</si>
  <si>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</si>
  <si>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</si>
  <si>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</si>
  <si>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</si>
  <si>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</si>
  <si>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</si>
  <si>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</si>
  <si>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</si>
  <si>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</si>
  <si>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</si>
  <si>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</si>
  <si>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</si>
  <si>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</si>
  <si>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</si>
  <si>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</si>
  <si>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</si>
  <si>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</si>
  <si>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</si>
  <si>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</si>
  <si>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</si>
  <si>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</si>
  <si>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</si>
  <si>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</si>
  <si>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</si>
  <si>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</si>
  <si>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</si>
  <si>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</si>
  <si>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</si>
  <si>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</si>
  <si>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</si>
  <si>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</si>
  <si>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</si>
  <si>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</si>
  <si>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</si>
  <si>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</si>
  <si>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</si>
  <si>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</si>
  <si>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</si>
  <si>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</si>
  <si>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</si>
  <si>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</si>
  <si>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</si>
  <si>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</si>
  <si>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</si>
  <si>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</si>
  <si>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</si>
  <si>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</si>
  <si>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</si>
  <si>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</si>
  <si>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</si>
  <si>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</si>
  <si>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</si>
  <si>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</si>
  <si>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</si>
  <si>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</si>
  <si>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</si>
  <si>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</si>
  <si>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</si>
  <si>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</si>
  <si>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</si>
  <si>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</si>
  <si>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</si>
  <si>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</si>
  <si>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</si>
  <si>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</si>
  <si>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</si>
  <si>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</si>
  <si>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</si>
  <si>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</si>
  <si>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</si>
  <si>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</si>
  <si>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</si>
  <si>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</si>
  <si>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</si>
  <si>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</si>
  <si>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</si>
  <si>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</si>
  <si>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</si>
  <si>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</si>
  <si>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</si>
  <si>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</si>
  <si>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</si>
  <si>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</si>
  <si>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</si>
  <si>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</si>
  <si>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</si>
  <si>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</si>
  <si>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</si>
  <si>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</si>
  <si>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</si>
  <si>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</si>
  <si>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</si>
  <si>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</si>
  <si>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</si>
  <si>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</si>
  <si>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</si>
  <si>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</si>
  <si>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</si>
  <si>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</si>
  <si>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</si>
  <si>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</si>
  <si>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</si>
  <si>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</si>
  <si>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</si>
  <si>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</si>
  <si>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</si>
  <si>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</si>
  <si>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</si>
  <si>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</si>
  <si>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</si>
  <si>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</si>
  <si>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</si>
  <si>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</si>
  <si>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</si>
  <si>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</si>
  <si>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</si>
  <si>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</si>
  <si>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</si>
  <si>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</si>
  <si>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</si>
  <si>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</si>
  <si>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</si>
  <si>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</si>
  <si>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</si>
  <si>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</si>
  <si>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</si>
  <si>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</si>
  <si>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</si>
  <si>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</si>
  <si>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</si>
  <si>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</si>
  <si>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</si>
  <si>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</si>
  <si>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</si>
  <si>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</si>
  <si>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</si>
  <si>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</si>
  <si>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</si>
  <si>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</si>
  <si>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</si>
  <si>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</si>
  <si>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</si>
  <si>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</si>
  <si>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</si>
  <si>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</si>
  <si>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</si>
  <si>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</si>
  <si>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</si>
  <si>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</si>
  <si>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</si>
  <si>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</si>
  <si>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</si>
  <si>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</si>
  <si>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</si>
  <si>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</si>
  <si>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</si>
  <si>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</si>
  <si>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</si>
  <si>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</si>
  <si>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</si>
  <si>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</si>
  <si>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</si>
  <si>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</si>
  <si>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</si>
  <si>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</si>
  <si>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</si>
  <si>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</si>
  <si>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</si>
  <si>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</si>
  <si>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</si>
  <si>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</si>
  <si>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</si>
  <si>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</si>
  <si>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</si>
  <si>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</si>
  <si>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</si>
  <si>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</si>
  <si>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</si>
  <si>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</si>
  <si>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</si>
  <si>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</si>
  <si>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</si>
  <si>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</si>
  <si>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</si>
  <si>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</si>
  <si>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</si>
  <si>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</si>
  <si>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</si>
  <si>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</si>
  <si>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</si>
  <si>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</si>
  <si>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</si>
  <si>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</si>
  <si>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</si>
  <si>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</si>
  <si>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</si>
  <si>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</si>
  <si>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</si>
  <si>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</si>
  <si>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</si>
  <si>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</si>
  <si>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</si>
  <si>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</si>
  <si>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</si>
  <si>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</si>
  <si>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</si>
  <si>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</si>
  <si>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</si>
  <si>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</si>
  <si>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</si>
  <si>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</si>
  <si>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</si>
  <si>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</si>
  <si>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</si>
  <si>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</si>
  <si>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</si>
  <si>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</si>
  <si>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</si>
  <si>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</si>
  <si>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</si>
  <si>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</si>
  <si>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</si>
  <si>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</si>
  <si>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</si>
  <si>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</si>
  <si>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</si>
  <si>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</si>
  <si>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</si>
  <si>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</si>
  <si>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</si>
  <si>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</si>
  <si>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</si>
  <si>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</si>
  <si>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</si>
  <si>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</si>
  <si>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</si>
  <si>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</si>
  <si>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</si>
  <si>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</si>
  <si>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</si>
  <si>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</si>
  <si>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</si>
  <si>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</si>
  <si>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</si>
  <si>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</si>
  <si>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</si>
  <si>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</si>
  <si>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</si>
  <si>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</si>
  <si>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</si>
  <si>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</si>
  <si>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</si>
  <si>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</si>
  <si>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</si>
  <si>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</si>
  <si>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</si>
  <si>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</si>
  <si>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</si>
  <si>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</si>
  <si>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</si>
  <si>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</si>
  <si>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</si>
  <si>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</si>
  <si>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</si>
  <si>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</si>
  <si>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</si>
  <si>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</si>
  <si>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</si>
  <si>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</si>
  <si>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</si>
  <si>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</si>
  <si>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</si>
  <si>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</si>
  <si>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</si>
  <si>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</si>
  <si>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</si>
  <si>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</si>
  <si>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</si>
  <si>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</si>
  <si>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</si>
  <si>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</si>
  <si>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</si>
  <si>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</si>
  <si>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</si>
  <si>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</si>
  <si>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</si>
  <si>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</si>
  <si>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</si>
  <si>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</si>
  <si>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</si>
  <si>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</si>
  <si>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</si>
  <si>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</si>
  <si>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</si>
  <si>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</si>
  <si>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</si>
  <si>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</si>
  <si>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</si>
  <si>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</si>
  <si>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</si>
  <si>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</si>
  <si>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</si>
  <si>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</si>
  <si>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</si>
  <si>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</si>
  <si>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</si>
  <si>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</si>
  <si>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</si>
  <si>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</si>
  <si>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</si>
  <si>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</si>
  <si>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</si>
  <si>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</si>
  <si>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</si>
  <si>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</si>
  <si>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</si>
  <si>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</si>
  <si>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</si>
  <si>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</si>
  <si>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</si>
  <si>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</si>
  <si>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</si>
  <si>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</si>
  <si>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</si>
  <si>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</si>
  <si>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</si>
  <si>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</si>
  <si>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</si>
  <si>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</si>
  <si>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</si>
  <si>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</si>
  <si>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</si>
  <si>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</si>
  <si>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</si>
  <si>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</si>
  <si>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</si>
  <si>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</si>
  <si>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</si>
  <si>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</si>
  <si>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</si>
  <si>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</si>
  <si>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</si>
  <si>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</si>
  <si>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</si>
  <si>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</si>
  <si>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</si>
  <si>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</si>
  <si>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</si>
  <si>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</si>
  <si>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</si>
  <si>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</si>
  <si>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</si>
  <si>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</si>
  <si>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</si>
  <si>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</si>
  <si>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</si>
  <si>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</si>
  <si>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</si>
  <si>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</si>
  <si>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</si>
  <si>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</si>
  <si>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</si>
  <si>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</si>
  <si>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</si>
  <si>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</si>
  <si>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</si>
  <si>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</si>
  <si>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</si>
  <si>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</si>
  <si>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</si>
  <si>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</si>
  <si>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</si>
  <si>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</si>
  <si>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</si>
  <si>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</si>
  <si>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</si>
  <si>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</si>
  <si>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</si>
  <si>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</si>
  <si>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</si>
  <si>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</si>
  <si>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</si>
  <si>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</si>
  <si>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</si>
  <si>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</si>
  <si>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</si>
  <si>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</si>
  <si>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</si>
  <si>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</si>
  <si>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</si>
  <si>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</si>
  <si>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</si>
  <si>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</si>
  <si>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</si>
  <si>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</si>
  <si>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</si>
  <si>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</si>
  <si>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</si>
  <si>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</si>
  <si>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</si>
  <si>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</si>
  <si>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</si>
  <si>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</si>
  <si>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</si>
  <si>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</si>
  <si>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</si>
  <si>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</si>
  <si>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</si>
  <si>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</si>
  <si>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</si>
  <si>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</si>
  <si>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</si>
  <si>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</si>
  <si>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</si>
  <si>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</si>
  <si>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</si>
  <si>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</si>
  <si>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</si>
  <si>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</si>
  <si>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</si>
  <si>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</si>
  <si>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</si>
  <si>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</si>
  <si>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</si>
  <si>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</si>
  <si>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</si>
  <si>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</si>
  <si>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</si>
  <si>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</si>
  <si>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</si>
  <si>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</si>
  <si>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</si>
  <si>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</si>
  <si>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</si>
  <si>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</si>
  <si>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</si>
  <si>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</si>
  <si>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</si>
  <si>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</si>
  <si>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</si>
  <si>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</si>
  <si>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</si>
  <si>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</si>
  <si>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</si>
  <si>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</si>
  <si>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</si>
  <si>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</si>
  <si>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</si>
  <si>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</si>
  <si>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</si>
  <si>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</si>
  <si>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</si>
  <si>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</si>
  <si>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</si>
  <si>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</si>
  <si>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</si>
  <si>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</si>
  <si>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</si>
  <si>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</si>
  <si>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</si>
  <si>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</si>
  <si>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</si>
  <si>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</si>
  <si>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</si>
  <si>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</si>
  <si>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</si>
  <si>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</si>
  <si>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</si>
  <si>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</si>
  <si>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</si>
  <si>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</si>
  <si>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</si>
  <si>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</si>
  <si>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</si>
  <si>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</si>
  <si>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</si>
  <si>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</si>
  <si>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</si>
  <si>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</si>
  <si>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</si>
  <si>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</si>
  <si>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</si>
  <si>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</si>
  <si>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</si>
  <si>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</si>
  <si>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</si>
  <si>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</si>
  <si>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</si>
  <si>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</si>
  <si>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</si>
  <si>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</si>
  <si>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</si>
  <si>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</si>
  <si>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</si>
  <si>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</si>
  <si>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</si>
  <si>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</si>
  <si>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</si>
  <si>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</si>
  <si>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</si>
  <si>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</si>
  <si>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</si>
  <si>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</si>
  <si>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</si>
  <si>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</si>
  <si>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</si>
  <si>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</si>
  <si>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</si>
  <si>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</si>
  <si>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</si>
  <si>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</si>
  <si>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</si>
  <si>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</si>
  <si>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</si>
  <si>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</si>
  <si>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</si>
  <si>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</si>
  <si>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</si>
  <si>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</si>
  <si>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</si>
  <si>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</si>
  <si>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</si>
  <si>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</si>
  <si>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</si>
  <si>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</si>
  <si>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</si>
  <si>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</si>
  <si>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</si>
  <si>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</si>
  <si>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</si>
  <si>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</si>
  <si>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</si>
  <si>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</si>
  <si>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</si>
  <si>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</si>
  <si>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</si>
  <si>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</si>
  <si>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</si>
  <si>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</si>
  <si>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</si>
  <si>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</si>
  <si>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</si>
  <si>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</si>
  <si>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</si>
  <si>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</si>
  <si>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</si>
  <si>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</si>
  <si>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</si>
  <si>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</si>
  <si>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</si>
  <si>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</si>
  <si>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</si>
  <si>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</si>
  <si>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</si>
  <si>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</si>
  <si>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</si>
  <si>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</si>
  <si>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</si>
  <si>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</si>
  <si>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</si>
  <si>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</si>
  <si>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</si>
  <si>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</si>
  <si>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</si>
  <si>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</si>
  <si>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</si>
  <si>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</si>
  <si>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</si>
  <si>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</si>
  <si>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</si>
  <si>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</si>
  <si>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</si>
  <si>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</si>
  <si>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</si>
  <si>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</si>
  <si>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</si>
  <si>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</si>
  <si>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</si>
  <si>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</si>
  <si>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</si>
  <si>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</si>
  <si>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</si>
  <si>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</si>
  <si>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</si>
  <si>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</si>
  <si>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</si>
  <si>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</si>
  <si>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</si>
  <si>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</si>
  <si>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</si>
  <si>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</si>
  <si>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</si>
  <si>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</si>
  <si>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</si>
  <si>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</si>
  <si>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</si>
  <si>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</si>
  <si>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</si>
  <si>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</si>
  <si>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</si>
  <si>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</si>
  <si>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</si>
  <si>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</si>
  <si>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</si>
  <si>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</si>
  <si>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</si>
  <si>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</si>
  <si>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</si>
  <si>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</si>
  <si>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</si>
  <si>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</si>
  <si>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</si>
  <si>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</si>
  <si>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</si>
  <si>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</si>
  <si>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</si>
  <si>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</si>
  <si>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</si>
  <si>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</si>
  <si>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</si>
  <si>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</si>
  <si>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</si>
  <si>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</si>
  <si>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</si>
  <si>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</si>
  <si>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</si>
  <si>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</si>
  <si>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</si>
  <si>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</si>
  <si>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</si>
  <si>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</si>
  <si>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</si>
  <si>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</si>
  <si>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</si>
  <si>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</si>
  <si>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</si>
  <si>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</si>
  <si>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</si>
  <si>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</si>
  <si>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</si>
  <si>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</si>
  <si>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</si>
  <si>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</si>
  <si>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</si>
  <si>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</si>
  <si>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</si>
  <si>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</si>
  <si>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</si>
  <si>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</si>
  <si>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</si>
  <si>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</si>
  <si>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</si>
  <si>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</si>
  <si>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</si>
  <si>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</si>
  <si>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</si>
  <si>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</si>
  <si>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</si>
  <si>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</si>
  <si>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</si>
  <si>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</si>
  <si>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</si>
  <si>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</si>
  <si>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</si>
  <si>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</si>
  <si>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</si>
  <si>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</si>
  <si>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</si>
  <si>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</si>
  <si>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</si>
  <si>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</si>
  <si>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</si>
  <si>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</si>
  <si>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</si>
  <si>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</si>
  <si>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</si>
  <si>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</si>
  <si>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</si>
  <si>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</si>
  <si>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</si>
  <si>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</si>
  <si>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</si>
  <si>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</si>
  <si>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</si>
  <si>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</si>
  <si>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</si>
  <si>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</si>
  <si>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</si>
  <si>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</si>
  <si>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</si>
  <si>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</si>
  <si>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</si>
  <si>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</si>
  <si>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</si>
  <si>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</si>
  <si>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</si>
  <si>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</si>
  <si>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</si>
  <si>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</si>
  <si>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</si>
  <si>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</si>
  <si>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</si>
  <si>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</si>
  <si>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</si>
  <si>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</si>
  <si>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</si>
  <si>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</si>
  <si>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</si>
  <si>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</si>
  <si>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</si>
  <si>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</si>
  <si>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</si>
  <si>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</si>
  <si>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</si>
  <si>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</si>
  <si>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</si>
  <si>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</si>
  <si>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</si>
  <si>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</si>
  <si>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</si>
  <si>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</si>
  <si>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</si>
  <si>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</si>
  <si>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</si>
  <si>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</si>
  <si>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</si>
  <si>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</si>
  <si>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</si>
  <si>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</si>
  <si>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</si>
  <si>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</si>
  <si>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</si>
  <si>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</si>
  <si>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</si>
  <si>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</si>
  <si>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</si>
  <si>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</si>
  <si>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</si>
  <si>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</si>
  <si>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</si>
  <si>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</si>
  <si>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</si>
  <si>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</si>
  <si>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</si>
  <si>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</si>
  <si>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</si>
  <si>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</si>
  <si>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</si>
  <si>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</si>
  <si>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</si>
  <si>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</si>
  <si>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</si>
  <si>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</si>
  <si>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</si>
  <si>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</si>
  <si>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</si>
  <si>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</si>
  <si>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</si>
  <si>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</si>
  <si>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</si>
  <si>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</si>
  <si>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</si>
  <si>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</si>
  <si>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</si>
  <si>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</si>
  <si>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</si>
  <si>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</si>
  <si>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</si>
  <si>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</si>
  <si>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</si>
  <si>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</si>
  <si>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</si>
  <si>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</si>
  <si>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</si>
  <si>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</si>
  <si>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</si>
  <si>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</si>
  <si>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</si>
  <si>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</si>
  <si>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</si>
  <si>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</si>
  <si>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</si>
  <si>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</si>
  <si>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</si>
  <si>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</si>
  <si>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</si>
  <si>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</si>
  <si>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</si>
  <si>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</si>
  <si>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</si>
  <si>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</si>
  <si>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</si>
  <si>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</si>
  <si>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</si>
  <si>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</si>
  <si>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</si>
  <si>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</si>
  <si>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</si>
  <si>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</si>
  <si>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</si>
  <si>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</si>
  <si>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</si>
  <si>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</si>
  <si>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</si>
  <si>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</si>
  <si>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</si>
  <si>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</si>
  <si>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</si>
  <si>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</si>
  <si>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</si>
  <si>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</si>
  <si>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</si>
  <si>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</si>
  <si>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</si>
  <si>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</si>
  <si>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</si>
  <si>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</si>
  <si>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</si>
  <si>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</si>
  <si>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</si>
  <si>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</si>
  <si>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</si>
  <si>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</si>
  <si>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</si>
  <si>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</si>
  <si>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</si>
  <si>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</si>
  <si>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</si>
  <si>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</si>
  <si>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</si>
  <si>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</si>
  <si>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</si>
  <si>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</si>
  <si>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</si>
  <si>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</si>
  <si>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</si>
  <si>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</si>
  <si>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</si>
  <si>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</si>
  <si>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</si>
  <si>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</si>
  <si>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</si>
  <si>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</si>
  <si>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</si>
  <si>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</si>
  <si>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</si>
  <si>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</si>
  <si>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</si>
  <si>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</si>
  <si>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</si>
  <si>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</si>
  <si>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</si>
  <si>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</si>
  <si>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</si>
  <si>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</si>
  <si>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</si>
  <si>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</si>
  <si>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</si>
  <si>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</si>
  <si>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</si>
  <si>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</si>
  <si>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</si>
  <si>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</si>
  <si>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</si>
  <si>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</si>
  <si>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</si>
  <si>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</si>
  <si>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</si>
  <si>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</si>
  <si>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</si>
  <si>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</si>
  <si>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</si>
  <si>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</si>
  <si>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</si>
  <si>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</si>
  <si>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</si>
  <si>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</si>
  <si>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</si>
  <si>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</si>
  <si>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</si>
  <si>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</si>
  <si>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</si>
  <si>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</si>
  <si>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</si>
  <si>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</si>
  <si>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</si>
  <si>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</si>
  <si>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</si>
  <si>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</si>
  <si>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</si>
  <si>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</si>
  <si>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</si>
  <si>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</si>
  <si>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</si>
  <si>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</si>
  <si>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</si>
  <si>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</si>
  <si>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</si>
  <si>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</si>
  <si>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</si>
  <si>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</si>
  <si>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</si>
  <si>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</si>
  <si>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</si>
  <si>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</si>
  <si>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</si>
  <si>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</si>
  <si>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</si>
  <si>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</si>
  <si>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</si>
  <si>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</si>
  <si>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</si>
  <si>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</si>
  <si>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</si>
  <si>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</si>
  <si>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</si>
  <si>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</si>
  <si>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</si>
  <si>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</si>
  <si>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</si>
  <si>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</si>
  <si>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</si>
  <si>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</si>
  <si>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</si>
  <si>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</si>
  <si>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</si>
  <si>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</si>
  <si>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</si>
  <si>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</si>
  <si>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</si>
  <si>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</si>
  <si>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</si>
  <si>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</si>
  <si>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</si>
  <si>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</si>
  <si>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</si>
  <si>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</si>
  <si>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</si>
  <si>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</si>
  <si>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</si>
  <si>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</si>
  <si>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</si>
  <si>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</si>
  <si>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</si>
  <si>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</si>
  <si>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</si>
  <si>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</si>
  <si>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</si>
  <si>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</si>
  <si>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</si>
  <si>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</si>
  <si>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</si>
  <si>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</si>
  <si>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</si>
  <si>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</si>
  <si>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</si>
  <si>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</si>
  <si>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</si>
  <si>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</si>
  <si>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</si>
  <si>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</si>
  <si>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</si>
  <si>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</si>
  <si>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</si>
  <si>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</si>
  <si>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</si>
  <si>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</si>
  <si>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</si>
  <si>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</si>
  <si>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</si>
  <si>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</si>
  <si>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</si>
  <si>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</si>
  <si>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</si>
  <si>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</si>
  <si>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</si>
  <si>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</si>
  <si>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</si>
  <si>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</si>
  <si>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</si>
  <si>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</si>
  <si>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</si>
  <si>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</si>
  <si>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</si>
  <si>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</si>
  <si>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</si>
  <si>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</si>
  <si>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</si>
  <si>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</si>
  <si>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</si>
  <si>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</si>
  <si>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</si>
  <si>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</si>
  <si>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</si>
  <si>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</si>
  <si>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</si>
  <si>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</si>
  <si>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</si>
  <si>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</si>
  <si>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</si>
  <si>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</si>
  <si>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</si>
  <si>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</si>
  <si>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</si>
  <si>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</si>
  <si>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</si>
  <si>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</si>
  <si>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</si>
  <si>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</si>
  <si>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</si>
  <si>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</si>
  <si>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</si>
  <si>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</si>
  <si>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</si>
  <si>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</si>
  <si>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</si>
  <si>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</si>
  <si>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</si>
  <si>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</si>
  <si>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</si>
  <si>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</si>
  <si>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</si>
  <si>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</si>
  <si>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</si>
  <si>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</si>
  <si>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</si>
  <si>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</si>
  <si>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</si>
  <si>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</si>
  <si>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</si>
  <si>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</si>
  <si>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</si>
  <si>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</si>
  <si>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</si>
  <si>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</si>
  <si>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</si>
  <si>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</si>
  <si>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</si>
  <si>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</si>
  <si>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</si>
  <si>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</si>
  <si>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</si>
  <si>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</si>
  <si>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</si>
  <si>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</si>
  <si>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</si>
  <si>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</si>
  <si>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</si>
  <si>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</si>
  <si>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</si>
  <si>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</si>
  <si>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</si>
  <si>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</si>
  <si>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</si>
  <si>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</si>
  <si>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</si>
  <si>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</si>
  <si>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</si>
  <si>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</si>
  <si>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</si>
  <si>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</si>
  <si>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</si>
  <si>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</si>
  <si>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</si>
  <si>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</si>
  <si>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</si>
  <si>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</si>
  <si>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</si>
  <si>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</si>
  <si>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</si>
  <si>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</si>
  <si>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</si>
  <si>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</si>
  <si>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</si>
  <si>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</si>
  <si>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</si>
  <si>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</si>
  <si>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</si>
  <si>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</si>
  <si>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</si>
  <si>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</si>
  <si>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</si>
  <si>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</si>
  <si>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</si>
  <si>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</si>
  <si>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</si>
  <si>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</si>
  <si>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</si>
  <si>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</si>
  <si>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</si>
  <si>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</si>
  <si>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</si>
  <si>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</si>
  <si>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</si>
  <si>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</si>
  <si>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</si>
  <si>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</si>
  <si>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</si>
  <si>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</si>
  <si>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</si>
  <si>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</si>
  <si>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</si>
  <si>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</si>
  <si>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</si>
  <si>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</si>
  <si>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</si>
  <si>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</si>
  <si>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</si>
  <si>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</si>
  <si>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</si>
  <si>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</si>
  <si>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</si>
  <si>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</si>
  <si>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</si>
  <si>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</si>
  <si>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</si>
  <si>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</si>
  <si>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</si>
  <si>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</si>
  <si>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</si>
  <si>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</si>
  <si>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</si>
  <si>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</si>
  <si>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</si>
  <si>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</si>
  <si>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</si>
  <si>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</si>
  <si>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</si>
  <si>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</si>
  <si>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</si>
  <si>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</si>
  <si>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</si>
  <si>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</si>
  <si>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</si>
  <si>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</si>
  <si>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</si>
  <si>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</si>
  <si>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</si>
  <si>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</si>
  <si>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</si>
  <si>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</si>
  <si>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</si>
  <si>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</si>
  <si>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</si>
  <si>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</si>
  <si>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</si>
  <si>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</si>
  <si>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</si>
  <si>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</si>
  <si>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</si>
  <si>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</si>
  <si>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</si>
  <si>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</si>
  <si>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</si>
  <si>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</si>
  <si>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</si>
  <si>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</si>
  <si>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</si>
  <si>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</si>
  <si>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</si>
  <si>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</si>
  <si>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</si>
  <si>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</si>
  <si>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</si>
  <si>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</si>
  <si>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</si>
  <si>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</si>
  <si>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</si>
  <si>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</si>
  <si>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</si>
  <si>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</si>
  <si>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</si>
  <si>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</si>
  <si>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</si>
  <si>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</si>
  <si>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</si>
  <si>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</si>
  <si>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</si>
  <si>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</si>
  <si>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</si>
  <si>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</si>
  <si>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</si>
  <si>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</si>
  <si>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</si>
  <si>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</si>
  <si>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</si>
  <si>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</si>
  <si>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</si>
  <si>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</si>
  <si>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</si>
  <si>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</si>
  <si>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</si>
  <si>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</si>
  <si>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</si>
  <si>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</si>
  <si>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</si>
  <si>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</si>
  <si>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</si>
  <si>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</si>
  <si>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</si>
  <si>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</si>
  <si>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</si>
  <si>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</si>
  <si>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</si>
  <si>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</si>
  <si>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</si>
  <si>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</si>
  <si>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</si>
  <si>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</si>
  <si>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</si>
  <si>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</si>
  <si>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</si>
  <si>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</si>
  <si>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</si>
  <si>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</si>
  <si>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</si>
  <si>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</si>
  <si>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</si>
  <si>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</si>
  <si>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</si>
  <si>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</si>
  <si>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</si>
  <si>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</si>
  <si>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</si>
  <si>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</si>
  <si>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</si>
  <si>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</si>
  <si>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</si>
  <si>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</si>
  <si>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</si>
  <si>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</si>
  <si>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</si>
  <si>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</si>
  <si>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</si>
  <si>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</si>
  <si>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</si>
  <si>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</si>
  <si>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</si>
  <si>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</si>
  <si>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</si>
  <si>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</si>
  <si>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</si>
  <si>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</si>
  <si>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</si>
  <si>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</si>
  <si>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</si>
  <si>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</si>
  <si>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</si>
  <si>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</si>
  <si>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</si>
  <si>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</si>
  <si>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</si>
  <si>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</si>
  <si>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</si>
  <si>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</si>
  <si>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</si>
  <si>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</si>
  <si>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</si>
  <si>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</si>
  <si>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</si>
  <si>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</si>
  <si>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</si>
  <si>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</si>
  <si>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</si>
  <si>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</si>
  <si>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</si>
  <si>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</si>
  <si>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</si>
  <si>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</si>
  <si>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</si>
  <si>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</si>
  <si>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</si>
  <si>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</si>
  <si>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</si>
  <si>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</si>
  <si>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</si>
  <si>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</si>
  <si>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</si>
  <si>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</si>
  <si>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</si>
  <si>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</si>
  <si>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</si>
  <si>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</si>
  <si>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</si>
  <si>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</si>
  <si>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</si>
  <si>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</si>
  <si>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</si>
  <si>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</si>
  <si>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</si>
  <si>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</si>
  <si>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</si>
  <si>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</si>
  <si>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</si>
  <si>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</si>
  <si>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</si>
  <si>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</si>
  <si>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</si>
  <si>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</si>
  <si>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</si>
  <si>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</si>
  <si>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</si>
  <si>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</si>
  <si>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</si>
  <si>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</si>
  <si>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</si>
  <si>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</si>
  <si>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</si>
  <si>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</si>
  <si>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</si>
  <si>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</si>
  <si>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</si>
  <si>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</si>
  <si>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</si>
  <si>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</si>
  <si>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</si>
  <si>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</si>
  <si>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</si>
  <si>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</si>
  <si>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</si>
  <si>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</si>
  <si>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</si>
  <si>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</si>
  <si>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</si>
  <si>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</si>
  <si>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</si>
  <si>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</si>
  <si>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</si>
  <si>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</si>
  <si>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</si>
  <si>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</si>
  <si>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</si>
  <si>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</si>
  <si>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</si>
  <si>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</si>
  <si>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</si>
  <si>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</si>
  <si>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</si>
  <si>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</si>
  <si>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</si>
  <si>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</si>
  <si>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</si>
  <si>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</si>
  <si>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</si>
  <si>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</si>
  <si>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</si>
  <si>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</si>
  <si>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</si>
  <si>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</si>
  <si>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</si>
  <si>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</si>
  <si>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</si>
  <si>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</si>
  <si>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</si>
  <si>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</si>
  <si>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</si>
  <si>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</si>
  <si>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</si>
  <si>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</si>
  <si>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</si>
  <si>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</si>
  <si>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</si>
  <si>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</si>
  <si>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</si>
  <si>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</si>
  <si>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</si>
  <si>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</si>
  <si>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</si>
  <si>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</si>
  <si>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</si>
  <si>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</si>
  <si>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</si>
  <si>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</si>
  <si>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</si>
  <si>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</si>
  <si>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</si>
  <si>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</si>
  <si>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</si>
  <si>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</si>
  <si>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</si>
  <si>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</si>
  <si>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</si>
  <si>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</si>
  <si>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</si>
  <si>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</si>
  <si>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</si>
  <si>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</si>
  <si>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</si>
  <si>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</si>
  <si>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</si>
  <si>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</si>
  <si>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</si>
  <si>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</si>
  <si>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</si>
  <si>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</si>
  <si>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</si>
  <si>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</si>
  <si>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</si>
  <si>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</si>
  <si>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</si>
  <si>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</si>
  <si>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</si>
  <si>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</si>
  <si>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</si>
  <si>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</si>
  <si>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</si>
  <si>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</si>
  <si>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</si>
  <si>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</si>
  <si>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</si>
  <si>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</si>
  <si>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</si>
  <si>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</si>
  <si>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</si>
  <si>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</si>
  <si>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</si>
  <si>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</si>
  <si>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</si>
  <si>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</si>
  <si>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</si>
  <si>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</si>
  <si>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</si>
  <si>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</si>
  <si>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</si>
  <si>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</si>
  <si>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</si>
  <si>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</si>
  <si>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</si>
  <si>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</si>
  <si>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</si>
  <si>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</si>
  <si>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</si>
  <si>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</si>
  <si>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</si>
  <si>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</si>
  <si>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</si>
  <si>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</si>
  <si>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</si>
  <si>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</si>
  <si>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</si>
  <si>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</si>
  <si>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</si>
  <si>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</si>
  <si>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</si>
  <si>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</si>
  <si>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</si>
  <si>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</si>
  <si>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</si>
  <si>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</si>
  <si>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</si>
  <si>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</si>
  <si>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</si>
  <si>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</si>
  <si>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</si>
  <si>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</si>
  <si>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</si>
  <si>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</si>
  <si>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</si>
  <si>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</si>
  <si>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</si>
  <si>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</si>
  <si>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</si>
  <si>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</si>
  <si>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</si>
  <si>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</si>
  <si>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</si>
  <si>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</si>
  <si>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</si>
  <si>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</si>
  <si>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</si>
  <si>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</si>
  <si>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</si>
  <si>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</si>
  <si>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</si>
  <si>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</si>
  <si>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</si>
  <si>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</si>
  <si>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</si>
  <si>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</si>
  <si>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</si>
  <si>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</si>
  <si>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</si>
  <si>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</si>
  <si>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</si>
  <si>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</si>
  <si>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</si>
  <si>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</si>
  <si>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</si>
  <si>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</si>
  <si>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</si>
  <si>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</si>
  <si>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</si>
  <si>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</si>
  <si>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</si>
  <si>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</si>
  <si>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</si>
  <si>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</si>
  <si>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</si>
  <si>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</si>
  <si>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</si>
  <si>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</si>
  <si>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</si>
  <si>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</si>
  <si>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</si>
  <si>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</si>
  <si>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</si>
  <si>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</si>
  <si>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</si>
  <si>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</si>
  <si>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</si>
  <si>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</si>
  <si>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</si>
  <si>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</si>
  <si>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</si>
  <si>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</si>
  <si>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</si>
  <si>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</si>
  <si>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</si>
  <si>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</si>
  <si>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</si>
  <si>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</si>
  <si>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</si>
  <si>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</si>
  <si>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</si>
  <si>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</si>
  <si>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</si>
  <si>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</si>
  <si>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</si>
  <si>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</si>
  <si>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</si>
  <si>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</si>
  <si>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</si>
  <si>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</si>
  <si>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</si>
  <si>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</si>
  <si>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</si>
  <si>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</si>
  <si>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</si>
  <si>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</si>
  <si>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</si>
  <si>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</si>
  <si>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</si>
  <si>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</si>
  <si>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</si>
  <si>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</si>
  <si>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</si>
  <si>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</si>
  <si>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</si>
  <si>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</si>
  <si>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</si>
  <si>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</si>
  <si>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</si>
  <si>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</si>
  <si>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是</t>
  </si>
  <si>
    <t>地上</t>
  </si>
  <si>
    <t>成新度</t>
  </si>
  <si>
    <t>混合</t>
    <phoneticPr fontId="3" type="noConversion"/>
  </si>
  <si>
    <t>直线</t>
    <phoneticPr fontId="3" type="noConversion"/>
  </si>
  <si>
    <t>观察</t>
    <phoneticPr fontId="3" type="noConversion"/>
  </si>
  <si>
    <t>综合</t>
    <phoneticPr fontId="3" type="noConversion"/>
  </si>
  <si>
    <t>收益法</t>
  </si>
  <si>
    <t>估价对象容积率</t>
  </si>
  <si>
    <t>与级别开发程度不一致</t>
  </si>
  <si>
    <t>通路</t>
  </si>
  <si>
    <t>通电</t>
  </si>
  <si>
    <t>通讯</t>
  </si>
  <si>
    <t>通上水</t>
  </si>
  <si>
    <t>通下水</t>
  </si>
  <si>
    <t>平整</t>
  </si>
  <si>
    <t>较差</t>
  </si>
  <si>
    <t>一般</t>
  </si>
  <si>
    <t>好</t>
  </si>
  <si>
    <t>未包含在土地购买价格中</t>
  </si>
  <si>
    <t>全部缴纳</t>
  </si>
  <si>
    <t>已包含在土地取得成本中</t>
  </si>
  <si>
    <t>押一</t>
  </si>
  <si>
    <t>砖混</t>
  </si>
  <si>
    <t>非生产用房</t>
  </si>
  <si>
    <t>否</t>
  </si>
  <si>
    <t>基准地价</t>
  </si>
  <si>
    <t>成本法</t>
  </si>
  <si>
    <t>总价</t>
  </si>
  <si>
    <t>成本比率</t>
  </si>
  <si>
    <t>Ⅶ-房1</t>
  </si>
  <si>
    <t>自然人</t>
  </si>
  <si>
    <t>商业</t>
    <phoneticPr fontId="7" type="noConversion"/>
  </si>
  <si>
    <t>不临65条商业街</t>
  </si>
  <si>
    <t>中心城区以外</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</si>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</sst>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估价对象为北京市房地产，为所有。根据《国有土地使用证》[]，估价对象（分摊）出让国有建设用地使用权面积为2054.01平方米，建筑面积为4904.8平方米。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估价对象为北京市房地产,属开发建设的，该项目尚在开发建设中。根据《国有土地使用证》[]，估价对象（分摊）出让国有建设用地使用权面积为2054.01平方米，规划建筑面积为4904.8平方米。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2024年1月9日（评估专业人员实地查勘之日）</v>
      </c>
    </row>
    <row r="13" spans="1:2" s="1203" customFormat="1">
      <c r="A13" s="1201" t="s">
        <v>529</v>
      </c>
      <c r="B13" s="1202" t="str">
        <f>'预评函-1'!A18</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7034</v>
      </c>
    </row>
    <row r="21" spans="1:2" s="1203" customFormat="1">
      <c r="A21" s="1201" t="s">
        <v>537</v>
      </c>
      <c r="B21" s="1202">
        <f ca="1">'预评函-2'!D7</f>
        <v>14341</v>
      </c>
    </row>
    <row r="22" spans="1:2" s="1203" customFormat="1">
      <c r="A22" s="1201" t="s">
        <v>538</v>
      </c>
      <c r="B22" s="1202" t="str">
        <f ca="1">'预评函-2'!D6</f>
        <v>柒仟零叁拾肆万元整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7034</v>
      </c>
    </row>
    <row r="31" spans="1:2" s="1203" customFormat="1">
      <c r="A31" s="1201" t="s">
        <v>576</v>
      </c>
      <c r="B31" s="1202">
        <f ca="1">'预评函-2'!D15</f>
        <v>14341</v>
      </c>
    </row>
    <row r="32" spans="1:2" s="1203" customFormat="1">
      <c r="A32" s="1201" t="s">
        <v>543</v>
      </c>
      <c r="B32" s="1202" t="str">
        <f ca="1">'预评函-2'!D14</f>
        <v>柒仟零叁拾肆万元整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4904.8</v>
      </c>
    </row>
    <row r="44" spans="1:2" s="1203" customFormat="1">
      <c r="A44" s="1201" t="s">
        <v>575</v>
      </c>
      <c r="B44" s="1202" t="str">
        <f>'预评函-3'!C2</f>
        <v>(分摊)土地面积</v>
      </c>
    </row>
    <row r="45" spans="1:2" s="1203" customFormat="1">
      <c r="A45" s="1201" t="s">
        <v>547</v>
      </c>
      <c r="B45" s="1202">
        <f>'预评函-3'!C4</f>
        <v>2054.0100000000002</v>
      </c>
    </row>
    <row r="46" spans="1:2" s="1203" customFormat="1">
      <c r="A46" s="1201" t="s">
        <v>573</v>
      </c>
      <c r="B46" s="1202" t="str">
        <f>'预评函-3'!D2</f>
        <v>出让国有建设用地使用权价值</v>
      </c>
    </row>
    <row r="47" spans="1:2" s="1203" customFormat="1">
      <c r="A47" s="1201" t="s">
        <v>548</v>
      </c>
      <c r="B47" s="1202">
        <f ca="1">'预评函-3'!D4</f>
        <v>5001</v>
      </c>
    </row>
    <row r="48" spans="1:2" s="1203" customFormat="1">
      <c r="A48" s="1201" t="s">
        <v>549</v>
      </c>
      <c r="B48" s="1202">
        <f ca="1">'预评函-3'!E4</f>
        <v>10196</v>
      </c>
    </row>
    <row r="49" spans="1:2" s="1203" customFormat="1">
      <c r="A49" s="1201" t="s">
        <v>550</v>
      </c>
      <c r="B49" s="1202" t="str">
        <f ca="1">'预评函-3'!D5</f>
        <v>伍仟零壹万元整</v>
      </c>
    </row>
    <row r="50" spans="1:2" s="1203" customFormat="1">
      <c r="A50" s="1201" t="s">
        <v>574</v>
      </c>
      <c r="B50" s="1202" t="str">
        <f>'预评函-3'!F2</f>
        <v>在建建筑物价值</v>
      </c>
    </row>
    <row r="51" spans="1:2" s="1203" customFormat="1">
      <c r="A51" s="1201" t="s">
        <v>551</v>
      </c>
      <c r="B51" s="1202">
        <f ca="1">'预评函-3'!F4</f>
        <v>2033</v>
      </c>
    </row>
    <row r="52" spans="1:2" s="1203" customFormat="1">
      <c r="A52" s="1201" t="s">
        <v>552</v>
      </c>
      <c r="B52" s="1202">
        <f ca="1">'预评函-3'!G4</f>
        <v>4145</v>
      </c>
    </row>
    <row r="53" spans="1:2" s="1203" customFormat="1">
      <c r="A53" s="1201" t="s">
        <v>580</v>
      </c>
      <c r="B53" s="1202" t="str">
        <f ca="1">'预评函-3'!F5</f>
        <v>贰仟零叁拾叁万元整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2" t="s">
        <v>2584</v>
      </c>
      <c r="J2" s="3492"/>
      <c r="K2" s="3492"/>
      <c r="L2" s="3492"/>
      <c r="M2" s="3492"/>
      <c r="N2" s="3492"/>
      <c r="O2" s="3492"/>
      <c r="P2" s="3492"/>
      <c r="Q2" s="3492"/>
      <c r="R2" s="3492"/>
    </row>
    <row r="3" spans="1:18">
      <c r="A3" s="3020" t="s">
        <v>2505</v>
      </c>
      <c r="B3" s="3021">
        <f>项目基本情况!D3</f>
        <v>45300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2" sqref="E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3" t="str">
        <f>IF(B10="北京市","北京市",C10)&amp;F10&amp;IF(结果表!G1="在建","出让国有建设用地使用权及在建建筑物",IF(结果表!G1="土地","出让国有建设用地使用权",))&amp;B9&amp;"预评估"</f>
        <v>北京市房地产抵押价值预评估</v>
      </c>
      <c r="C1" s="3494"/>
      <c r="D1" s="3494"/>
      <c r="E1" s="3494"/>
      <c r="F1" s="3494"/>
      <c r="G1" s="3494"/>
      <c r="H1" s="3494"/>
      <c r="I1" s="349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45300</v>
      </c>
      <c r="C3" s="2374" t="s">
        <v>2171</v>
      </c>
      <c r="D3" s="2373">
        <f>B3</f>
        <v>45300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6"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7"/>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50761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14.96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3"/>
      <c r="C16" s="3504"/>
      <c r="D16" s="3505"/>
      <c r="E16" s="2413" t="s">
        <v>2194</v>
      </c>
      <c r="F16" s="3506"/>
      <c r="G16" s="3507"/>
      <c r="H16" s="3507"/>
      <c r="I16" s="3508"/>
      <c r="J16" s="2439"/>
      <c r="K16" s="2617"/>
      <c r="L16" s="2451"/>
      <c r="M16" s="2451"/>
      <c r="N16" s="2509"/>
      <c r="O16" s="2451"/>
      <c r="P16" s="2509"/>
      <c r="Q16" s="2439"/>
      <c r="R16" s="2439"/>
    </row>
    <row r="17" spans="1:28">
      <c r="A17" s="313" t="s">
        <v>2195</v>
      </c>
      <c r="B17" s="302" t="s">
        <v>2196</v>
      </c>
      <c r="C17" s="8">
        <f>'数据-汇总表'!E3</f>
        <v>4904.8</v>
      </c>
      <c r="D17" s="2322" t="s">
        <v>2197</v>
      </c>
      <c r="E17" s="3509" t="s">
        <v>2198</v>
      </c>
      <c r="F17" s="3510"/>
      <c r="G17" s="3510"/>
      <c r="H17" s="3510"/>
      <c r="I17" s="351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2054.0100000000002</v>
      </c>
      <c r="D18" s="1092" t="s">
        <v>2201</v>
      </c>
      <c r="E18" s="3512" t="s">
        <v>2202</v>
      </c>
      <c r="F18" s="3513"/>
      <c r="G18" s="3513"/>
      <c r="H18" s="3513"/>
      <c r="I18" s="351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9" t="s">
        <v>2206</v>
      </c>
      <c r="C20" s="3500"/>
      <c r="D20" s="3501" t="s">
        <v>2207</v>
      </c>
      <c r="E20" s="3502"/>
      <c r="F20" s="2647" t="s">
        <v>1056</v>
      </c>
      <c r="G20" s="2664"/>
      <c r="H20" s="2664"/>
      <c r="I20" s="2664"/>
      <c r="J20" s="2439"/>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2054.0100000000002</v>
      </c>
      <c r="B3" s="11">
        <f>IF(C3="否",G5-AT5,G5)</f>
        <v>4904.8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4904.8</v>
      </c>
      <c r="H5" s="13">
        <f t="shared" ref="H5:AT5" si="0">SUM(H13:H656)</f>
        <v>4904.8</v>
      </c>
      <c r="I5" s="13">
        <f t="shared" si="0"/>
        <v>4904.8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4904.8</v>
      </c>
      <c r="BA5" s="15">
        <f t="shared" si="1"/>
        <v>4904.8</v>
      </c>
      <c r="BB5" s="15">
        <f t="shared" si="1"/>
        <v>4904.8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2054.0100000000002</v>
      </c>
      <c r="F6" s="13" t="s">
        <v>0</v>
      </c>
      <c r="G6" s="13" t="s">
        <v>1</v>
      </c>
      <c r="H6" s="17">
        <f>SUMIF(I$12:AB$12,"总值",I6:AB6)</f>
        <v>2054.0100000000002</v>
      </c>
      <c r="I6" s="13">
        <f t="shared" ref="I6:AB6" si="2">ROUND($A$3*I5/$B$3,2)</f>
        <v>2054.0100000000002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2054.0100000000002</v>
      </c>
      <c r="AZ6" s="13" t="s">
        <v>2</v>
      </c>
      <c r="BA6" s="13">
        <f>ROUND($AY$6*BA5/$AZ$5,2)</f>
        <v>2054.0100000000002</v>
      </c>
      <c r="BB6" s="13">
        <f>ROUND($AY$6*BB5/$AZ$5,2)</f>
        <v>2054.0100000000002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2054.0100000000002</v>
      </c>
      <c r="F13" s="29"/>
      <c r="G13" s="30">
        <f>H13+AC13+AT13</f>
        <v>4904.8</v>
      </c>
      <c r="H13" s="17">
        <f>SUMIF(I$12:AB$12,"总值",I13:AB13)</f>
        <v>4904.8</v>
      </c>
      <c r="I13" s="1626">
        <v>4904.8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2054.0100000000002</v>
      </c>
      <c r="AZ13" s="13">
        <f>BA13+BL13</f>
        <v>4904.8</v>
      </c>
      <c r="BA13" s="13">
        <f>SUM(BB13:BK13)</f>
        <v>4904.8</v>
      </c>
      <c r="BB13" s="13">
        <f>IF($D13="是",I13-J13,0)</f>
        <v>4904.8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8" sqref="E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2054.0100000000002</v>
      </c>
      <c r="E3" s="43">
        <f>'数据-基础表'!AZ5</f>
        <v>4904.8</v>
      </c>
      <c r="F3" s="2659"/>
      <c r="G3" s="1145"/>
      <c r="H3" s="1026" t="s">
        <v>1106</v>
      </c>
      <c r="I3" s="855">
        <f>ROUND('数据-基础表'!B3/'数据-基础表'!A3,2)</f>
        <v>2.39</v>
      </c>
      <c r="J3" s="2659"/>
      <c r="K3" s="2659"/>
      <c r="L3" s="2659"/>
      <c r="M3" s="2659"/>
      <c r="N3" s="2661"/>
      <c r="O3" s="2659"/>
      <c r="P3" s="2659"/>
    </row>
    <row r="4" spans="1:16" ht="15">
      <c r="A4" s="3534"/>
      <c r="B4" s="3535"/>
      <c r="C4" s="3536"/>
      <c r="D4" s="1641" t="s">
        <v>1107</v>
      </c>
      <c r="E4" s="1642" t="s">
        <v>1108</v>
      </c>
      <c r="F4" s="2659"/>
      <c r="G4" s="2652" t="s">
        <v>1133</v>
      </c>
      <c r="H4" s="1026" t="s">
        <v>1113</v>
      </c>
      <c r="I4" s="855">
        <f>ROUND(SUMIF('数据-基础表'!I9:AS9,"地上",'数据-基础表'!I5:AS5)/'数据-基础表'!A3,2)</f>
        <v>2.39</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f>ROUND(E31/D31,2)</f>
        <v>2.39</v>
      </c>
      <c r="J5" s="2659"/>
      <c r="K5" s="2659"/>
      <c r="L5" s="2659"/>
      <c r="M5" s="2659"/>
      <c r="N5" s="2659"/>
      <c r="O5" s="2659"/>
      <c r="P5" s="2659"/>
    </row>
    <row r="6" spans="1:16" ht="15" thickBot="1">
      <c r="A6" s="1644"/>
      <c r="B6" s="3537" t="s">
        <v>1111</v>
      </c>
      <c r="C6" s="3537"/>
      <c r="D6" s="45">
        <f>ROUND($D$3*E6/$E$3,2)</f>
        <v>2054.0100000000002</v>
      </c>
      <c r="E6" s="46">
        <f>E3-E5</f>
        <v>4904.8</v>
      </c>
      <c r="F6" s="2659"/>
      <c r="G6" s="2653" t="s">
        <v>1112</v>
      </c>
      <c r="H6" s="1146" t="s">
        <v>1113</v>
      </c>
      <c r="I6" s="2654">
        <f>ROUND(F31/D31,2)</f>
        <v>2.39</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2054.0100000000002</v>
      </c>
      <c r="E8" s="48">
        <f>SUMIF('数据-基础表'!BB10:BK10,"地上",'数据-基础表'!BB5:BK5)</f>
        <v>4904.8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2054.0100000000002</v>
      </c>
      <c r="E16" s="50">
        <f>SUM(E8:E15)</f>
        <v>4904.8</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3417</v>
      </c>
      <c r="D19" s="45">
        <f>ROUND($D$3*E19/$E$3,2)</f>
        <v>2054.0100000000002</v>
      </c>
      <c r="E19" s="53">
        <f t="shared" ref="E19:E26" si="1">SUM(F19:G19)</f>
        <v>4904.8</v>
      </c>
      <c r="F19" s="2795">
        <v>4904.8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2054.0100000000002</v>
      </c>
      <c r="S19" s="1027">
        <f t="shared" si="5"/>
        <v>4904.8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2054.0100000000002</v>
      </c>
      <c r="E27" s="1141">
        <f>IF(SUM(E19:E26)='数据-基础表'!BA5,SUM(E19:E26),IF(F27="地上面积有误","面积有误","地下面积有误"))</f>
        <v>4904.8</v>
      </c>
      <c r="F27" s="1140">
        <f>IF(SUM(F19:F26)=E8,SUM(F19:F26),"地上面积有误")</f>
        <v>4904.8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2054.0100000000002</v>
      </c>
      <c r="S27" s="1026">
        <f>IF(SUM(S19:S26)=$E$3,SUM(S19:S26),SUM(S19:S26)&amp;"误差"&amp;ROUND(SUM(S19:S26)-E3,2))</f>
        <v>4904.8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2054.0100000000002</v>
      </c>
      <c r="E31" s="676">
        <f>E27+E30</f>
        <v>4904.8</v>
      </c>
      <c r="F31" s="677">
        <f>F27+F30</f>
        <v>4904.8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J6" activePane="bottomRight" state="frozen"/>
      <selection activeCell="C50" sqref="C50"/>
      <selection pane="topRight" activeCell="C50" sqref="C50"/>
      <selection pane="bottomLeft" activeCell="C50" sqref="C50"/>
      <selection pane="bottomRight" activeCell="AM25" sqref="AM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50761</v>
      </c>
      <c r="F6" s="64">
        <f>SUMIF(项目基本情况!C$12:I$12,C6,项目基本情况!C$15:I$15)</f>
        <v>14.96</v>
      </c>
      <c r="G6" s="65">
        <f>IF(ISERROR(ROUND(POWER(1+H6,D6-F6)*(POWER(1+H6,F6)-1)/(POWER(1+H6,D6)-1),3)),0,ROUND(POWER(1+H6,D6-F6)*(POWER(1+H6,F6)-1)/(POWER(1+H6,D6)-1),3))</f>
        <v>0.60399999999999998</v>
      </c>
      <c r="H6" s="732">
        <v>0.05</v>
      </c>
      <c r="I6" s="732">
        <v>5.5E-2</v>
      </c>
      <c r="J6" s="66">
        <v>7.0000000000000007E-2</v>
      </c>
      <c r="K6" s="1030">
        <f>SUMIF('数据-汇总表'!C$19:C$33,A6,'数据-汇总表'!E$19:E$33)</f>
        <v>4904.8</v>
      </c>
      <c r="L6" s="733">
        <v>3500</v>
      </c>
      <c r="M6" s="67">
        <f t="shared" ref="M6:M14" si="0">ROUND(K6*L6/10000,0)</f>
        <v>1717</v>
      </c>
      <c r="N6" s="731">
        <f>N21</f>
        <v>0.64</v>
      </c>
      <c r="O6" s="67" t="str">
        <f>IF($N$5="成新度","——",ROUND(M6*N6,0))</f>
        <v>——</v>
      </c>
      <c r="P6" s="68" t="str">
        <f>IF($N$5="成新度","——",M6-O6)</f>
        <v>——</v>
      </c>
      <c r="Q6" s="734">
        <v>0.1</v>
      </c>
      <c r="R6" s="69">
        <f ca="1">SUMIF('数据-汇总表'!C$19:C$33,A6,'数据-汇总表'!R$19:R$27)</f>
        <v>2054.0100000000002</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0.64</v>
      </c>
      <c r="Z6" s="72"/>
      <c r="AA6" s="66"/>
      <c r="AB6" s="66"/>
      <c r="AC6" s="1040"/>
      <c r="AD6" s="73"/>
      <c r="AE6" s="1041">
        <f ca="1">IF(AN6="",0,SUMIF(INDIRECT("'"&amp;AN6&amp;"'"&amp;"!E:E"),$AE$5,INDIRECT("'"&amp;AN6&amp;"'"&amp;"!F:F")))</f>
        <v>14.96</v>
      </c>
      <c r="AF6" s="1348"/>
      <c r="AG6" s="138">
        <f>IF(AF6="",0,AE6-AF6)</f>
        <v>0</v>
      </c>
      <c r="AH6" s="74"/>
      <c r="AI6" s="76">
        <v>365</v>
      </c>
      <c r="AJ6" s="77"/>
      <c r="AK6" s="78">
        <v>0.01</v>
      </c>
      <c r="AL6" s="79">
        <v>1E-3</v>
      </c>
      <c r="AM6" s="80">
        <v>0.01</v>
      </c>
      <c r="AN6" s="1715" t="s">
        <v>3392</v>
      </c>
      <c r="AO6" s="52">
        <f ca="1">SUMIF(INDIRECT("'"&amp;AN6&amp;"'"&amp;"!A:A"),"总价",INDIRECT("'"&amp;AN6&amp;"'"&amp;"!B:B"))</f>
        <v>8284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0.60399999999999998</v>
      </c>
      <c r="H16" s="90">
        <f>ROUND(SUMPRODUCT(H6:H13,K6:K13)/SUMPRODUCT((H6:H13&gt;0)*(K6:K13)),3)</f>
        <v>0.05</v>
      </c>
      <c r="I16" s="91"/>
      <c r="J16" s="91"/>
      <c r="K16" s="92">
        <f>SUM(K6:K15)</f>
        <v>4904.8</v>
      </c>
      <c r="L16" s="93">
        <f>ROUND(M16*10000/SUM(K6:K14),0)</f>
        <v>3501</v>
      </c>
      <c r="M16" s="93">
        <f>SUM(M6:M14)</f>
        <v>1717</v>
      </c>
      <c r="N16" s="94">
        <f>ROUND(SUMPRODUCT(M6:M14,N6:N14)/M16,3)</f>
        <v>0.64</v>
      </c>
      <c r="O16" s="93">
        <f>SUM(O6:O14)</f>
        <v>0</v>
      </c>
      <c r="P16" s="93">
        <f>SUM(P6:P14)</f>
        <v>0</v>
      </c>
      <c r="Q16" s="95">
        <f>ROUND(SUMPRODUCT(Q6:Q13,K6:K13)/SUMPRODUCT((Q6:Q13&gt;0)*(K6:K13)),2)</f>
        <v>0.1</v>
      </c>
      <c r="R16" s="1034">
        <f ca="1">SUM(R6:R13)</f>
        <v>2054.0100000000002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9" t="s">
        <v>3388</v>
      </c>
      <c r="N18" s="2671">
        <v>1999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3389</v>
      </c>
      <c r="N19" s="2671">
        <f>ROUND((1-2%)-(2024-N18)/50,2)</f>
        <v>0.48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49" t="s">
        <v>3390</v>
      </c>
      <c r="N20" s="3450">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449" t="s">
        <v>3391</v>
      </c>
      <c r="N21" s="2671">
        <f>ROUND((N20+N19)/2,2)</f>
        <v>0.64</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7" sqref="H36:H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4904.8</v>
      </c>
      <c r="C1" s="2686"/>
      <c r="D1" s="2686"/>
      <c r="E1" s="2686"/>
      <c r="F1" s="2686"/>
      <c r="G1" s="2687"/>
      <c r="H1" s="2688"/>
      <c r="I1" s="2688"/>
      <c r="J1" s="2688"/>
      <c r="K1" s="2688"/>
    </row>
    <row r="2" spans="1:11" ht="16.5">
      <c r="A2" s="2512" t="s">
        <v>653</v>
      </c>
      <c r="B2" s="2512">
        <f>SUM(C14:C23)</f>
        <v>2054.0100000000002</v>
      </c>
      <c r="C2" s="2686"/>
      <c r="D2" s="2686"/>
      <c r="E2" s="2686"/>
      <c r="F2" s="2686"/>
      <c r="G2" s="2687"/>
      <c r="H2" s="2688"/>
      <c r="I2" s="2688"/>
      <c r="J2" s="2688"/>
      <c r="K2" s="2688"/>
    </row>
    <row r="3" spans="1:11" ht="16.5">
      <c r="A3" s="2512" t="s">
        <v>662</v>
      </c>
      <c r="B3" s="2514">
        <f>项目基本情况!D3</f>
        <v>45300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7034</v>
      </c>
      <c r="C5" s="2512">
        <f ca="1">IF(B5=D14,结果表!H102,ROUND(B5*10000/$B$1,0))</f>
        <v>14341</v>
      </c>
      <c r="D5" s="2512">
        <f ca="1">ROUND(B5*10000/$B$2,0)</f>
        <v>34245</v>
      </c>
      <c r="E5" s="2686"/>
      <c r="F5" s="2687"/>
      <c r="G5" s="2687"/>
      <c r="H5" s="2688"/>
      <c r="I5" s="2688"/>
      <c r="J5" s="2688"/>
      <c r="K5" s="2688"/>
    </row>
    <row r="6" spans="1:11" ht="16.5">
      <c r="A6" s="2512" t="s">
        <v>656</v>
      </c>
      <c r="B6" s="2512">
        <f>SUM(G14:G23)</f>
        <v>0</v>
      </c>
      <c r="C6" s="2512">
        <f ca="1">IF(B6=G14,结果表!H108,ROUND(B6*10000/$B$1,0))</f>
        <v>14341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4904.8</v>
      </c>
      <c r="C14" s="2518">
        <f>结果表!C118</f>
        <v>2054.0100000000002</v>
      </c>
      <c r="D14" s="2518">
        <f ca="1">结果表!H118</f>
        <v>7034</v>
      </c>
      <c r="E14" s="2518">
        <f ca="1">ROUND(D14*10000/B14,0)</f>
        <v>14341</v>
      </c>
      <c r="F14" s="2518">
        <f ca="1">ROUND(D14*10000/C14,0)</f>
        <v>34245</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7" t="str">
        <f>项目基本情况!S2</f>
        <v>北京市房地产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4" t="s">
        <v>1265</v>
      </c>
      <c r="B4" s="1755" t="s">
        <v>1266</v>
      </c>
      <c r="C4" s="1756" t="s">
        <v>3412</v>
      </c>
      <c r="D4" s="1756" t="s">
        <v>3392</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610">
        <v>25</v>
      </c>
      <c r="C5" s="3613"/>
      <c r="D5" s="3601"/>
      <c r="E5" s="131" t="s">
        <v>1269</v>
      </c>
      <c r="F5" s="1757"/>
      <c r="G5" s="1757"/>
      <c r="H5" s="1757"/>
      <c r="I5" s="1373"/>
    </row>
    <row r="6" spans="1:12" ht="12.75">
      <c r="A6" s="3555"/>
      <c r="B6" s="3610"/>
      <c r="C6" s="3615"/>
      <c r="D6" s="3601"/>
      <c r="E6" s="131" t="s">
        <v>1270</v>
      </c>
      <c r="F6" s="1757"/>
      <c r="G6" s="1757"/>
      <c r="H6" s="1757"/>
      <c r="I6" s="1373"/>
    </row>
    <row r="7" spans="1:12" ht="12.75">
      <c r="A7" s="3555"/>
      <c r="B7" s="3610"/>
      <c r="C7" s="3614"/>
      <c r="D7" s="3601"/>
      <c r="E7" s="131" t="s">
        <v>1271</v>
      </c>
      <c r="F7" s="1757"/>
      <c r="G7" s="1757"/>
      <c r="H7" s="1757"/>
      <c r="I7" s="1373"/>
    </row>
    <row r="8" spans="1:12" ht="12.75">
      <c r="A8" s="3555" t="s">
        <v>1272</v>
      </c>
      <c r="B8" s="3610">
        <v>15</v>
      </c>
      <c r="C8" s="3613"/>
      <c r="D8" s="3601"/>
      <c r="E8" s="131" t="s">
        <v>1273</v>
      </c>
      <c r="F8" s="1757"/>
      <c r="G8" s="1757"/>
      <c r="H8" s="1757"/>
      <c r="I8" s="1373"/>
    </row>
    <row r="9" spans="1:12" ht="12.75">
      <c r="A9" s="3555"/>
      <c r="B9" s="3610"/>
      <c r="C9" s="3614"/>
      <c r="D9" s="3601"/>
      <c r="E9" s="131" t="s">
        <v>1274</v>
      </c>
      <c r="F9" s="1757"/>
      <c r="G9" s="1757"/>
      <c r="H9" s="1757"/>
      <c r="I9" s="1373"/>
    </row>
    <row r="10" spans="1:12" ht="12.75">
      <c r="A10" s="3555" t="s">
        <v>1275</v>
      </c>
      <c r="B10" s="3610">
        <v>15</v>
      </c>
      <c r="C10" s="3613"/>
      <c r="D10" s="3601"/>
      <c r="E10" s="131" t="s">
        <v>1276</v>
      </c>
      <c r="F10" s="1757"/>
      <c r="G10" s="1757"/>
      <c r="H10" s="1757"/>
      <c r="I10" s="1373"/>
    </row>
    <row r="11" spans="1:12" ht="12.75">
      <c r="A11" s="3555"/>
      <c r="B11" s="3610"/>
      <c r="C11" s="3614"/>
      <c r="D11" s="3601"/>
      <c r="E11" s="131" t="s">
        <v>1277</v>
      </c>
      <c r="F11" s="1757"/>
      <c r="G11" s="1757"/>
      <c r="H11" s="1757"/>
      <c r="I11" s="1373"/>
    </row>
    <row r="12" spans="1:12" ht="12.75">
      <c r="A12" s="3555" t="s">
        <v>1278</v>
      </c>
      <c r="B12" s="3610">
        <v>15</v>
      </c>
      <c r="C12" s="3613"/>
      <c r="D12" s="3601"/>
      <c r="E12" s="131" t="s">
        <v>1279</v>
      </c>
      <c r="F12" s="1757"/>
      <c r="G12" s="1757"/>
      <c r="H12" s="1757"/>
      <c r="I12" s="1373"/>
    </row>
    <row r="13" spans="1:12" ht="12.75">
      <c r="A13" s="3555"/>
      <c r="B13" s="3610"/>
      <c r="C13" s="3614"/>
      <c r="D13" s="3601"/>
      <c r="E13" s="131" t="s">
        <v>1280</v>
      </c>
      <c r="F13" s="1757"/>
      <c r="G13" s="1757"/>
      <c r="H13" s="1757"/>
      <c r="I13" s="1373"/>
    </row>
    <row r="14" spans="1:12" ht="12.75">
      <c r="A14" s="3555" t="s">
        <v>1281</v>
      </c>
      <c r="B14" s="3610">
        <v>30</v>
      </c>
      <c r="C14" s="3613">
        <v>4</v>
      </c>
      <c r="D14" s="3601">
        <v>6</v>
      </c>
      <c r="E14" s="131" t="s">
        <v>1282</v>
      </c>
      <c r="F14" s="1757"/>
      <c r="G14" s="1757"/>
      <c r="H14" s="1757"/>
      <c r="I14" s="1373"/>
    </row>
    <row r="15" spans="1:12" ht="12.75">
      <c r="A15" s="3555"/>
      <c r="B15" s="3610"/>
      <c r="C15" s="3615"/>
      <c r="D15" s="3601"/>
      <c r="E15" s="131" t="s">
        <v>1283</v>
      </c>
      <c r="F15" s="1757"/>
      <c r="G15" s="1757"/>
      <c r="H15" s="1757"/>
      <c r="I15" s="1373"/>
    </row>
    <row r="16" spans="1:12" ht="12.75">
      <c r="A16" s="3555"/>
      <c r="B16" s="3610"/>
      <c r="C16" s="3614"/>
      <c r="D16" s="360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4904.8</v>
      </c>
      <c r="M18" s="302">
        <f>IF(C1="",'数据-汇总表'!E3,SUMIF(项目类型,C1,'数据-汇总表'!E17:E26))</f>
        <v>4904.8</v>
      </c>
    </row>
    <row r="19" spans="1:36" ht="15">
      <c r="A19" s="1761" t="s">
        <v>1290</v>
      </c>
      <c r="B19" s="1762" t="s">
        <v>1291</v>
      </c>
      <c r="C19" s="134">
        <f ca="1">SUMIF(INDIRECT("'"&amp;C4&amp;"'"&amp;"!A:A"),结果表!B19,INDIRECT("'"&amp;C4&amp;"'"&amp;"!B:B"))</f>
        <v>5160</v>
      </c>
      <c r="D19" s="135">
        <f ca="1">SUMIF(INDIRECT("'"&amp;D4&amp;"'"&amp;"!A:A"),结果表!B19,INDIRECT("'"&amp;D4&amp;"'"&amp;"!B:B"))</f>
        <v>8284</v>
      </c>
      <c r="E19" s="1761" t="s">
        <v>1292</v>
      </c>
      <c r="F19" s="1762" t="s">
        <v>1291</v>
      </c>
      <c r="G19" s="136">
        <f ca="1">ROUND(C19*$C$18+D19*$D$18,0)</f>
        <v>7034</v>
      </c>
      <c r="H19" s="1763" t="s">
        <v>1293</v>
      </c>
      <c r="I19" s="129"/>
      <c r="K19" s="302" t="s">
        <v>1294</v>
      </c>
      <c r="L19" s="302">
        <f>IF(C1="",'数据-汇总表'!D3,SUMIF(项目类型,C1,'数据-汇总表'!D17:D26)+SUMIF(项目类型,C1,'数据-汇总表'!H17:H27))</f>
        <v>2054.0100000000002</v>
      </c>
      <c r="M19" s="302">
        <f>IF(C1="",'数据-汇总表'!D3,SUMIF(项目类型,C1,'数据-汇总表'!D17:D26))</f>
        <v>2054.0100000000002</v>
      </c>
    </row>
    <row r="20" spans="1:36" ht="15">
      <c r="A20" s="1764"/>
      <c r="B20" s="1026" t="s">
        <v>1295</v>
      </c>
      <c r="C20" s="137">
        <f ca="1">SUMIF(INDIRECT("'"&amp;C4&amp;"'"&amp;"!A:A"),结果表!B20,INDIRECT("'"&amp;C4&amp;"'"&amp;"!B:B"))</f>
        <v>10520</v>
      </c>
      <c r="D20" s="138">
        <f ca="1">SUMIF(INDIRECT("'"&amp;D4&amp;"'"&amp;"!A:A"),结果表!B20,INDIRECT("'"&amp;D4&amp;"'"&amp;"!B:B"))</f>
        <v>16890</v>
      </c>
      <c r="E20" s="1764"/>
      <c r="F20" s="1026" t="s">
        <v>1295</v>
      </c>
      <c r="G20" s="139">
        <f ca="1">ROUND(C20*$C$18+D20*$D$18,0)</f>
        <v>14342</v>
      </c>
      <c r="H20" s="808" t="s">
        <v>1296</v>
      </c>
      <c r="I20" s="129"/>
    </row>
    <row r="21" spans="1:36" ht="15" customHeight="1" thickBot="1">
      <c r="A21" s="828"/>
      <c r="B21" s="1765" t="s">
        <v>1297</v>
      </c>
      <c r="C21" s="719">
        <f ca="1">ROUND(C19*10000/L19,0)</f>
        <v>25122</v>
      </c>
      <c r="D21" s="720">
        <f ca="1">ROUND(D19*10000/L19,0)</f>
        <v>40331</v>
      </c>
      <c r="E21" s="828"/>
      <c r="F21" s="1765" t="s">
        <v>1297</v>
      </c>
      <c r="G21" s="140">
        <f ca="1">ROUND(G19*10000/L19,0)</f>
        <v>34245</v>
      </c>
      <c r="H21" s="1766" t="s">
        <v>1296</v>
      </c>
      <c r="I21" s="129"/>
    </row>
    <row r="22" spans="1:36" ht="15" thickBot="1">
      <c r="A22" s="1688" t="s">
        <v>1298</v>
      </c>
      <c r="B22" s="1767"/>
      <c r="C22" s="1768"/>
      <c r="D22" s="721">
        <f ca="1">IF(C19&lt;D19,D19/C19-1,C19/D19-1)</f>
        <v>0.60542635658914734</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7034</v>
      </c>
      <c r="D32" s="1775" t="s">
        <v>3413</v>
      </c>
      <c r="E32" s="129"/>
      <c r="F32" s="129"/>
      <c r="G32" s="129"/>
      <c r="H32" s="129"/>
      <c r="I32" s="129"/>
    </row>
    <row r="33" spans="1:15" ht="15">
      <c r="A33" s="786" t="s">
        <v>1306</v>
      </c>
      <c r="B33" s="1776"/>
      <c r="C33" s="1777" t="s">
        <v>3414</v>
      </c>
      <c r="D33" s="1778" t="s">
        <v>3412</v>
      </c>
      <c r="E33" s="1779" t="s">
        <v>1307</v>
      </c>
      <c r="F33" s="1780" t="str">
        <f>IF(D32="楼面单价","取值（单价）","取值（总价）")</f>
        <v>取值（总价）</v>
      </c>
      <c r="G33" s="129"/>
      <c r="H33" s="129"/>
      <c r="I33" s="129"/>
    </row>
    <row r="34" spans="1:15" ht="15">
      <c r="A34" s="1781"/>
      <c r="B34" s="1782" t="s">
        <v>1308</v>
      </c>
      <c r="C34" s="148">
        <f ca="1">IF(C33="自定义",F34,C32-C35)</f>
        <v>5001</v>
      </c>
      <c r="D34" s="861">
        <f ca="1">IF(C33="自定义",ROUND(C34/C32,3),IF(C33="收益比率",SUMIF(INDIRECT("'"&amp;D33&amp;"'"&amp;"!b:b"),"土地收益比率",INDIRECT("'"&amp;D33&amp;"'"&amp;"!c:c")),SUMIF(INDIRECT("'"&amp;D33&amp;"'"&amp;"!b:b"),"土地成本比率",INDIRECT("'"&amp;D33&amp;"'"&amp;"!c:c"))))</f>
        <v>0.71100000000000008</v>
      </c>
      <c r="E34" s="1783" t="s">
        <v>1309</v>
      </c>
      <c r="F34" s="1330"/>
      <c r="G34" s="129"/>
      <c r="H34" s="129"/>
      <c r="I34" s="129"/>
    </row>
    <row r="35" spans="1:15" ht="15.75" thickBot="1">
      <c r="A35" s="1784"/>
      <c r="B35" s="1785" t="s">
        <v>1310</v>
      </c>
      <c r="C35" s="1170">
        <f ca="1">IF(C33="自定义",F35,ROUND(C32*D35,0))</f>
        <v>2033</v>
      </c>
      <c r="D35" s="1171">
        <f ca="1">IF(C33="自定义",ROUND(C35/C32,3),IF(C33="收益比率",SUMIF(INDIRECT("'"&amp;D33&amp;"'"&amp;"!b:b"),"建筑物收益比率",INDIRECT("'"&amp;D33&amp;"'"&amp;"!c:c")),SUMIF(INDIRECT("'"&amp;D33&amp;"'"&amp;"!b:b"),"建筑物成本比率",INDIRECT("'"&amp;D33&amp;"'"&amp;"!c:c"))))</f>
        <v>0.28899999999999998</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7034</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3">
        <v>1</v>
      </c>
      <c r="K46" s="3543" t="s">
        <v>1331</v>
      </c>
      <c r="L46" s="3543"/>
      <c r="M46" s="3544"/>
      <c r="N46" s="3544"/>
      <c r="O46" s="3544"/>
    </row>
    <row r="47" spans="1:15" ht="12" customHeight="1">
      <c r="A47" s="160" t="s">
        <v>1332</v>
      </c>
      <c r="B47" s="161"/>
      <c r="C47" s="162"/>
      <c r="D47" s="1087" t="s">
        <v>1333</v>
      </c>
      <c r="E47" s="302" t="s">
        <v>1334</v>
      </c>
      <c r="F47" s="163" t="s">
        <v>1335</v>
      </c>
      <c r="G47" s="2546" t="s">
        <v>1336</v>
      </c>
      <c r="H47" s="2547"/>
      <c r="I47" s="159"/>
      <c r="J47" s="2523">
        <v>2</v>
      </c>
      <c r="K47" s="3543" t="s">
        <v>1337</v>
      </c>
      <c r="L47" s="3543"/>
      <c r="M47" s="3545">
        <f>'数据-取费表'!B2</f>
        <v>45300</v>
      </c>
      <c r="N47" s="3545"/>
      <c r="O47" s="3545"/>
    </row>
    <row r="48" spans="1:15" ht="25.5">
      <c r="A48" s="3605" t="s">
        <v>1338</v>
      </c>
      <c r="B48" s="3606"/>
      <c r="C48" s="360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3" t="s">
        <v>1340</v>
      </c>
      <c r="L48" s="3543"/>
      <c r="M48" s="3546">
        <f ca="1">H101</f>
        <v>7034</v>
      </c>
      <c r="N48" s="3546"/>
      <c r="O48" s="3546"/>
    </row>
    <row r="49" spans="1:35" ht="25.5" customHeight="1">
      <c r="A49" s="2333" t="s">
        <v>1341</v>
      </c>
      <c r="B49" s="3591" t="s">
        <v>1342</v>
      </c>
      <c r="C49" s="3591"/>
      <c r="D49" s="1590">
        <v>0</v>
      </c>
      <c r="E49" s="324" t="s">
        <v>1343</v>
      </c>
      <c r="F49" s="2424" t="s">
        <v>28</v>
      </c>
      <c r="G49" s="3574"/>
      <c r="H49" s="2310" t="s">
        <v>2134</v>
      </c>
      <c r="I49" s="2311"/>
      <c r="J49" s="2523">
        <v>4</v>
      </c>
      <c r="K49" s="3543" t="str">
        <f>IF(项目基本情况!E8="房地产抵押价值","房地产抵押价值","抵押担保权已注销时的房地产抵押价值")</f>
        <v>房地产抵押价值</v>
      </c>
      <c r="L49" s="3543"/>
      <c r="M49" s="3546">
        <f ca="1">IF(项目基本情况!E8="房地产抵押价值",H107,H109)</f>
        <v>7034</v>
      </c>
      <c r="N49" s="3546"/>
      <c r="O49" s="3546"/>
    </row>
    <row r="50" spans="1:35" ht="25.5" customHeight="1">
      <c r="A50" s="2551"/>
      <c r="B50" s="3591" t="s">
        <v>1344</v>
      </c>
      <c r="C50" s="3591"/>
      <c r="D50" s="2552"/>
      <c r="E50" s="332"/>
      <c r="F50" s="2424"/>
      <c r="G50" s="3575"/>
      <c r="H50" s="2312" t="s">
        <v>2135</v>
      </c>
      <c r="I50" s="2311"/>
      <c r="J50" s="3542" t="s">
        <v>1345</v>
      </c>
      <c r="K50" s="3542"/>
      <c r="L50" s="3542"/>
      <c r="M50" s="3542"/>
      <c r="N50" s="3542"/>
      <c r="O50" s="3542"/>
    </row>
    <row r="51" spans="1:35" ht="20.45" customHeight="1">
      <c r="A51" s="2553"/>
      <c r="B51" s="3591" t="s">
        <v>1346</v>
      </c>
      <c r="C51" s="3591"/>
      <c r="D51" s="1087"/>
      <c r="E51" s="327"/>
      <c r="F51" s="2424"/>
      <c r="G51" s="3576"/>
      <c r="H51" s="2312" t="s">
        <v>2136</v>
      </c>
      <c r="I51" s="2311"/>
      <c r="J51" s="2524" t="s">
        <v>1347</v>
      </c>
      <c r="K51" s="3543" t="s">
        <v>1348</v>
      </c>
      <c r="L51" s="3543"/>
      <c r="M51" s="2524" t="s">
        <v>1349</v>
      </c>
      <c r="N51" s="2524" t="s">
        <v>1350</v>
      </c>
      <c r="O51" s="2524" t="s">
        <v>1351</v>
      </c>
    </row>
    <row r="52" spans="1:35" ht="24" customHeight="1">
      <c r="A52" s="2335" t="s">
        <v>1352</v>
      </c>
      <c r="B52" s="3591" t="s">
        <v>1353</v>
      </c>
      <c r="C52" s="3591"/>
      <c r="D52" s="1087">
        <f ca="1">ROUND(D45*'数据-取费表'!B41/(1+'数据-取费表'!C42),0)</f>
        <v>368</v>
      </c>
      <c r="E52" s="2334" t="s">
        <v>1354</v>
      </c>
      <c r="F52" s="2554">
        <f>'数据-取费表'!B41</f>
        <v>5.5000000000000007E-2</v>
      </c>
      <c r="G52" s="2555"/>
      <c r="H52" s="2544"/>
      <c r="I52" s="1807"/>
      <c r="J52" s="2523">
        <v>1</v>
      </c>
      <c r="K52" s="3568" t="s">
        <v>1355</v>
      </c>
      <c r="L52" s="3568"/>
      <c r="M52" s="2525" t="b">
        <f>D48</f>
        <v>0</v>
      </c>
      <c r="N52" s="2523" t="str">
        <f>E48</f>
        <v>销售额×税（费）率</v>
      </c>
      <c r="O52" s="2526">
        <f>F48</f>
        <v>5.5000000000000007E-2</v>
      </c>
    </row>
    <row r="53" spans="1:35" ht="12" customHeight="1">
      <c r="A53" s="2335" t="s">
        <v>1356</v>
      </c>
      <c r="B53" s="3592" t="s">
        <v>2291</v>
      </c>
      <c r="C53" s="3593"/>
      <c r="D53" s="1087">
        <f ca="1">ROUND(D45*'数据-取费表'!B41/(1+'数据-取费表'!C42),0)</f>
        <v>368</v>
      </c>
      <c r="E53" s="2334" t="s">
        <v>1354</v>
      </c>
      <c r="F53" s="2554">
        <f>'数据-取费表'!B41</f>
        <v>5.5000000000000007E-2</v>
      </c>
      <c r="G53" s="2555"/>
      <c r="H53" s="2544"/>
      <c r="I53" s="1807"/>
      <c r="J53" s="2523">
        <v>2</v>
      </c>
      <c r="K53" s="3568" t="s">
        <v>1357</v>
      </c>
      <c r="L53" s="3568"/>
      <c r="M53" s="2525">
        <f t="shared" ref="M53:O54" ca="1" si="0">D55</f>
        <v>4</v>
      </c>
      <c r="N53" s="2523" t="str">
        <f t="shared" si="0"/>
        <v>销售额×税（费）率</v>
      </c>
      <c r="O53" s="2526" t="str">
        <f t="shared" si="0"/>
        <v>免征</v>
      </c>
    </row>
    <row r="54" spans="1:35" ht="12" customHeight="1">
      <c r="A54" s="2335" t="s">
        <v>1358</v>
      </c>
      <c r="B54" s="3592" t="s">
        <v>2292</v>
      </c>
      <c r="C54" s="3593"/>
      <c r="D54" s="1087">
        <f ca="1">C68</f>
        <v>368</v>
      </c>
      <c r="E54" s="327" t="s">
        <v>1359</v>
      </c>
      <c r="F54" s="2554">
        <f>'数据-取费表'!B41</f>
        <v>5.5000000000000007E-2</v>
      </c>
      <c r="G54" s="2555"/>
      <c r="H54" s="2556"/>
      <c r="I54" s="1807"/>
      <c r="J54" s="2523">
        <v>3</v>
      </c>
      <c r="K54" s="3568" t="s">
        <v>1360</v>
      </c>
      <c r="L54" s="3568"/>
      <c r="M54" s="2525">
        <f t="shared" ca="1" si="0"/>
        <v>3988</v>
      </c>
      <c r="N54" s="2523" t="str">
        <f t="shared" si="0"/>
        <v>增值额×税（费）率</v>
      </c>
      <c r="O54" s="2527" t="str">
        <f t="shared" si="0"/>
        <v>免征</v>
      </c>
    </row>
    <row r="55" spans="1:35" ht="24" customHeight="1">
      <c r="A55" s="3628" t="s">
        <v>1361</v>
      </c>
      <c r="B55" s="3606"/>
      <c r="C55" s="3606"/>
      <c r="D55" s="2324">
        <f ca="1">IF(H55="个人住宅",0,ROUND(D45*I55,0))</f>
        <v>4</v>
      </c>
      <c r="E55" s="2334" t="s">
        <v>1362</v>
      </c>
      <c r="F55" s="2554" t="str">
        <f>IF(H55="正常",I55,"免征")</f>
        <v>免征</v>
      </c>
      <c r="G55" s="2555"/>
      <c r="H55" s="2550"/>
      <c r="I55" s="165">
        <f>'数据-取费表'!B49</f>
        <v>5.0000000000000001E-4</v>
      </c>
      <c r="J55" s="2523">
        <f>IF(H59="非个人房产","",4)</f>
        <v>4</v>
      </c>
      <c r="K55" s="3568" t="str">
        <f>IF(H59="非个人房产","——","个人所得税")</f>
        <v>个人所得税</v>
      </c>
      <c r="L55" s="3568"/>
      <c r="M55" s="2528">
        <f ca="1">D59</f>
        <v>67</v>
      </c>
      <c r="N55" s="2040" t="str">
        <f>E59</f>
        <v>差额计税</v>
      </c>
      <c r="O55" s="2529">
        <f>F59</f>
        <v>0.01</v>
      </c>
    </row>
    <row r="56" spans="1:35" ht="24.75">
      <c r="A56" s="3628" t="s">
        <v>1363</v>
      </c>
      <c r="B56" s="3606"/>
      <c r="C56" s="3606"/>
      <c r="D56" s="2324">
        <f ca="1">IF(H56="个人住宅",D57,D58)</f>
        <v>3988</v>
      </c>
      <c r="E56" s="2334" t="s">
        <v>1364</v>
      </c>
      <c r="F56" s="2554" t="str">
        <f>IF(H56="正常",F58,"免征")</f>
        <v>免征</v>
      </c>
      <c r="G56" s="2557" t="s">
        <v>1365</v>
      </c>
      <c r="H56" s="2558"/>
      <c r="I56" s="1808"/>
      <c r="J56" s="2523" t="str">
        <f>IF(项目基本情况!K6="上海银行",IF(J55="",4,J55+1),"")</f>
        <v/>
      </c>
      <c r="K56" s="3549" t="str">
        <f>IF(项目基本情况!K6="上海银行","其他处置费用","")</f>
        <v/>
      </c>
      <c r="L56" s="3550"/>
      <c r="M56" s="2525" t="str">
        <f>IF(项目基本情况!K6="上海银行",M69,"")</f>
        <v/>
      </c>
      <c r="N56" s="3549" t="str">
        <f>IF(项目基本情况!K6="上海银行","包含处置中涉及的律师、诉讼、拍卖、评估等费用","")</f>
        <v/>
      </c>
      <c r="O56" s="3552"/>
    </row>
    <row r="57" spans="1:35" ht="12.75">
      <c r="A57" s="2335" t="s">
        <v>1341</v>
      </c>
      <c r="B57" s="3592" t="s">
        <v>1366</v>
      </c>
      <c r="C57" s="3593"/>
      <c r="D57" s="1590">
        <v>0</v>
      </c>
      <c r="E57" s="324" t="s">
        <v>1343</v>
      </c>
      <c r="F57" s="302"/>
      <c r="G57" s="2555"/>
      <c r="H57" s="2559"/>
      <c r="I57" s="1808"/>
      <c r="J57" s="3568">
        <f>IF(AND(J55="",J56=""),4,IF(项目基本情况!K6="上海银行",结果表!J56+1,结果表!J55+1))</f>
        <v>5</v>
      </c>
      <c r="K57" s="3568" t="s">
        <v>1367</v>
      </c>
      <c r="L57" s="2530" t="s">
        <v>1368</v>
      </c>
      <c r="M57" s="2531"/>
      <c r="N57" s="2532">
        <f ca="1">SUMIF(M52:M56,"&lt;9e307")</f>
        <v>4059</v>
      </c>
      <c r="O57" s="2533"/>
      <c r="P57" s="2690">
        <f ca="1">N57/M49</f>
        <v>0.57705430764856414</v>
      </c>
    </row>
    <row r="58" spans="1:35" ht="24.75">
      <c r="A58" s="2335" t="s">
        <v>1352</v>
      </c>
      <c r="B58" s="3592" t="s">
        <v>1369</v>
      </c>
      <c r="C58" s="3591"/>
      <c r="D58" s="2324">
        <f ca="1">IF(H58="转让取得",C81,C97)</f>
        <v>3988</v>
      </c>
      <c r="E58" s="2334" t="s">
        <v>1364</v>
      </c>
      <c r="F58" s="302" t="s">
        <v>28</v>
      </c>
      <c r="G58" s="2555"/>
      <c r="H58" s="2558"/>
      <c r="I58" s="1808"/>
      <c r="J58" s="3568"/>
      <c r="K58" s="3568"/>
      <c r="L58" s="2530" t="s">
        <v>1370</v>
      </c>
      <c r="M58" s="2534"/>
      <c r="N58" s="2535" t="str">
        <f ca="1">NUMBERSTRING(INT(N57*10000),2)&amp;"元整"</f>
        <v>肆仟零伍拾玖万元整</v>
      </c>
      <c r="O58" s="2536"/>
    </row>
    <row r="59" spans="1:35" ht="24.75" thickBot="1">
      <c r="A59" s="3572" t="s">
        <v>1371</v>
      </c>
      <c r="B59" s="3573"/>
      <c r="C59" s="3573"/>
      <c r="D59" s="2560">
        <f ca="1">IF(H59="非个人房产","——",IF(H59="个人住宅（满五唯一有凭证）",0,IF(H59="个人其他（无凭证）",ROUND(D45*F59,0),ROUND(C67*F59,0))))</f>
        <v>67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0">
        <f>J57+1</f>
        <v>6</v>
      </c>
      <c r="K59" s="3568" t="s">
        <v>1372</v>
      </c>
      <c r="L59" s="2523" t="s">
        <v>1368</v>
      </c>
      <c r="M59" s="2537"/>
      <c r="N59" s="2538">
        <f ca="1">M49-N57</f>
        <v>2975</v>
      </c>
      <c r="O59" s="2539"/>
    </row>
    <row r="60" spans="1:35" ht="12" customHeight="1">
      <c r="A60" s="1809"/>
      <c r="B60" s="1747"/>
      <c r="C60" s="1747"/>
      <c r="D60" s="1747"/>
      <c r="E60" s="1578"/>
      <c r="F60" s="1808"/>
      <c r="G60" s="1808"/>
      <c r="H60" s="1810"/>
      <c r="I60" s="129"/>
      <c r="J60" s="3571"/>
      <c r="K60" s="3568"/>
      <c r="L60" s="2530" t="s">
        <v>1370</v>
      </c>
      <c r="M60" s="2534"/>
      <c r="N60" s="2535" t="str">
        <f ca="1">NUMBERSTRING(INT(N59*10000),2)&amp;"元整"</f>
        <v>贰仟玖佰柒拾伍万元整</v>
      </c>
      <c r="O60" s="2536"/>
    </row>
    <row r="61" spans="1:35" ht="13.5" thickBot="1">
      <c r="A61" s="3627" t="s">
        <v>1373</v>
      </c>
      <c r="B61" s="3627"/>
      <c r="C61" s="3627"/>
      <c r="D61" s="3627"/>
      <c r="E61" s="3627"/>
      <c r="F61" s="1808"/>
      <c r="G61" s="1808"/>
      <c r="H61" s="1810"/>
      <c r="I61" s="129"/>
      <c r="J61" s="2523">
        <f>J59+1</f>
        <v>7</v>
      </c>
      <c r="K61" s="3568" t="s">
        <v>1374</v>
      </c>
      <c r="L61" s="3568"/>
      <c r="M61" s="2540"/>
      <c r="N61" s="2541">
        <f ca="1">ROUND(N59*10000/'数据-汇总表'!E3,0)</f>
        <v>6065</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f ca="1">ROUND((C64+C65)/(1+'数据-取费表'!C42),0)</f>
        <v>6699</v>
      </c>
      <c r="D63" s="167"/>
      <c r="E63" s="168"/>
      <c r="F63" s="1808"/>
      <c r="G63" s="1808"/>
      <c r="H63" s="1810"/>
      <c r="I63" s="129"/>
      <c r="J63" s="3551" t="s">
        <v>1379</v>
      </c>
      <c r="K63" s="1332" t="s">
        <v>1380</v>
      </c>
      <c r="L63" s="1332">
        <f ca="1">IF(M49&gt;10000,M49*0.5%,IF(AND(M49&gt;1000,M49&lt;=10000),M49*1%,IF(AND(M49&gt;100,M49&lt;=1000),M49*3%,IF(AND(M49&gt;10,M49&lt;=100),M49*5%,M49*8%))))</f>
        <v>70.34</v>
      </c>
      <c r="M63" s="302">
        <f ca="1">ROUND(L63,1)</f>
        <v>70.3</v>
      </c>
      <c r="N63" s="2543"/>
      <c r="Z63" s="1752"/>
      <c r="AI63" s="1753"/>
    </row>
    <row r="64" spans="1:35" ht="14.25" customHeight="1">
      <c r="A64" s="169" t="s">
        <v>325</v>
      </c>
      <c r="B64" s="170" t="s">
        <v>1381</v>
      </c>
      <c r="C64" s="2565">
        <f ca="1">D45</f>
        <v>7034</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35.17</v>
      </c>
      <c r="M64" s="302">
        <f t="shared" ref="M64:M65" ca="1" si="1">ROUND(L64,1)</f>
        <v>35.200000000000003</v>
      </c>
      <c r="N64" s="2544" t="s">
        <v>1383</v>
      </c>
      <c r="Z64" s="1752"/>
      <c r="AI64" s="1753"/>
    </row>
    <row r="65" spans="1:35" ht="14.25" customHeight="1">
      <c r="A65" s="169" t="s">
        <v>326</v>
      </c>
      <c r="B65" s="170" t="s">
        <v>1384</v>
      </c>
      <c r="C65" s="2566"/>
      <c r="D65" s="170"/>
      <c r="E65" s="172"/>
      <c r="F65" s="1808"/>
      <c r="G65" s="1808"/>
      <c r="H65" s="1810"/>
      <c r="I65" s="129"/>
      <c r="J65" s="3551"/>
      <c r="K65" s="1332" t="s">
        <v>1385</v>
      </c>
      <c r="L65" s="1332">
        <f ca="1">IF(M49&gt;1000,M49*0.1%,IF(AND(M49&gt;500,M49&lt;=1000),M49*0.5%,IF(AND(M49&gt;50,M49&lt;=500),M49*1%,IF(AND(M49&gt;1,M49&lt;=50),M49*1.5%))))</f>
        <v>7.0339999999999998</v>
      </c>
      <c r="M65" s="302">
        <f t="shared" ca="1" si="1"/>
        <v>7</v>
      </c>
      <c r="N65" s="2544" t="s">
        <v>1383</v>
      </c>
      <c r="Z65" s="1752"/>
      <c r="AI65" s="1753"/>
    </row>
    <row r="66" spans="1:35" ht="14.25" customHeight="1">
      <c r="A66" s="173" t="s">
        <v>327</v>
      </c>
      <c r="B66" s="174" t="s">
        <v>1386</v>
      </c>
      <c r="C66" s="2567"/>
      <c r="D66" s="174" t="s">
        <v>26</v>
      </c>
      <c r="E66" s="1338" t="s">
        <v>671</v>
      </c>
      <c r="F66" s="1808"/>
      <c r="G66" s="1808"/>
      <c r="H66" s="1810"/>
      <c r="I66" s="129"/>
      <c r="J66" s="3551"/>
      <c r="K66" s="1332" t="s">
        <v>1387</v>
      </c>
      <c r="L66" s="1332">
        <f ca="1">M49*0.5%</f>
        <v>35.17</v>
      </c>
      <c r="M66" s="302">
        <f ca="1">IF(L66&gt;0.5,0.5,ROUND(L66,0))</f>
        <v>0.5</v>
      </c>
      <c r="N66" s="2544" t="s">
        <v>1388</v>
      </c>
      <c r="Z66" s="1752"/>
      <c r="AI66" s="1753"/>
    </row>
    <row r="67" spans="1:35" ht="14.25" customHeight="1">
      <c r="A67" s="173" t="s">
        <v>328</v>
      </c>
      <c r="B67" s="174" t="s">
        <v>1389</v>
      </c>
      <c r="C67" s="2568">
        <f ca="1">C63-C66</f>
        <v>6699</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7.4636000000000005</v>
      </c>
      <c r="M67" s="302">
        <f ca="1">ROUND(L67*0.9,1)</f>
        <v>6.7</v>
      </c>
      <c r="N67" s="2543"/>
      <c r="Z67" s="1752"/>
      <c r="AI67" s="1753"/>
    </row>
    <row r="68" spans="1:35" ht="14.25" customHeight="1" thickBot="1">
      <c r="A68" s="176" t="s">
        <v>329</v>
      </c>
      <c r="B68" s="177" t="s">
        <v>1391</v>
      </c>
      <c r="C68" s="2569">
        <f ca="1">IF(C67&lt;=0,0,ROUND(C67*D68,0))</f>
        <v>368</v>
      </c>
      <c r="D68" s="2570">
        <f>'数据-取费表'!B41</f>
        <v>5.5000000000000007E-2</v>
      </c>
      <c r="E68" s="178"/>
      <c r="F68" s="1808"/>
      <c r="G68" s="1808"/>
      <c r="H68" s="1810"/>
      <c r="I68" s="129"/>
      <c r="J68" s="3551"/>
      <c r="K68" s="1332" t="s">
        <v>1392</v>
      </c>
      <c r="L68" s="1332">
        <f ca="1">IF(M49&gt;10000,M49*0.5%,IF(AND(M49&gt;5000,M49&lt;=10000),M49*1%,IF(AND(M49&gt;1000,M49&lt;=5000),M49*2%,IF(AND(M49&gt;200,M49&lt;=1000),M49*3%,M49*5%))))</f>
        <v>70.34</v>
      </c>
      <c r="M68" s="302">
        <f ca="1">ROUND(L68,1)</f>
        <v>70.3</v>
      </c>
      <c r="N68" s="2543"/>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190</v>
      </c>
      <c r="N69" s="2545">
        <f ca="1">M69/M49</f>
        <v>2.701165766278078E-2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6699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v>
      </c>
      <c r="D78" s="2577">
        <f>'数据-取费表'!B43</f>
        <v>5.000000000000001E-3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6666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6699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3" t="s">
        <v>2129</v>
      </c>
      <c r="H90" s="35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8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v>
      </c>
      <c r="D93" s="2577">
        <f>'数据-取费表'!B43</f>
        <v>5.000000000000001E-3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6666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5" t="str">
        <f>C4</f>
        <v>成本法</v>
      </c>
      <c r="D101" s="2586" t="str">
        <f>D4</f>
        <v>收益法</v>
      </c>
      <c r="E101" s="3547" t="s">
        <v>1431</v>
      </c>
      <c r="F101" s="3548"/>
      <c r="G101" s="1827" t="s">
        <v>1432</v>
      </c>
      <c r="H101" s="2595">
        <f ca="1">H118</f>
        <v>7034</v>
      </c>
      <c r="I101" s="129"/>
    </row>
    <row r="102" spans="1:35" ht="18.75" customHeight="1">
      <c r="A102" s="3579" t="s">
        <v>1433</v>
      </c>
      <c r="B102" s="2584" t="s">
        <v>1432</v>
      </c>
      <c r="C102" s="2585">
        <f ca="1">IF(D32="楼面单价",ROUND(C19,0),C19)</f>
        <v>5160</v>
      </c>
      <c r="D102" s="2586">
        <f ca="1">IF(D32="楼面单价",ROUND(D19,0),D19)</f>
        <v>8284</v>
      </c>
      <c r="E102" s="3547"/>
      <c r="F102" s="3548"/>
      <c r="G102" s="1827" t="s">
        <v>1434</v>
      </c>
      <c r="H102" s="2555">
        <f ca="1">I118</f>
        <v>14341</v>
      </c>
      <c r="I102" s="129"/>
    </row>
    <row r="103" spans="1:35" ht="42.75" customHeight="1">
      <c r="A103" s="3579"/>
      <c r="B103" s="2584" t="s">
        <v>1434</v>
      </c>
      <c r="C103" s="2587">
        <f ca="1">C20</f>
        <v>10520</v>
      </c>
      <c r="D103" s="2588">
        <f ca="1">D20</f>
        <v>16890</v>
      </c>
      <c r="E103" s="3540" t="s">
        <v>1435</v>
      </c>
      <c r="F103" s="3541"/>
      <c r="G103" s="1828" t="s">
        <v>1436</v>
      </c>
      <c r="H103" s="2595">
        <f>IF(D36="正常操作",H104+H105+H106,H105+H106)</f>
        <v>0</v>
      </c>
      <c r="I103" s="129"/>
    </row>
    <row r="104" spans="1:35" ht="18.75" customHeight="1">
      <c r="A104" s="3579" t="s">
        <v>1437</v>
      </c>
      <c r="B104" s="2589" t="s">
        <v>1432</v>
      </c>
      <c r="C104" s="2590">
        <f ca="1">H118</f>
        <v>7034</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14341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0" t="str">
        <f>IF(项目基本情况!E8="已注销","——","3.房地产抵押价值")</f>
        <v>3.房地产抵押价值</v>
      </c>
      <c r="F107" s="3548"/>
      <c r="G107" s="1827" t="s">
        <v>1432</v>
      </c>
      <c r="H107" s="2595">
        <f ca="1">IF(E107="——","——",H101-H103)</f>
        <v>7034</v>
      </c>
      <c r="I107" s="129"/>
    </row>
    <row r="108" spans="1:35" ht="18.75" customHeight="1">
      <c r="A108" s="129"/>
      <c r="B108" s="129"/>
      <c r="C108" s="129"/>
      <c r="D108" s="129"/>
      <c r="E108" s="3580"/>
      <c r="F108" s="3548"/>
      <c r="G108" s="1827" t="s">
        <v>1434</v>
      </c>
      <c r="H108" s="2555">
        <f ca="1">IF(H107=H101,H102,ROUND(H107*10000/'数据-汇总表'!E3,0))</f>
        <v>14341</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8" t="str">
        <f>IF(E109="——","——",H101-H105-H106)</f>
        <v>——</v>
      </c>
      <c r="I109" s="129"/>
    </row>
    <row r="110" spans="1:35" ht="18.75" customHeight="1">
      <c r="A110" s="129"/>
      <c r="B110" s="129"/>
      <c r="C110" s="129"/>
      <c r="D110" s="129"/>
      <c r="E110" s="3580"/>
      <c r="F110" s="3548"/>
      <c r="G110" s="1827" t="s">
        <v>1434</v>
      </c>
      <c r="H110" s="2555"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5" t="str">
        <f>IF(E111="——","——",N59)</f>
        <v>——</v>
      </c>
      <c r="I111" s="129"/>
    </row>
    <row r="112" spans="1:35" ht="18.75" customHeight="1" thickBot="1">
      <c r="A112" s="129"/>
      <c r="B112" s="129"/>
      <c r="C112" s="129"/>
      <c r="D112" s="129"/>
      <c r="E112" s="3582"/>
      <c r="F112" s="3583"/>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4904.8</v>
      </c>
      <c r="C118" s="2329">
        <f>M19</f>
        <v>2054.0100000000002</v>
      </c>
      <c r="D118" s="2329">
        <f ca="1">ROUND(IF(D32="总价",C34,E118*B118/10000),0)</f>
        <v>5001</v>
      </c>
      <c r="E118" s="2329">
        <f ca="1">ROUND(IF(C33="自定义",IF(D32="楼面单价",C34,D118*10000/B118),I118-G118),0)</f>
        <v>10196</v>
      </c>
      <c r="F118" s="2329">
        <f ca="1">ROUND(IF(D32="总价",C35,G118*B118/10000),0)</f>
        <v>2033</v>
      </c>
      <c r="G118" s="2329">
        <f ca="1">ROUND(IF(D32="楼面单价",C35,F118*10000/B118),0)</f>
        <v>4145</v>
      </c>
      <c r="H118" s="2329">
        <f ca="1">ROUND(IF(D32="总价",C32,I118*B118/10000),0)</f>
        <v>7034</v>
      </c>
      <c r="I118" s="2329">
        <f ca="1">ROUND(IF(D32="楼面单价",C32,H118*10000/B118),0)</f>
        <v>14341</v>
      </c>
    </row>
    <row r="119" spans="1:27" ht="18.75" customHeight="1">
      <c r="A119" s="3555" t="s">
        <v>1452</v>
      </c>
      <c r="B119" s="3555"/>
      <c r="C119" s="3555"/>
      <c r="D119" s="3561" t="str">
        <f ca="1">NUMBERSTRING(INT(D118*10000),2)&amp;"元整"</f>
        <v>伍仟零壹万元整</v>
      </c>
      <c r="E119" s="3562"/>
      <c r="F119" s="3561" t="str">
        <f ca="1">NUMBERSTRING(INT(F118*10000),2)&amp;"元整"</f>
        <v>贰仟零叁拾叁万元整</v>
      </c>
      <c r="G119" s="3562"/>
      <c r="H119" s="3561" t="str">
        <f ca="1">NUMBERSTRING(INT(H118*10000),2)&amp;"元整"</f>
        <v>柒仟零叁拾肆万元整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7034</v>
      </c>
      <c r="E122" s="3557"/>
      <c r="F122" s="3557"/>
      <c r="G122" s="3557"/>
      <c r="H122" s="3557"/>
      <c r="I122" s="3558"/>
      <c r="AA122" s="725"/>
    </row>
    <row r="123" spans="1:27" ht="18.75" customHeight="1">
      <c r="A123" s="3555" t="s">
        <v>1452</v>
      </c>
      <c r="B123" s="3555"/>
      <c r="C123" s="3555"/>
      <c r="D123" s="3561" t="str">
        <f ca="1">NUMBERSTRING(INT(D122*10000),2)&amp;"元整"</f>
        <v>柒仟零叁拾肆万元整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3" sqref="B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5160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10520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2934</v>
      </c>
      <c r="D5" s="211" t="s">
        <v>1469</v>
      </c>
      <c r="E5" s="212" t="s">
        <v>1470</v>
      </c>
      <c r="F5" s="212" t="s">
        <v>1471</v>
      </c>
      <c r="G5" s="213"/>
    </row>
    <row r="6" spans="1:9" s="214" customFormat="1" ht="13.5" customHeight="1">
      <c r="A6" s="778" t="s">
        <v>1472</v>
      </c>
      <c r="B6" s="215" t="s">
        <v>1473</v>
      </c>
      <c r="C6" s="216">
        <f>基准地价修正!E33</f>
        <v>2752</v>
      </c>
      <c r="D6" s="217"/>
      <c r="E6" s="218"/>
      <c r="F6" s="218"/>
      <c r="G6" s="219"/>
    </row>
    <row r="7" spans="1:9" s="214" customFormat="1" ht="13.5" customHeight="1">
      <c r="A7" s="778" t="s">
        <v>1474</v>
      </c>
      <c r="B7" s="215" t="s">
        <v>1475</v>
      </c>
      <c r="C7" s="220">
        <f>ROUND(C6*F7,0)</f>
        <v>84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98</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98</v>
      </c>
      <c r="D10" s="845">
        <f ca="1">IF(B1="",'数据-汇总表'!E6,IF(INDIRECT("'数据-取费表'!c"&amp;$G$1)="住宅",INDIRECT("'数据-取费表'!s"&amp;$G$1),INDIRECT("'数据-取费表'!k"&amp;$G$1)+INDIRECT("'数据-取费表'!s"&amp;$G$1)))</f>
        <v>4904.8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4904.8</v>
      </c>
      <c r="E19" s="211">
        <f>'数据-取费表'!B31</f>
        <v>200</v>
      </c>
      <c r="F19" s="231"/>
      <c r="G19" s="1856" t="s">
        <v>3406</v>
      </c>
    </row>
    <row r="20" spans="1:7" s="214" customFormat="1" ht="13.5" customHeight="1">
      <c r="A20" s="255" t="s">
        <v>1493</v>
      </c>
      <c r="B20" s="210" t="s">
        <v>1494</v>
      </c>
      <c r="C20" s="232">
        <f ca="1">ROUND((C5+C19)*F20,0)</f>
        <v>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101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299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3668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1893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1717</v>
      </c>
      <c r="D34" s="217"/>
      <c r="E34" s="220"/>
      <c r="F34" s="257">
        <f ca="1">IF('数据-取费表'!B24=0,1,IF(B1="",'数据-取费表'!N16,INDIRECT("'数据-取费表'!n"&amp;$G$1)))</f>
        <v>1</v>
      </c>
      <c r="G34" s="219" t="s">
        <v>1526</v>
      </c>
    </row>
    <row r="35" spans="1:7" ht="13.5" customHeight="1">
      <c r="A35" s="780" t="s">
        <v>351</v>
      </c>
      <c r="B35" s="215" t="s">
        <v>1527</v>
      </c>
      <c r="C35" s="220">
        <f ca="1">ROUND(C34*F35,0)</f>
        <v>52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98</v>
      </c>
      <c r="D37" s="217">
        <f ca="1">D19</f>
        <v>4904.8</v>
      </c>
      <c r="E37" s="249">
        <f>'数据-取费表'!B35</f>
        <v>200</v>
      </c>
      <c r="F37" s="259"/>
      <c r="G37" s="261" t="s">
        <v>1532</v>
      </c>
    </row>
    <row r="38" spans="1:7" ht="13.5" customHeight="1">
      <c r="A38" s="780" t="s">
        <v>354</v>
      </c>
      <c r="B38" s="215" t="s">
        <v>1533</v>
      </c>
      <c r="C38" s="220">
        <f ca="1">ROUND(C34*F38,0)</f>
        <v>26</v>
      </c>
      <c r="D38" s="220"/>
      <c r="E38" s="220"/>
      <c r="F38" s="259">
        <f>'数据-取费表'!B36</f>
        <v>1.4999999999999999E-2</v>
      </c>
      <c r="G38" s="219" t="s">
        <v>1528</v>
      </c>
    </row>
    <row r="39" spans="1:7" s="214" customFormat="1" ht="13.5" customHeight="1">
      <c r="A39" s="255" t="s">
        <v>1534</v>
      </c>
      <c r="B39" s="210" t="s">
        <v>1535</v>
      </c>
      <c r="C39" s="232">
        <f ca="1">ROUND(C33*F20,0)</f>
        <v>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33</v>
      </c>
      <c r="D42" s="238"/>
      <c r="E42" s="238"/>
      <c r="F42" s="239"/>
      <c r="G42" s="3634" t="s">
        <v>1544</v>
      </c>
    </row>
    <row r="43" spans="1:7" ht="13.5" customHeight="1">
      <c r="A43" s="780" t="s">
        <v>347</v>
      </c>
      <c r="B43" s="215" t="s">
        <v>1545</v>
      </c>
      <c r="C43" s="238">
        <f ca="1">ROUND(IF('数据-取费表'!B22&lt;=1,C39*F22*'数据-取费表'!B21/2,C39*(POWER((1+F22),'数据-取费表'!B21/2)-1)),0)</f>
        <v>1</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193</v>
      </c>
      <c r="D45" s="235">
        <f ca="1">C47</f>
        <v>2E-3</v>
      </c>
      <c r="E45" s="236" t="s">
        <v>1539</v>
      </c>
      <c r="F45" s="246">
        <f ca="1">F27</f>
        <v>0.1</v>
      </c>
      <c r="G45" s="247" t="s">
        <v>1548</v>
      </c>
    </row>
    <row r="46" spans="1:7" s="214" customFormat="1" ht="13.5" customHeight="1">
      <c r="A46" s="780" t="s">
        <v>346</v>
      </c>
      <c r="B46" s="248" t="s">
        <v>1549</v>
      </c>
      <c r="C46" s="249">
        <f ca="1">ROUND((C33+C39)*F27,0)</f>
        <v>193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2332</v>
      </c>
      <c r="D49" s="232"/>
      <c r="E49" s="232"/>
      <c r="F49" s="264"/>
      <c r="G49" s="234" t="s">
        <v>1554</v>
      </c>
    </row>
    <row r="50" spans="1:7" s="258" customFormat="1" ht="24">
      <c r="A50" s="255" t="s">
        <v>1555</v>
      </c>
      <c r="B50" s="210" t="s">
        <v>1556</v>
      </c>
      <c r="C50" s="232"/>
      <c r="D50" s="232"/>
      <c r="E50" s="232"/>
      <c r="F50" s="264">
        <f>IF('数据-取费表'!B24=0,'数据-取费表'!N16,1)</f>
        <v>0.64</v>
      </c>
      <c r="G50" s="247" t="s">
        <v>1557</v>
      </c>
    </row>
    <row r="51" spans="1:7" ht="16.5" customHeight="1">
      <c r="A51" s="255" t="s">
        <v>1558</v>
      </c>
      <c r="B51" s="210" t="s">
        <v>1559</v>
      </c>
      <c r="C51" s="232">
        <f ca="1">ROUND(C49*F50,0)</f>
        <v>1492</v>
      </c>
      <c r="D51" s="232"/>
      <c r="E51" s="232"/>
      <c r="F51" s="264"/>
      <c r="G51" s="234" t="s">
        <v>1560</v>
      </c>
    </row>
    <row r="52" spans="1:7" s="208" customFormat="1" ht="16.5" thickBot="1">
      <c r="A52" s="265" t="s">
        <v>1561</v>
      </c>
      <c r="B52" s="266"/>
      <c r="C52" s="267">
        <f ca="1">C31+C51</f>
        <v>5160</v>
      </c>
      <c r="D52" s="266"/>
      <c r="E52" s="266"/>
      <c r="F52" s="266"/>
      <c r="G52" s="268"/>
    </row>
    <row r="55" spans="1:7" ht="15">
      <c r="B55" s="270" t="s">
        <v>1562</v>
      </c>
      <c r="C55" s="271"/>
    </row>
    <row r="56" spans="1:7">
      <c r="B56" s="273" t="s">
        <v>802</v>
      </c>
      <c r="C56" s="275">
        <f ca="1">1-C57</f>
        <v>0.71100000000000008</v>
      </c>
    </row>
    <row r="57" spans="1:7">
      <c r="B57" s="273" t="s">
        <v>803</v>
      </c>
      <c r="C57" s="274">
        <f ca="1">ROUND(C51/C52,3)</f>
        <v>0.28899999999999998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1736.6214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980960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980960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980960</v>
      </c>
      <c r="D10" s="845">
        <f ca="1">IF(B1="",'数据-汇总表'!E6,IF(INDIRECT("'数据-取费表'!c"&amp;$G$1)="住宅",INDIRECT("'数据-取费表'!s"&amp;$G$1),INDIRECT("'数据-取费表'!k"&amp;$G$1)+INDIRECT("'数据-取费表'!s"&amp;$G$1)))</f>
        <v>4904.8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980960</v>
      </c>
      <c r="D19" s="849">
        <f ca="1">D9+D10</f>
        <v>4904.8</v>
      </c>
      <c r="E19" s="211">
        <f>'数据-取费表'!B31</f>
        <v>200</v>
      </c>
      <c r="F19" s="231"/>
      <c r="G19" s="1856"/>
    </row>
    <row r="20" spans="1:7" s="214" customFormat="1" ht="13.5" customHeight="1">
      <c r="A20" s="255" t="s">
        <v>1574</v>
      </c>
      <c r="B20" s="210" t="s">
        <v>1575</v>
      </c>
      <c r="C20" s="232">
        <f ca="1">ROUND((C5+C19)*F20,0)</f>
        <v>39238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68363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33843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33843</v>
      </c>
      <c r="D24" s="238"/>
      <c r="E24" s="238"/>
      <c r="F24" s="239"/>
      <c r="G24" s="240" t="s">
        <v>1586</v>
      </c>
    </row>
    <row r="25" spans="1:7" s="214" customFormat="1" ht="24">
      <c r="A25" s="780" t="s">
        <v>1476</v>
      </c>
      <c r="B25" s="215" t="s">
        <v>1587</v>
      </c>
      <c r="C25" s="1128">
        <f ca="1">ROUND(IF('数据-取费表'!B22&lt;=1,C20*F22*'数据-取费表'!B22/2,C20*(POWER((1+F22),'数据-取费表'!B22/2)-1)),0)</f>
        <v>677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200116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200116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2452866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18920266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17166800</v>
      </c>
      <c r="D34" s="217"/>
      <c r="E34" s="220"/>
      <c r="F34" s="257"/>
      <c r="G34" s="219"/>
    </row>
    <row r="35" spans="1:7" ht="13.5" customHeight="1">
      <c r="A35" s="780" t="s">
        <v>351</v>
      </c>
      <c r="B35" s="215" t="s">
        <v>1527</v>
      </c>
      <c r="C35" s="220">
        <f ca="1">ROUND(C34*F35,0)</f>
        <v>515004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980960</v>
      </c>
      <c r="D37" s="217">
        <f ca="1">D19</f>
        <v>4904.8</v>
      </c>
      <c r="E37" s="249">
        <f>'数据-取费表'!B35</f>
        <v>200</v>
      </c>
      <c r="F37" s="259"/>
      <c r="G37" s="261"/>
    </row>
    <row r="38" spans="1:7" ht="13.5" customHeight="1">
      <c r="A38" s="780" t="s">
        <v>354</v>
      </c>
      <c r="B38" s="215" t="s">
        <v>1533</v>
      </c>
      <c r="C38" s="220">
        <f ca="1">ROUND(C34*F38,0)</f>
        <v>257502</v>
      </c>
      <c r="D38" s="220"/>
      <c r="E38" s="220"/>
      <c r="F38" s="259">
        <f>'数据-取费表'!B36</f>
        <v>1.4999999999999999E-2</v>
      </c>
      <c r="G38" s="219" t="s">
        <v>1528</v>
      </c>
    </row>
    <row r="39" spans="1:7" s="214" customFormat="1" ht="13.5" customHeight="1">
      <c r="A39" s="255" t="s">
        <v>1534</v>
      </c>
      <c r="B39" s="210" t="s">
        <v>1535</v>
      </c>
      <c r="C39" s="232">
        <f ca="1">ROUND(C33*F20,0)</f>
        <v>378405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332902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326375</v>
      </c>
      <c r="D42" s="238"/>
      <c r="E42" s="238"/>
      <c r="F42" s="239"/>
      <c r="G42" s="3634" t="s">
        <v>1591</v>
      </c>
    </row>
    <row r="43" spans="1:7" ht="13.5" customHeight="1">
      <c r="A43" s="780" t="s">
        <v>347</v>
      </c>
      <c r="B43" s="215" t="s">
        <v>1545</v>
      </c>
      <c r="C43" s="238">
        <f ca="1">ROUND(IF('数据-取费表'!B22&lt;=1,C39*F22*'数据-取费表'!B20/2,C39*(POWER((1+F22),'数据-取费表'!B20/2)-1)),0)</f>
        <v>6527</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1929867</v>
      </c>
      <c r="D45" s="235">
        <f ca="1">C47</f>
        <v>2E-3</v>
      </c>
      <c r="E45" s="236" t="s">
        <v>1539</v>
      </c>
      <c r="F45" s="246">
        <f ca="1">F27</f>
        <v>0.1</v>
      </c>
      <c r="G45" s="247" t="s">
        <v>1548</v>
      </c>
    </row>
    <row r="46" spans="1:7" s="214" customFormat="1" ht="13.5" customHeight="1">
      <c r="A46" s="780" t="s">
        <v>346</v>
      </c>
      <c r="B46" s="248" t="s">
        <v>1549</v>
      </c>
      <c r="C46" s="249">
        <f ca="1">ROUND((C33+C39)*F27,0)</f>
        <v>1929867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23302107</v>
      </c>
      <c r="D49" s="232"/>
      <c r="E49" s="232"/>
      <c r="F49" s="264"/>
      <c r="G49" s="234" t="s">
        <v>1554</v>
      </c>
    </row>
    <row r="50" spans="1:7" s="258" customFormat="1">
      <c r="A50" s="255" t="s">
        <v>1555</v>
      </c>
      <c r="B50" s="210" t="s">
        <v>1556</v>
      </c>
      <c r="C50" s="232"/>
      <c r="D50" s="232"/>
      <c r="E50" s="232"/>
      <c r="F50" s="264">
        <f>IF('数据-取费表'!B24=0,'数据-取费表'!N16,1)</f>
        <v>0.64</v>
      </c>
      <c r="G50" s="247"/>
    </row>
    <row r="51" spans="1:7" ht="16.5" customHeight="1">
      <c r="A51" s="255" t="s">
        <v>1558</v>
      </c>
      <c r="B51" s="210" t="s">
        <v>1593</v>
      </c>
      <c r="C51" s="232">
        <f ca="1">ROUND(C49*F50,0)</f>
        <v>14913348</v>
      </c>
      <c r="D51" s="232"/>
      <c r="E51" s="232"/>
      <c r="F51" s="264"/>
      <c r="G51" s="234" t="s">
        <v>1560</v>
      </c>
    </row>
    <row r="52" spans="1:7" s="208" customFormat="1" ht="16.5" thickBot="1">
      <c r="A52" s="265" t="s">
        <v>1561</v>
      </c>
      <c r="B52" s="266"/>
      <c r="C52" s="267">
        <f ca="1">C31+C51</f>
        <v>17366214</v>
      </c>
      <c r="D52" s="266"/>
      <c r="E52" s="266"/>
      <c r="F52" s="266"/>
      <c r="G52" s="268"/>
    </row>
    <row r="55" spans="1:7" ht="15">
      <c r="B55" s="270" t="s">
        <v>1562</v>
      </c>
      <c r="C55" s="271"/>
    </row>
    <row r="56" spans="1:7">
      <c r="B56" s="273" t="s">
        <v>802</v>
      </c>
      <c r="C56" s="275">
        <f ca="1">1-C57</f>
        <v>0.14100000000000001</v>
      </c>
    </row>
    <row r="57" spans="1:7">
      <c r="B57" s="273" t="s">
        <v>803</v>
      </c>
      <c r="C57" s="274">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98</v>
      </c>
      <c r="D20" s="846">
        <f ca="1">IF(C1="",'数据-汇总表'!E6,IF(INDIRECT("'数据-取费表'!c"&amp;$K$1)="住宅",INDIRECT("'数据-取费表'!s"&amp;$K$1),INDIRECT("'数据-取费表'!k"&amp;$K$1)+INDIRECT("'数据-取费表'!s"&amp;$K$1)))</f>
        <v>4904.8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35" sqref="D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14.96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8284</v>
      </c>
      <c r="C2" s="1387" t="s">
        <v>805</v>
      </c>
      <c r="D2" s="1387"/>
      <c r="E2" s="1388"/>
      <c r="F2" s="1389"/>
      <c r="G2" s="2706"/>
      <c r="H2" s="2695"/>
      <c r="I2" s="2695"/>
      <c r="J2" s="2695"/>
      <c r="K2" s="2696"/>
      <c r="L2" s="2695"/>
      <c r="M2" s="2695"/>
    </row>
    <row r="3" spans="1:37" ht="18" customHeight="1" thickBot="1">
      <c r="A3" s="1390" t="s">
        <v>806</v>
      </c>
      <c r="B3" s="1391">
        <f ca="1">IF(ISERROR(B2*10000/F43),0,ROUND(B2*10000/F43,0))</f>
        <v>16890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807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806</v>
      </c>
      <c r="D6" s="155" t="s">
        <v>2109</v>
      </c>
      <c r="E6" s="302" t="s">
        <v>696</v>
      </c>
      <c r="F6" s="303">
        <f ca="1">INDIRECT("'数据-取费表'!u"&amp;$G$1)</f>
        <v>5</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4904.8</v>
      </c>
      <c r="G7" s="1384"/>
      <c r="H7" s="304"/>
      <c r="I7" s="3640"/>
      <c r="J7" s="306"/>
      <c r="K7" s="307"/>
      <c r="L7" s="302" t="s">
        <v>697</v>
      </c>
      <c r="M7" s="303">
        <f ca="1">F7</f>
        <v>4904.8</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1492</v>
      </c>
      <c r="D13" s="1081" t="s">
        <v>705</v>
      </c>
      <c r="E13" s="1081" t="s">
        <v>706</v>
      </c>
      <c r="F13" s="1082">
        <f ca="1">INDIRECT("'数据-取费表'!y"&amp;$G$1)</f>
        <v>0.64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1717</v>
      </c>
      <c r="D14" s="1345" t="s">
        <v>708</v>
      </c>
      <c r="E14" s="1342"/>
      <c r="F14" s="319"/>
      <c r="G14" s="1384"/>
      <c r="H14" s="982" t="s">
        <v>398</v>
      </c>
      <c r="I14" s="302" t="s">
        <v>709</v>
      </c>
      <c r="J14" s="21">
        <f ca="1">C29</f>
        <v>2332</v>
      </c>
      <c r="K14" s="12"/>
      <c r="L14" s="807"/>
      <c r="M14" s="808"/>
    </row>
    <row r="15" spans="1:37" s="1397" customFormat="1" ht="18" customHeight="1" thickBot="1">
      <c r="A15" s="982" t="s">
        <v>399</v>
      </c>
      <c r="B15" s="302" t="s">
        <v>710</v>
      </c>
      <c r="C15" s="21">
        <f ca="1">ROUND(C14*F15,0)</f>
        <v>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1088"/>
      <c r="M16" s="1072"/>
    </row>
    <row r="17" spans="1:37" s="1397" customFormat="1" ht="18" customHeight="1">
      <c r="A17" s="982" t="s">
        <v>681</v>
      </c>
      <c r="B17" s="302" t="s">
        <v>716</v>
      </c>
      <c r="C17" s="21">
        <f ca="1">ROUND(F17*(F43+INDIRECT("'数据-取费表'!S"&amp;$G$1))/10000,0)</f>
        <v>98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1893</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38</v>
      </c>
      <c r="D20" s="323" t="s">
        <v>729</v>
      </c>
      <c r="E20" s="302" t="s">
        <v>712</v>
      </c>
      <c r="F20" s="322">
        <f>'数据-取费表'!B37</f>
        <v>0.02</v>
      </c>
      <c r="G20" s="1396"/>
      <c r="H20" s="982" t="s">
        <v>680</v>
      </c>
      <c r="I20" s="155" t="s">
        <v>730</v>
      </c>
      <c r="J20" s="22">
        <f ca="1">ROUND(M20*M21/10000,2)</f>
        <v>0.31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2054.0100000000002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23.32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-23</v>
      </c>
      <c r="K25" s="1095" t="s">
        <v>753</v>
      </c>
      <c r="L25" s="1096"/>
      <c r="M25" s="1097"/>
    </row>
    <row r="26" spans="1:37">
      <c r="A26" s="982" t="s">
        <v>397</v>
      </c>
      <c r="B26" s="302" t="s">
        <v>754</v>
      </c>
      <c r="C26" s="21">
        <f ca="1">ROUND((C19+C20)*F26,0)</f>
        <v>193</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2332</v>
      </c>
      <c r="D29" s="1092"/>
      <c r="E29" s="1090"/>
      <c r="F29" s="1093"/>
      <c r="G29" s="1396"/>
      <c r="H29" s="334" t="s">
        <v>396</v>
      </c>
      <c r="I29" s="335" t="s">
        <v>768</v>
      </c>
      <c r="J29" s="336">
        <f ca="1">ROUND(J26/(1+F40)^F41,0)</f>
        <v>0</v>
      </c>
      <c r="K29" s="337" t="s">
        <v>769</v>
      </c>
      <c r="L29" s="338"/>
      <c r="M29" s="339">
        <f ca="1">INDIRECT("'数据-取费表'!k"&amp;$G$1)</f>
        <v>4904.8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92.11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2054.0100000000002</v>
      </c>
      <c r="G35" s="1384"/>
      <c r="H35" s="2697"/>
      <c r="I35" s="1398"/>
      <c r="J35" s="1399"/>
      <c r="K35" s="2701"/>
      <c r="L35" s="2700"/>
      <c r="M35" s="2700"/>
    </row>
    <row r="36" spans="1:18" ht="18" customHeight="1">
      <c r="A36" s="1102" t="s">
        <v>402</v>
      </c>
      <c r="B36" s="302" t="s">
        <v>738</v>
      </c>
      <c r="C36" s="21">
        <f ca="1">ROUND(C29*F36,2)</f>
        <v>23.32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1.49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8.07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682</v>
      </c>
      <c r="D39" s="1095" t="s">
        <v>773</v>
      </c>
      <c r="E39" s="1096"/>
      <c r="F39" s="1097"/>
      <c r="G39" s="1384"/>
      <c r="H39" s="2700">
        <f ca="1">C39/C5</f>
        <v>0.84510532837670382</v>
      </c>
      <c r="I39" s="1398"/>
      <c r="J39" s="1399"/>
      <c r="K39" s="2704"/>
      <c r="L39" s="2700"/>
      <c r="M39" s="2700"/>
    </row>
    <row r="40" spans="1:18" ht="18" customHeight="1">
      <c r="A40" s="299" t="s">
        <v>395</v>
      </c>
      <c r="B40" s="300" t="s">
        <v>774</v>
      </c>
      <c r="C40" s="301">
        <f ca="1">ROUND(C39*(1-((1+F42)/(1+F40))^F41)/(F40-F42),0)</f>
        <v>7968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14.96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16245</v>
      </c>
      <c r="D43" s="337" t="s">
        <v>777</v>
      </c>
      <c r="E43" s="338" t="s">
        <v>778</v>
      </c>
      <c r="F43" s="339">
        <f ca="1">INDIRECT("'数据-取费表'!k"&amp;$G$1)</f>
        <v>4904.8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-8219</v>
      </c>
      <c r="D46" s="1406" t="str">
        <f>C2</f>
        <v>万元</v>
      </c>
      <c r="E46" s="1400"/>
      <c r="F46" s="1400"/>
      <c r="I46" s="1407" t="s">
        <v>810</v>
      </c>
      <c r="J46" s="1408"/>
      <c r="K46" s="1409"/>
      <c r="L46" s="1410">
        <f ca="1">IF(M47="住宅",0,IF(L48&gt;J51,L60,J60))</f>
        <v>316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7968</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14.96</v>
      </c>
      <c r="O48" s="1418" t="s">
        <v>404</v>
      </c>
      <c r="P48" s="1419" t="s">
        <v>821</v>
      </c>
      <c r="Q48" s="1420">
        <f ca="1">J60</f>
        <v>316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1999</v>
      </c>
      <c r="K49" s="1423" t="s">
        <v>824</v>
      </c>
      <c r="L49" s="1427"/>
      <c r="O49" s="1428" t="s">
        <v>405</v>
      </c>
      <c r="P49" s="1419" t="s">
        <v>825</v>
      </c>
      <c r="Q49" s="1420">
        <f ca="1">C29</f>
        <v>2332</v>
      </c>
      <c r="R49" s="1420" t="s">
        <v>818</v>
      </c>
    </row>
    <row r="50" spans="1:18" s="1384" customFormat="1" ht="13.5" thickBot="1">
      <c r="A50" s="976"/>
      <c r="B50" s="979"/>
      <c r="C50" s="1118"/>
      <c r="D50" s="953"/>
      <c r="E50" s="1056" t="s">
        <v>697</v>
      </c>
      <c r="F50" s="1057">
        <f ca="1">F7</f>
        <v>4904.8</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25</v>
      </c>
      <c r="K51" s="1434" t="s">
        <v>830</v>
      </c>
      <c r="L51" s="1435">
        <f ca="1">ROUND(-PV(INDIRECT("'数据-取费表'!h"&amp;$G$1),J51,(C39-C13*C76),0),0)</f>
        <v>8140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14.96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14.96</v>
      </c>
      <c r="K53" s="3637" t="s">
        <v>837</v>
      </c>
      <c r="L53" s="3638"/>
      <c r="O53" s="1418" t="s">
        <v>409</v>
      </c>
      <c r="P53" s="1419" t="s">
        <v>838</v>
      </c>
      <c r="Q53" s="1420">
        <f ca="1">Q47+Q48</f>
        <v>8284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0.217</v>
      </c>
      <c r="K55" s="1445" t="s">
        <v>841</v>
      </c>
      <c r="L55" s="1446" t="s">
        <v>3411</v>
      </c>
      <c r="O55" s="1411" t="s">
        <v>811</v>
      </c>
      <c r="P55" s="1412" t="s">
        <v>812</v>
      </c>
      <c r="Q55" s="1413" t="s">
        <v>813</v>
      </c>
      <c r="R55" s="1413" t="s">
        <v>814</v>
      </c>
    </row>
    <row r="56" spans="1:18" s="1384" customFormat="1" ht="25.5" thickTop="1" thickBot="1">
      <c r="A56" s="957">
        <v>2</v>
      </c>
      <c r="B56" s="958" t="s">
        <v>704</v>
      </c>
      <c r="C56" s="232">
        <f ca="1">C13</f>
        <v>1492</v>
      </c>
      <c r="D56" s="1447"/>
      <c r="E56" s="1448"/>
      <c r="F56" s="1440"/>
      <c r="I56" s="1449" t="s">
        <v>842</v>
      </c>
      <c r="J56" s="1450" t="s">
        <v>3410</v>
      </c>
      <c r="K56" s="1421" t="s">
        <v>843</v>
      </c>
      <c r="L56" s="1424" t="str">
        <f ca="1">IF(L48&lt;J51,"——",L48-J53)</f>
        <v>——</v>
      </c>
      <c r="O56" s="1418" t="s">
        <v>403</v>
      </c>
      <c r="P56" s="1419" t="s">
        <v>817</v>
      </c>
      <c r="Q56" s="1420">
        <f ca="1">C40+J29</f>
        <v>7968</v>
      </c>
      <c r="R56" s="1420" t="s">
        <v>818</v>
      </c>
    </row>
    <row r="57" spans="1:18" s="1384" customFormat="1" ht="24.75" thickBot="1">
      <c r="A57" s="1451"/>
      <c r="B57" s="950" t="s">
        <v>767</v>
      </c>
      <c r="C57" s="238">
        <f ca="1">C29</f>
        <v>2332</v>
      </c>
      <c r="D57" s="1452"/>
      <c r="E57" s="1453"/>
      <c r="F57" s="1454"/>
      <c r="I57" s="1455" t="s">
        <v>844</v>
      </c>
      <c r="J57" s="1456">
        <f ca="1">IF(OR(M47="住宅",J51&lt;L48,J56="是"),"——",J51-L48)</f>
        <v>10.039999999999999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f ca="1">ROUND(POWER(1+L52,L47-L48)*(POWER(1+L52,L48)-1)/(POWER(1+L52,L47)-1),4)</f>
        <v>0.62450000000000006</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0.83599999999999997</v>
      </c>
      <c r="M59" s="1380">
        <f ca="1">ROUND(POWER(1+L52,L47-(J51+'数据-取费表'!B24))*(POWER(1+L52,(J51+'数据-取费表'!B24))-1)/(POWER(1+L52,L47)-1),4)</f>
        <v>0.83599999999999997</v>
      </c>
      <c r="N59" s="1380">
        <f ca="1">ROUND(POWER(1+L52,L47-(J51+'数据-取费表'!B20))*(POWER(1+L52,(J51+'数据-取费表'!B20))-1)/(POWER(1+L52,L47)-1),4)</f>
        <v>0.85150000000000003</v>
      </c>
      <c r="O59" s="1428" t="s">
        <v>406</v>
      </c>
      <c r="P59" s="1419" t="s">
        <v>852</v>
      </c>
      <c r="Q59" s="1431">
        <f>L52</f>
        <v>5.5E-2</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316</v>
      </c>
      <c r="K60" s="1460" t="s">
        <v>854</v>
      </c>
      <c r="L60" s="1459">
        <f ca="1">IF(OR(M47="住宅",L48&lt;J51),0,ROUND(L57*(L58/L59-1),0))</f>
        <v>0</v>
      </c>
      <c r="O60" s="1428" t="s">
        <v>407</v>
      </c>
      <c r="P60" s="1419" t="s">
        <v>855</v>
      </c>
      <c r="Q60" s="1420">
        <f ca="1">L58</f>
        <v>0.62450000000000006</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f ca="1">L59</f>
        <v>0.83599999999999997</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7968</v>
      </c>
      <c r="R62" s="1420" t="s">
        <v>410</v>
      </c>
    </row>
    <row r="63" spans="1:18" s="1384" customFormat="1" ht="13.5" thickBot="1">
      <c r="A63" s="326"/>
      <c r="B63" s="956"/>
      <c r="C63" s="26"/>
      <c r="D63" s="966"/>
      <c r="E63" s="950" t="s">
        <v>788</v>
      </c>
      <c r="F63" s="303">
        <f t="shared" ca="1" si="0"/>
        <v>2054.0100000000002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23.32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1.49</v>
      </c>
      <c r="D65" s="964" t="s">
        <v>743</v>
      </c>
      <c r="E65" s="950" t="s">
        <v>744</v>
      </c>
      <c r="F65" s="330">
        <f t="shared" ca="1" si="0"/>
        <v>1E-3</v>
      </c>
      <c r="I65" s="1462" t="s">
        <v>867</v>
      </c>
      <c r="J65" s="1463">
        <v>40</v>
      </c>
      <c r="K65" s="1463">
        <v>30</v>
      </c>
      <c r="L65" s="1463">
        <v>50</v>
      </c>
      <c r="M65" s="1465">
        <v>0.02</v>
      </c>
      <c r="O65" s="1418" t="s">
        <v>403</v>
      </c>
      <c r="P65" s="1419" t="s">
        <v>868</v>
      </c>
      <c r="Q65" s="1420">
        <f ca="1">C40+J29</f>
        <v>7968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8140</v>
      </c>
      <c r="R67" s="1420" t="s">
        <v>870</v>
      </c>
    </row>
    <row r="68" spans="1:18" s="1384" customFormat="1" ht="16.5" thickBot="1">
      <c r="A68" s="947" t="s">
        <v>395</v>
      </c>
      <c r="B68" s="948" t="s">
        <v>774</v>
      </c>
      <c r="C68" s="301">
        <f ca="1">ROUND(C67*(1-((1+F70)/(1+F68))^F69)/(F68-F70),0)</f>
        <v>-251</v>
      </c>
      <c r="D68" s="965" t="s">
        <v>758</v>
      </c>
      <c r="E68" s="950" t="s">
        <v>759</v>
      </c>
      <c r="F68" s="312">
        <f ca="1">F40</f>
        <v>5.5E-2</v>
      </c>
      <c r="O68" s="1428" t="s">
        <v>406</v>
      </c>
      <c r="P68" s="1467" t="s">
        <v>871</v>
      </c>
      <c r="Q68" s="1420">
        <f ca="1">ROUND(Q69-Q70*Q71,0)</f>
        <v>578</v>
      </c>
      <c r="R68" s="1420" t="s">
        <v>414</v>
      </c>
    </row>
    <row r="69" spans="1:18" s="1384" customFormat="1" ht="13.5" thickBot="1">
      <c r="A69" s="951"/>
      <c r="B69" s="952"/>
      <c r="C69" s="306"/>
      <c r="D69" s="970" t="s">
        <v>762</v>
      </c>
      <c r="E69" s="950" t="s">
        <v>763</v>
      </c>
      <c r="F69" s="333">
        <f ca="1">F41</f>
        <v>14.96</v>
      </c>
      <c r="O69" s="1428" t="s">
        <v>411</v>
      </c>
      <c r="P69" s="1467" t="s">
        <v>872</v>
      </c>
      <c r="Q69" s="1420">
        <f ca="1">C39</f>
        <v>682</v>
      </c>
      <c r="R69" s="1420" t="s">
        <v>818</v>
      </c>
    </row>
    <row r="70" spans="1:18" s="1384" customFormat="1" ht="13.5" thickBot="1">
      <c r="A70" s="954"/>
      <c r="B70" s="955"/>
      <c r="C70" s="310"/>
      <c r="D70" s="966"/>
      <c r="E70" s="950" t="s">
        <v>766</v>
      </c>
      <c r="F70" s="1054"/>
      <c r="O70" s="1428" t="s">
        <v>412</v>
      </c>
      <c r="P70" s="1467" t="s">
        <v>873</v>
      </c>
      <c r="Q70" s="1420">
        <f ca="1">C13</f>
        <v>1492</v>
      </c>
      <c r="R70" s="1420" t="s">
        <v>818</v>
      </c>
    </row>
    <row r="71" spans="1:18" s="1384" customFormat="1" ht="13.5" thickBot="1">
      <c r="A71" s="971" t="s">
        <v>396</v>
      </c>
      <c r="B71" s="972" t="s">
        <v>776</v>
      </c>
      <c r="C71" s="336">
        <f ca="1">ROUND(C68*10000/F71,0)</f>
        <v>-512</v>
      </c>
      <c r="D71" s="973" t="s">
        <v>777</v>
      </c>
      <c r="E71" s="974" t="s">
        <v>778</v>
      </c>
      <c r="F71" s="339">
        <f ca="1">F43</f>
        <v>4904.8</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0.62450000000000006</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0.83599999999999997</v>
      </c>
      <c r="R74" s="1420" t="s">
        <v>857</v>
      </c>
    </row>
    <row r="75" spans="1:18" ht="13.5" thickBot="1">
      <c r="A75" s="1384"/>
      <c r="B75" s="340" t="s">
        <v>795</v>
      </c>
      <c r="C75" s="341">
        <f ca="1">ROUND(C13*C76,0)</f>
        <v>104</v>
      </c>
      <c r="D75" s="1384"/>
      <c r="E75" s="1384"/>
      <c r="F75" s="1384"/>
      <c r="K75" s="1402"/>
      <c r="L75" s="1384"/>
      <c r="O75" s="1418" t="s">
        <v>409</v>
      </c>
      <c r="P75" s="1419" t="s">
        <v>838</v>
      </c>
      <c r="Q75" s="1420">
        <f ca="1">Q65+Q66</f>
        <v>7968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0.84799999999999998</v>
      </c>
    </row>
    <row r="80" spans="1:18">
      <c r="B80" s="340" t="s">
        <v>800</v>
      </c>
      <c r="C80" s="274">
        <f ca="1">ROUND(C75/C39,3)</f>
        <v>0.152</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2" t="s">
        <v>2321</v>
      </c>
      <c r="K2" s="364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4" t="s">
        <v>2331</v>
      </c>
      <c r="K3" s="364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4" t="s">
        <v>2333</v>
      </c>
      <c r="K4" s="364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6" t="s">
        <v>2337</v>
      </c>
      <c r="B6" s="3647"/>
      <c r="C6" s="3648"/>
      <c r="D6" s="2870"/>
      <c r="E6" s="2871"/>
      <c r="F6" s="2872"/>
      <c r="G6" s="2873"/>
      <c r="H6" s="2848"/>
      <c r="I6" s="2849"/>
      <c r="J6" s="3649">
        <v>1</v>
      </c>
      <c r="K6" s="365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9"/>
      <c r="K7" s="365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3" t="s">
        <v>2351</v>
      </c>
      <c r="C8" s="3654"/>
      <c r="D8" s="2889" t="s">
        <v>2352</v>
      </c>
      <c r="E8" s="2890" t="s">
        <v>2353</v>
      </c>
      <c r="F8" s="2891" t="s">
        <v>2354</v>
      </c>
      <c r="G8" s="2892"/>
      <c r="H8" s="2848"/>
      <c r="I8" s="2849"/>
      <c r="J8" s="3649"/>
      <c r="K8" s="365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3" t="s">
        <v>2357</v>
      </c>
      <c r="C9" s="3654"/>
      <c r="D9" s="2889">
        <f>ROUND(D6*E9,0)</f>
        <v>0</v>
      </c>
      <c r="E9" s="2893"/>
      <c r="F9" s="2894" t="s">
        <v>2358</v>
      </c>
      <c r="G9" s="2873"/>
      <c r="H9" s="2848"/>
      <c r="I9" s="2849"/>
      <c r="J9" s="3649"/>
      <c r="K9" s="3651"/>
      <c r="L9" s="2883" t="s">
        <v>2359</v>
      </c>
      <c r="M9" s="2884"/>
      <c r="N9" s="2860"/>
      <c r="O9" s="2885"/>
      <c r="P9" s="2885"/>
      <c r="Q9" s="2886">
        <v>365</v>
      </c>
      <c r="R9" s="2887">
        <f t="shared" si="0"/>
        <v>0</v>
      </c>
      <c r="S9" s="2841"/>
      <c r="T9" s="2841"/>
      <c r="U9" s="2841"/>
      <c r="V9" s="2849"/>
    </row>
    <row r="10" spans="1:22" s="2853" customFormat="1" ht="13.15" customHeight="1">
      <c r="A10" s="2888">
        <v>2</v>
      </c>
      <c r="B10" s="3653" t="s">
        <v>2360</v>
      </c>
      <c r="C10" s="3654"/>
      <c r="D10" s="2889">
        <f>ROUND(D6*E10,0)</f>
        <v>0</v>
      </c>
      <c r="E10" s="2893"/>
      <c r="F10" s="2894" t="s">
        <v>2361</v>
      </c>
      <c r="G10" s="2873"/>
      <c r="H10" s="2848"/>
      <c r="I10" s="2849"/>
      <c r="J10" s="3649"/>
      <c r="K10" s="3651"/>
      <c r="L10" s="2883" t="s">
        <v>2362</v>
      </c>
      <c r="M10" s="2884"/>
      <c r="N10" s="2860"/>
      <c r="O10" s="2885"/>
      <c r="P10" s="2885"/>
      <c r="Q10" s="2886">
        <v>365</v>
      </c>
      <c r="R10" s="2887">
        <f t="shared" si="0"/>
        <v>0</v>
      </c>
      <c r="S10" s="2841"/>
      <c r="T10" s="2841"/>
      <c r="U10" s="2841"/>
      <c r="V10" s="2849"/>
    </row>
    <row r="11" spans="1:22" s="2853" customFormat="1" ht="13.15" customHeight="1">
      <c r="A11" s="2888">
        <v>3</v>
      </c>
      <c r="B11" s="3653" t="s">
        <v>2363</v>
      </c>
      <c r="C11" s="3654"/>
      <c r="D11" s="2889">
        <f>D12+D14+D15+D16</f>
        <v>0</v>
      </c>
      <c r="E11" s="2895" t="e">
        <f>D11/D6</f>
        <v>#DIV/0!</v>
      </c>
      <c r="F11" s="2891"/>
      <c r="G11" s="2892"/>
      <c r="H11" s="2848"/>
      <c r="I11" s="2849"/>
      <c r="J11" s="3649"/>
      <c r="K11" s="365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9"/>
      <c r="K12" s="365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9"/>
      <c r="K13" s="365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9"/>
      <c r="K14" s="365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9">
        <v>2</v>
      </c>
      <c r="K15" s="365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9"/>
      <c r="K16" s="365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9"/>
      <c r="K17" s="365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9"/>
      <c r="K18" s="365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9"/>
      <c r="K19" s="365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9"/>
      <c r="K21" s="365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9"/>
      <c r="K22" s="365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9"/>
      <c r="K23" s="365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9"/>
      <c r="K24" s="365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2" t="s">
        <v>2321</v>
      </c>
      <c r="K32" s="364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4" t="s">
        <v>2331</v>
      </c>
      <c r="K33" s="364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4" t="s">
        <v>2333</v>
      </c>
      <c r="K34" s="364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9">
        <v>1</v>
      </c>
      <c r="K36" s="365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9"/>
      <c r="K40" s="365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8284</v>
      </c>
      <c r="C2" s="1872" t="s">
        <v>1651</v>
      </c>
      <c r="D2" s="1873" t="s">
        <v>1652</v>
      </c>
      <c r="E2" s="2607">
        <f>SUM(E6:E13)</f>
        <v>4904.8</v>
      </c>
      <c r="F2" s="2707"/>
      <c r="G2" s="1489"/>
      <c r="H2" s="1489"/>
      <c r="I2" s="1489"/>
      <c r="J2" s="1489"/>
      <c r="K2" s="1489"/>
      <c r="L2" s="1489"/>
      <c r="M2" s="1489"/>
      <c r="N2" s="1489"/>
      <c r="O2" s="1489"/>
      <c r="P2" s="1489"/>
      <c r="Q2" s="1489"/>
      <c r="R2" s="1489"/>
      <c r="S2" s="1489"/>
    </row>
    <row r="3" spans="1:22" ht="15.75">
      <c r="A3" s="1870" t="s">
        <v>686</v>
      </c>
      <c r="B3" s="2601">
        <f ca="1">ROUND(B2*10000/E2,0)</f>
        <v>16890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1" t="s">
        <v>1654</v>
      </c>
      <c r="C5" s="366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8284</v>
      </c>
      <c r="C6" s="1872" t="s">
        <v>1651</v>
      </c>
      <c r="D6" s="2709"/>
      <c r="E6" s="2606">
        <f>IF(OR(A6=0,F6="否"),0,'数据-取费表'!K6+'数据-取费表'!S6)</f>
        <v>4904.8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4904.8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5"/>
      <c r="M4" s="2716"/>
      <c r="N4" s="2716"/>
      <c r="O4" s="2716"/>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90"/>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1890"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4904.8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93"/>
      <c r="AC6" s="3665"/>
    </row>
    <row r="7" spans="1:29" s="108" customFormat="1" ht="15.75" thickBot="1">
      <c r="A7" s="362" t="s">
        <v>1679</v>
      </c>
      <c r="B7" s="363"/>
      <c r="C7" s="364">
        <f>'数据-取费表'!B2</f>
        <v>45300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5"/>
      <c r="M5" s="2716"/>
      <c r="N5" s="2716"/>
      <c r="O5" s="2716"/>
      <c r="P5" s="3717"/>
      <c r="Q5" s="3688"/>
      <c r="R5" s="3670"/>
      <c r="S5" s="3671"/>
      <c r="T5" s="3670"/>
      <c r="U5" s="3671"/>
      <c r="V5" s="3693"/>
      <c r="W5" s="3693"/>
      <c r="X5" s="1355"/>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718"/>
      <c r="Q6" s="3690"/>
      <c r="R6" s="3670"/>
      <c r="S6" s="3671"/>
      <c r="T6" s="3691"/>
      <c r="U6" s="3692"/>
      <c r="V6" s="3693"/>
      <c r="W6" s="3693"/>
      <c r="X6" s="1355"/>
      <c r="Y6" s="3691"/>
      <c r="Z6" s="3692"/>
      <c r="AA6" s="3665"/>
      <c r="AB6" s="3665"/>
      <c r="AC6" s="3714"/>
    </row>
    <row r="7" spans="1:29" s="108" customFormat="1" ht="15.75" thickBot="1">
      <c r="A7" s="362" t="s">
        <v>1679</v>
      </c>
      <c r="B7" s="363"/>
      <c r="C7" s="364">
        <f>'数据-取费表'!B2</f>
        <v>45300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估价对象为北京市房地产，为所有。根据《国有土地使用证》[]，估价对象（分摊）出让国有建设用地使用权面积为2054.01平方米，建筑面积为4904.8平方米。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估价对象为北京市房地产,属开发建设的，该项目尚在开发建设中。根据《国有土地使用证》[]，估价对象（分摊）出让国有建设用地使用权面积为2054.01平方米，规划建筑面积为4904.8平方米。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5"/>
      <c r="M6" s="2716"/>
      <c r="N6" s="2716"/>
      <c r="O6" s="2716"/>
      <c r="P6" s="3689"/>
      <c r="Q6" s="3690"/>
      <c r="R6" s="3670"/>
      <c r="S6" s="3671"/>
      <c r="T6" s="3691"/>
      <c r="U6" s="3692"/>
      <c r="V6" s="3693"/>
      <c r="W6" s="3693"/>
      <c r="X6" s="1355"/>
      <c r="Y6" s="3691"/>
      <c r="Z6" s="3692"/>
      <c r="AA6" s="3665"/>
      <c r="AB6" s="3665"/>
      <c r="AC6" s="3665"/>
    </row>
    <row r="7" spans="1:30" s="108" customFormat="1" ht="15.75" thickBot="1">
      <c r="A7" s="362" t="s">
        <v>1679</v>
      </c>
      <c r="B7" s="363"/>
      <c r="C7" s="364">
        <f>'数据-取费表'!B2</f>
        <v>45300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166</v>
      </c>
      <c r="G10" s="414"/>
      <c r="H10" s="127">
        <f>ROUND(100/'数据-取费表'!G16,0)</f>
        <v>166</v>
      </c>
      <c r="I10" s="414"/>
      <c r="J10" s="127">
        <f>ROUND(100/'数据-取费表'!G16,0)</f>
        <v>166</v>
      </c>
      <c r="K10" s="620"/>
      <c r="L10" s="2719"/>
      <c r="M10" s="2720"/>
      <c r="N10" s="2720"/>
      <c r="O10" s="2773"/>
      <c r="P10" s="3698"/>
      <c r="Q10" s="1343" t="str">
        <f t="shared" si="6"/>
        <v>土地使用年限（年）</v>
      </c>
      <c r="R10" s="701" t="s">
        <v>14</v>
      </c>
      <c r="S10" s="702">
        <f t="shared" si="0"/>
        <v>166</v>
      </c>
      <c r="T10" s="701" t="s">
        <v>14</v>
      </c>
      <c r="U10" s="702">
        <f t="shared" si="1"/>
        <v>166</v>
      </c>
      <c r="V10" s="701" t="s">
        <v>14</v>
      </c>
      <c r="W10" s="702">
        <f t="shared" si="2"/>
        <v>166</v>
      </c>
      <c r="X10" s="703"/>
      <c r="Y10" s="3610"/>
      <c r="Z10" s="52" t="str">
        <f t="shared" si="7"/>
        <v>土地使用年限（年）</v>
      </c>
      <c r="AA10" s="704">
        <f t="shared" si="3"/>
        <v>0.60240963855421692</v>
      </c>
      <c r="AB10" s="704">
        <f t="shared" si="4"/>
        <v>0.60240963855421692</v>
      </c>
      <c r="AC10" s="704">
        <f t="shared" si="5"/>
        <v>0.60240963855421692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4904.8</v>
      </c>
      <c r="F56" s="886" t="e">
        <f t="shared" ref="F56:F64" si="15">ROUND(B56*E56/10000,0)</f>
        <v>#DIV/0!</v>
      </c>
      <c r="G56" s="3680"/>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4904.8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5"/>
      <c r="M4" s="2716"/>
      <c r="N4" s="2716"/>
      <c r="O4" s="2716"/>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5"/>
      <c r="M5" s="2716"/>
      <c r="N5" s="2716"/>
      <c r="O5" s="2716"/>
      <c r="P5" s="3687"/>
      <c r="Q5" s="3688"/>
      <c r="R5" s="3670"/>
      <c r="S5" s="3671"/>
      <c r="T5" s="3670"/>
      <c r="U5" s="3671"/>
      <c r="V5" s="3693"/>
      <c r="W5" s="3693"/>
      <c r="X5" s="1355"/>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5"/>
      <c r="M6" s="2716"/>
      <c r="N6" s="2716"/>
      <c r="O6" s="2716"/>
      <c r="P6" s="3689"/>
      <c r="Q6" s="3690"/>
      <c r="R6" s="3670"/>
      <c r="S6" s="3671"/>
      <c r="T6" s="3691"/>
      <c r="U6" s="3692"/>
      <c r="V6" s="3693"/>
      <c r="W6" s="3693"/>
      <c r="X6" s="1355"/>
      <c r="Y6" s="3691"/>
      <c r="Z6" s="3692"/>
      <c r="AA6" s="3665"/>
      <c r="AB6" s="3665"/>
      <c r="AC6" s="3665"/>
    </row>
    <row r="7" spans="1:29" s="108" customFormat="1" ht="15.75" thickBot="1">
      <c r="A7" s="362" t="s">
        <v>1679</v>
      </c>
      <c r="B7" s="363"/>
      <c r="C7" s="364">
        <f>'数据-取费表'!B2</f>
        <v>45300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166</v>
      </c>
      <c r="G10" s="383"/>
      <c r="H10" s="127">
        <f>ROUND(100/'数据-取费表'!G16,0)</f>
        <v>166</v>
      </c>
      <c r="I10" s="383"/>
      <c r="J10" s="127">
        <f>ROUND(100/'数据-取费表'!G16,0)</f>
        <v>166</v>
      </c>
      <c r="K10" s="620"/>
      <c r="L10" s="2719"/>
      <c r="M10" s="2720"/>
      <c r="N10" s="2720"/>
      <c r="O10" s="2773"/>
      <c r="P10" s="3698"/>
      <c r="Q10" s="1343" t="str">
        <f t="shared" si="6"/>
        <v>土地使用年限（年）</v>
      </c>
      <c r="R10" s="701" t="s">
        <v>14</v>
      </c>
      <c r="S10" s="702">
        <f t="shared" si="0"/>
        <v>166</v>
      </c>
      <c r="T10" s="701" t="s">
        <v>14</v>
      </c>
      <c r="U10" s="702">
        <f t="shared" si="1"/>
        <v>166</v>
      </c>
      <c r="V10" s="701" t="s">
        <v>14</v>
      </c>
      <c r="W10" s="702">
        <f t="shared" si="2"/>
        <v>166</v>
      </c>
      <c r="X10" s="703"/>
      <c r="Y10" s="3610"/>
      <c r="Z10" s="52" t="str">
        <f t="shared" si="7"/>
        <v>土地使用年限（年）</v>
      </c>
      <c r="AA10" s="704">
        <f t="shared" si="3"/>
        <v>0.60240963855421692</v>
      </c>
      <c r="AB10" s="704">
        <f t="shared" si="4"/>
        <v>0.60240963855421692</v>
      </c>
      <c r="AC10" s="704">
        <f t="shared" si="5"/>
        <v>0.60240963855421692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4904.8</v>
      </c>
      <c r="F51" s="639" t="e">
        <f t="shared" ref="F51:F60" si="15">ROUND(B51*E51/10000,0)</f>
        <v>#DIV/0!</v>
      </c>
      <c r="G51" s="3680"/>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2054.0100000000002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2752</v>
      </c>
      <c r="C2" s="2145" t="s">
        <v>2074</v>
      </c>
      <c r="D2" s="2145" t="s">
        <v>2075</v>
      </c>
      <c r="E2" s="2612">
        <f ca="1">SUMIF(E6:E13,"&lt;&gt;#ref!",E6:E13)</f>
        <v>4904.8</v>
      </c>
      <c r="F2" s="2793"/>
      <c r="G2" s="2793"/>
      <c r="H2" s="2793"/>
      <c r="I2" s="2793"/>
      <c r="J2" s="2793"/>
      <c r="K2" s="2793"/>
      <c r="L2" s="2793"/>
      <c r="M2" s="2793"/>
      <c r="N2" s="2793"/>
      <c r="O2" s="2793"/>
      <c r="P2" s="2793"/>
    </row>
    <row r="3" spans="1:16" ht="15.75">
      <c r="A3" s="2145" t="s">
        <v>2076</v>
      </c>
      <c r="B3" s="2602">
        <f ca="1">ROUND(B2*10000/E2,0)</f>
        <v>5611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2752</v>
      </c>
      <c r="C6" s="2145" t="s">
        <v>2074</v>
      </c>
      <c r="D6" s="2793"/>
      <c r="E6" s="2612">
        <f ca="1">SUMIF(INDIRECT("'"&amp;A6&amp;"'"&amp;"!C:C"),"建筑面积",INDIRECT("'"&amp;A6&amp;"'"&amp;"!D:D"))</f>
        <v>4904.8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8" sqref="C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4904.8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2752</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8357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5611</v>
      </c>
      <c r="C3" s="1999" t="s">
        <v>1941</v>
      </c>
      <c r="D3" s="2000" t="s">
        <v>1942</v>
      </c>
      <c r="E3" s="3420" t="s">
        <v>2443</v>
      </c>
      <c r="F3" s="2004" t="s">
        <v>3393</v>
      </c>
      <c r="G3" s="752">
        <f>IF(F3="宗地容积率",'数据-汇总表'!I4,IF(F3="估价对象容积率",'数据-汇总表'!I6,'数据-汇总表'!I7))</f>
        <v>2.39</v>
      </c>
      <c r="H3" s="170" t="s">
        <v>1943</v>
      </c>
      <c r="I3" s="775">
        <v>5</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6587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5567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4910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4718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2.39</v>
      </c>
      <c r="AA7" s="1216"/>
      <c r="AB7" s="1216"/>
      <c r="AC7" s="1217"/>
      <c r="AD7" s="1218"/>
      <c r="AE7" s="1218"/>
      <c r="AF7" s="1218"/>
      <c r="AG7" s="1218"/>
      <c r="AH7" s="1218"/>
      <c r="AI7" s="1218"/>
      <c r="AJ7" s="1219"/>
    </row>
    <row r="8" spans="1:36" ht="25.5">
      <c r="A8" s="3299"/>
      <c r="B8" s="170" t="s">
        <v>1957</v>
      </c>
      <c r="C8" s="2026" t="s">
        <v>3418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5"/>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0" t="s">
        <v>3258</v>
      </c>
      <c r="B20" s="167" t="s">
        <v>1994</v>
      </c>
      <c r="C20" s="3325">
        <f>ROUND(IF(F21="与级别开发程度一致",0,(G21-E21)/C21),0)</f>
        <v>-36</v>
      </c>
      <c r="D20" s="3341" t="s">
        <v>1998</v>
      </c>
      <c r="E20" s="3342"/>
      <c r="F20" s="3756" t="s">
        <v>1995</v>
      </c>
      <c r="G20" s="3757"/>
      <c r="H20" s="3326" t="s">
        <v>3395</v>
      </c>
      <c r="I20" s="3326" t="s">
        <v>3396</v>
      </c>
      <c r="J20" s="3327" t="s">
        <v>3397</v>
      </c>
      <c r="K20" s="2047" t="s">
        <v>3398</v>
      </c>
      <c r="L20" s="2047" t="s">
        <v>3399</v>
      </c>
      <c r="M20" s="2047" t="s">
        <v>3400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45300</v>
      </c>
      <c r="H23" s="3343" t="s">
        <v>3259</v>
      </c>
      <c r="I23" s="3344" t="str">
        <f>IF(H23="季度增幅（自定义）",SUMIF(N25:N28,E2,O25:O28),"")</f>
        <v/>
      </c>
      <c r="J23" s="3446" t="s">
        <v>3419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0.62450000000000006</v>
      </c>
      <c r="D24" s="2060" t="s">
        <v>2007</v>
      </c>
      <c r="E24" s="1335">
        <f>存贷款利率!E24/100</f>
        <v>4.3499999999999997E-2</v>
      </c>
      <c r="F24" s="2060" t="s">
        <v>1999</v>
      </c>
      <c r="G24" s="768">
        <f>SUMIF(M30:Q30,E2,M33:Q33)</f>
        <v>5.5E-2</v>
      </c>
      <c r="H24" s="2060" t="s">
        <v>2008</v>
      </c>
      <c r="I24" s="769">
        <f>SUMIF('数据-取费表'!C6:C15,E2,'数据-取费表'!F6:F15)/COUNTIF('数据-取费表'!C6:C15,E2)</f>
        <v>14.96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1.0082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1.0082</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0.84799999999999998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2752</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5610</v>
      </c>
      <c r="D33" s="2098">
        <v>4904.8</v>
      </c>
      <c r="E33" s="773">
        <f>ROUND(C33*D33/10000,0)</f>
        <v>2752</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1403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3339</v>
      </c>
      <c r="D37" s="2098"/>
      <c r="E37" s="171">
        <f>ROUND(C37*D37/10000,0)</f>
        <v>0</v>
      </c>
      <c r="F37" s="171">
        <f>SUMIF(修正!A57:A68,G2,修正!B57:B68)</f>
        <v>0.6</v>
      </c>
      <c r="G37" s="171">
        <f>ROUND(IF(E2="工业",C37*$M$42,C37*$M$41),0)</f>
        <v>835</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1669</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5"/>
      <c r="B39" s="2041" t="s">
        <v>3262</v>
      </c>
      <c r="C39" s="175">
        <f>ROUND(D5*C22*C23*C24*C28*F39,0)</f>
        <v>1391</v>
      </c>
      <c r="D39" s="2098"/>
      <c r="E39" s="171">
        <f t="shared" si="4"/>
        <v>0</v>
      </c>
      <c r="F39" s="171">
        <f>SUMIF(修正!A57:A68,G2,修正!D57:D68)</f>
        <v>0.25</v>
      </c>
      <c r="G39" s="171">
        <f>ROUND(IF(E2="工业",C39*$M$42,C39*$M$41),0)</f>
        <v>348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1391</v>
      </c>
      <c r="D40" s="2098"/>
      <c r="E40" s="171">
        <f t="shared" si="4"/>
        <v>0</v>
      </c>
      <c r="F40" s="175">
        <f>SUMIF(修正!A57:A68,G2,修正!E57:E68)</f>
        <v>0.25</v>
      </c>
      <c r="G40" s="171">
        <f>ROUND(IF(E2="工业",C40*$M$42,C40*$M$41),0)</f>
        <v>348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1.0163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3420</v>
      </c>
      <c r="D50" s="1065">
        <f t="shared" ref="D50:D58" si="7">SUMIF($J$49:$N$49,C50,J50:N50)</f>
        <v>1.95E-2</v>
      </c>
      <c r="E50" s="744">
        <f>ROUND(SUM(D50:D58),4)</f>
        <v>1.6299999999999999E-2</v>
      </c>
      <c r="F50" s="1814">
        <f>IF(E2="商业",SUMIF(L1:L12,G2,N1:N12),"——")</f>
        <v>0.13</v>
      </c>
      <c r="G50" s="1063">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0</v>
      </c>
      <c r="E51" s="745"/>
      <c r="F51" s="1814"/>
      <c r="G51" s="1063">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3402</v>
      </c>
      <c r="D52" s="1065">
        <f t="shared" si="7"/>
        <v>0</v>
      </c>
      <c r="E52" s="745"/>
      <c r="F52" s="1814"/>
      <c r="G52" s="1063">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0</v>
      </c>
      <c r="E53" s="745"/>
      <c r="F53" s="1814"/>
      <c r="G53" s="1063">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0</v>
      </c>
      <c r="E54" s="745"/>
      <c r="F54" s="1814"/>
      <c r="G54" s="1063">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0</v>
      </c>
      <c r="E55" s="745"/>
      <c r="F55" s="1814"/>
      <c r="G55" s="1063">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3402</v>
      </c>
      <c r="D56" s="1065">
        <f t="shared" si="7"/>
        <v>0</v>
      </c>
      <c r="E56" s="745"/>
      <c r="F56" s="1814"/>
      <c r="G56" s="1063">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0</v>
      </c>
      <c r="E57" s="745"/>
      <c r="F57" s="1814"/>
      <c r="G57" s="1063">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3401</v>
      </c>
      <c r="D58" s="1065">
        <f t="shared" si="7"/>
        <v>-3.2000000000000002E-3</v>
      </c>
      <c r="E58" s="746"/>
      <c r="F58" s="1814"/>
      <c r="G58" s="1063">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0.98380000000000001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3401</v>
      </c>
      <c r="D61" s="1065">
        <f t="shared" ref="D61:D69" si="12">SUMIF($J$60:$N$60,C61,J61:N61)</f>
        <v>-1.6199999999999999E-2</v>
      </c>
      <c r="E61" s="744">
        <f>ROUND(SUM(D61:D69),4)</f>
        <v>-1.6199999999999999E-2</v>
      </c>
      <c r="F61" s="1814" t="str">
        <f>IF(E2="办公",SUMIF(L1:L12,G2,N1:N12),"——")</f>
        <v>——</v>
      </c>
      <c r="G61" s="1063">
        <v>1.6199999999999999E-2</v>
      </c>
      <c r="H61" s="1066" t="str">
        <f t="shared" ref="H61:H69" si="13">IFERROR(ROUNDDOWN($F$61*I61/2,4),"——")</f>
        <v>——</v>
      </c>
      <c r="I61" s="3367">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3402</v>
      </c>
      <c r="D62" s="1065">
        <f t="shared" si="12"/>
        <v>0</v>
      </c>
      <c r="E62" s="745"/>
      <c r="F62" s="1814"/>
      <c r="G62" s="1063">
        <v>1.6899999999999998E-2</v>
      </c>
      <c r="H62" s="1066" t="str">
        <f t="shared" si="13"/>
        <v>——</v>
      </c>
      <c r="I62" s="3367">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3402</v>
      </c>
      <c r="D63" s="1065">
        <f t="shared" si="12"/>
        <v>0</v>
      </c>
      <c r="E63" s="745"/>
      <c r="F63" s="1814"/>
      <c r="G63" s="1063">
        <v>7.1000000000000004E-3</v>
      </c>
      <c r="H63" s="1066" t="str">
        <f t="shared" si="13"/>
        <v>——</v>
      </c>
      <c r="I63" s="3367">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3402</v>
      </c>
      <c r="D64" s="1065">
        <f t="shared" si="12"/>
        <v>0</v>
      </c>
      <c r="E64" s="745"/>
      <c r="F64" s="1814"/>
      <c r="G64" s="1063">
        <v>3.2000000000000002E-3</v>
      </c>
      <c r="H64" s="1066" t="str">
        <f t="shared" si="13"/>
        <v>——</v>
      </c>
      <c r="I64" s="3367">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3401</v>
      </c>
      <c r="D65" s="1065">
        <f t="shared" si="12"/>
        <v>-3.2000000000000002E-3</v>
      </c>
      <c r="E65" s="745"/>
      <c r="F65" s="1814"/>
      <c r="G65" s="1063">
        <v>3.2000000000000002E-3</v>
      </c>
      <c r="H65" s="1066" t="str">
        <f t="shared" si="13"/>
        <v>——</v>
      </c>
      <c r="I65" s="3367">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3402</v>
      </c>
      <c r="D66" s="1065">
        <f t="shared" si="12"/>
        <v>0</v>
      </c>
      <c r="E66" s="745"/>
      <c r="F66" s="1814"/>
      <c r="G66" s="1063">
        <v>3.8999999999999998E-3</v>
      </c>
      <c r="H66" s="1066" t="str">
        <f t="shared" si="13"/>
        <v>——</v>
      </c>
      <c r="I66" s="3367">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3401</v>
      </c>
      <c r="D67" s="1065">
        <f t="shared" si="12"/>
        <v>-3.8999999999999998E-3</v>
      </c>
      <c r="E67" s="745"/>
      <c r="F67" s="1814"/>
      <c r="G67" s="1063">
        <v>3.8999999999999998E-3</v>
      </c>
      <c r="H67" s="1066" t="str">
        <f t="shared" si="13"/>
        <v>——</v>
      </c>
      <c r="I67" s="3367">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3403</v>
      </c>
      <c r="D68" s="1065">
        <f t="shared" si="12"/>
        <v>1.1599999999999999E-2</v>
      </c>
      <c r="E68" s="745"/>
      <c r="F68" s="1814"/>
      <c r="G68" s="1063">
        <v>5.7999999999999996E-3</v>
      </c>
      <c r="H68" s="1066" t="str">
        <f t="shared" si="13"/>
        <v>——</v>
      </c>
      <c r="I68" s="3367">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3401</v>
      </c>
      <c r="D69" s="1065">
        <f t="shared" si="12"/>
        <v>-4.4999999999999997E-3</v>
      </c>
      <c r="E69" s="746"/>
      <c r="F69" s="1814"/>
      <c r="G69" s="1063">
        <v>4.4999999999999997E-3</v>
      </c>
      <c r="H69" s="1066" t="str">
        <f t="shared" si="13"/>
        <v>——</v>
      </c>
      <c r="I69" s="3368">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2" t="s">
        <v>3297</v>
      </c>
      <c r="B103" s="3752"/>
      <c r="C103" s="3752"/>
      <c r="D103" s="3752"/>
      <c r="E103" s="3752"/>
      <c r="F103" s="3752"/>
      <c r="G103" s="3752"/>
      <c r="H103" s="3752"/>
      <c r="I103" s="3752"/>
      <c r="J103" s="3752"/>
      <c r="K103" s="3390"/>
      <c r="L103" s="3390"/>
      <c r="M103" s="3390"/>
      <c r="N103" s="3390"/>
    </row>
    <row r="104" spans="1:14">
      <c r="A104" s="3753" t="s">
        <v>3298</v>
      </c>
      <c r="B104" s="3753" t="s">
        <v>3299</v>
      </c>
      <c r="C104" s="3391" t="s">
        <v>3300</v>
      </c>
      <c r="D104" s="3392"/>
      <c r="E104" s="3392"/>
      <c r="F104" s="3392"/>
      <c r="G104" s="3392"/>
      <c r="H104" s="3392"/>
      <c r="I104" s="3392"/>
      <c r="J104" s="3393"/>
      <c r="K104" s="3394"/>
      <c r="L104" s="3394"/>
      <c r="M104" s="3394"/>
      <c r="N104" s="3394"/>
    </row>
    <row r="105" spans="1:14">
      <c r="A105" s="3753"/>
      <c r="B105" s="3753"/>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9"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0"/>
      <c r="B111" s="3395" t="s">
        <v>3271</v>
      </c>
      <c r="C111" s="3396">
        <f>$I$3</f>
        <v>5</v>
      </c>
      <c r="D111" s="3396">
        <f t="shared" ref="D111:M111" si="32">$I$3</f>
        <v>5</v>
      </c>
      <c r="E111" s="3396">
        <f t="shared" si="32"/>
        <v>5</v>
      </c>
      <c r="F111" s="3396">
        <f t="shared" si="32"/>
        <v>5</v>
      </c>
      <c r="G111" s="3396">
        <f t="shared" si="32"/>
        <v>5</v>
      </c>
      <c r="H111" s="3396">
        <f t="shared" si="32"/>
        <v>5</v>
      </c>
      <c r="I111" s="3396">
        <f t="shared" si="32"/>
        <v>5</v>
      </c>
      <c r="J111" s="3396">
        <f t="shared" si="32"/>
        <v>5</v>
      </c>
      <c r="K111" s="3396">
        <f t="shared" si="32"/>
        <v>5</v>
      </c>
      <c r="L111" s="3396">
        <f t="shared" si="32"/>
        <v>5</v>
      </c>
      <c r="M111" s="3396">
        <f t="shared" si="32"/>
        <v>5</v>
      </c>
      <c r="N111" s="3396">
        <f>$I$3</f>
        <v>5</v>
      </c>
    </row>
    <row r="112" spans="1:14">
      <c r="A112" s="3741"/>
      <c r="B112" s="3395">
        <v>6</v>
      </c>
      <c r="C112" s="3388">
        <f>(-0.5556*(C111^2)-0.2719*C111+8944)*(10^(-4))</f>
        <v>0.89287505</v>
      </c>
      <c r="D112" s="3388">
        <f>(-0.5556*(D111^2)-0.2719*D111+8944)*(10^(-4))</f>
        <v>0.89287505</v>
      </c>
      <c r="E112" s="3388">
        <f>(-0.7912*(E111^2)-11.3794*E111+8482)*(10^(-4))</f>
        <v>0.84053230000000012</v>
      </c>
      <c r="F112" s="3388">
        <f t="shared" ref="F112:I112" si="33">(-0.7912*(F111^2)-11.3794*F111+8482)*(10^(-4))</f>
        <v>0.84053230000000012</v>
      </c>
      <c r="G112" s="3388">
        <f t="shared" si="33"/>
        <v>0.84053230000000012</v>
      </c>
      <c r="H112" s="3388">
        <f t="shared" si="33"/>
        <v>0.84053230000000012</v>
      </c>
      <c r="I112" s="3388">
        <f t="shared" si="33"/>
        <v>0.84053230000000012</v>
      </c>
      <c r="J112" s="3388">
        <f>(-0.989*(J111^2)-63.78*J111+7771)*(10^(-4))</f>
        <v>0.74273750000000005</v>
      </c>
      <c r="K112" s="3388">
        <f t="shared" ref="K112:N112" si="34">(-0.989*(K111^2)-63.78*K111+7771)*(10^(-4))</f>
        <v>0.74273750000000005</v>
      </c>
      <c r="L112" s="3388">
        <f t="shared" si="34"/>
        <v>0.74273750000000005</v>
      </c>
      <c r="M112" s="3388">
        <f t="shared" si="34"/>
        <v>0.74273750000000005</v>
      </c>
      <c r="N112" s="3388">
        <f t="shared" si="34"/>
        <v>0.74273750000000005</v>
      </c>
    </row>
    <row r="113" spans="1:14">
      <c r="A113" s="3742" t="s">
        <v>3314</v>
      </c>
      <c r="B113" s="3742"/>
      <c r="C113" s="3742"/>
      <c r="D113" s="3742"/>
      <c r="E113" s="3742"/>
      <c r="F113" s="3742"/>
      <c r="G113" s="3742"/>
      <c r="H113" s="3742"/>
      <c r="I113" s="3742"/>
      <c r="J113" s="374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2.39</v>
      </c>
      <c r="C116" s="3400" t="s">
        <v>3316</v>
      </c>
      <c r="D116" s="3401">
        <f>SUMPRODUCT((A118:A122=F116)*(B117:M117=H116)*B118:M122)</f>
        <v>0.91549999999999998</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0.97050000000000003</v>
      </c>
      <c r="C118" s="3388">
        <f>B118</f>
        <v>0.97050000000000003</v>
      </c>
      <c r="D118" s="3388">
        <f>ROUND(0.949-0.014*B116,4)</f>
        <v>0.91549999999999998</v>
      </c>
      <c r="E118" s="3388">
        <f>D118</f>
        <v>0.91549999999999998</v>
      </c>
      <c r="F118" s="3388">
        <f>E118</f>
        <v>0.91549999999999998</v>
      </c>
      <c r="G118" s="3388">
        <f>F118</f>
        <v>0.91549999999999998</v>
      </c>
      <c r="H118" s="3388">
        <f>G118</f>
        <v>0.91549999999999998</v>
      </c>
      <c r="I118" s="3388">
        <f>ROUND(0.8486-0.018*B116,4)</f>
        <v>0.80559999999999998</v>
      </c>
      <c r="J118" s="3388">
        <f t="shared" ref="J118:M122" si="35">I118</f>
        <v>0.80559999999999998</v>
      </c>
      <c r="K118" s="3388">
        <f t="shared" si="35"/>
        <v>0.80559999999999998</v>
      </c>
      <c r="L118" s="3388">
        <f t="shared" si="35"/>
        <v>0.80559999999999998</v>
      </c>
      <c r="M118" s="3411">
        <f t="shared" si="35"/>
        <v>0.80559999999999998</v>
      </c>
      <c r="N118" s="3398"/>
    </row>
    <row r="119" spans="1:14">
      <c r="A119" s="3410" t="s">
        <v>3332</v>
      </c>
      <c r="B119" s="3388">
        <f>ROUND(0.993-0.0112*B116,4)</f>
        <v>0.96619999999999995</v>
      </c>
      <c r="C119" s="3388">
        <f>B119</f>
        <v>0.96619999999999995</v>
      </c>
      <c r="D119" s="3388">
        <f>ROUND(0.9415-0.0142*B116,4)</f>
        <v>0.90759999999999996</v>
      </c>
      <c r="E119" s="3388">
        <f t="shared" ref="E119:H120" si="36">D119</f>
        <v>0.90759999999999996</v>
      </c>
      <c r="F119" s="3388">
        <f t="shared" si="36"/>
        <v>0.90759999999999996</v>
      </c>
      <c r="G119" s="3388">
        <f t="shared" si="36"/>
        <v>0.90759999999999996</v>
      </c>
      <c r="H119" s="3388">
        <f t="shared" si="36"/>
        <v>0.90759999999999996</v>
      </c>
      <c r="I119" s="3388">
        <f>ROUND(0.838-0.0182*B116,4)</f>
        <v>0.79449999999999998</v>
      </c>
      <c r="J119" s="3388">
        <f t="shared" si="35"/>
        <v>0.79449999999999998</v>
      </c>
      <c r="K119" s="3388">
        <f t="shared" si="35"/>
        <v>0.79449999999999998</v>
      </c>
      <c r="L119" s="3388">
        <f t="shared" si="35"/>
        <v>0.79449999999999998</v>
      </c>
      <c r="M119" s="3411">
        <f t="shared" si="35"/>
        <v>0.79449999999999998</v>
      </c>
      <c r="N119" s="3398"/>
    </row>
    <row r="120" spans="1:14">
      <c r="A120" s="3410" t="s">
        <v>3333</v>
      </c>
      <c r="B120" s="3388">
        <f>ROUND(0.9448-0.0115*B116,4)</f>
        <v>0.9173</v>
      </c>
      <c r="C120" s="3388">
        <f>B120</f>
        <v>0.9173</v>
      </c>
      <c r="D120" s="3388">
        <f>ROUND(0.937-0.0145*B116,4)</f>
        <v>0.90229999999999999</v>
      </c>
      <c r="E120" s="3388">
        <f t="shared" si="36"/>
        <v>0.90229999999999999</v>
      </c>
      <c r="F120" s="3388">
        <f t="shared" si="36"/>
        <v>0.90229999999999999</v>
      </c>
      <c r="G120" s="3388">
        <f t="shared" si="36"/>
        <v>0.90229999999999999</v>
      </c>
      <c r="H120" s="3388">
        <f t="shared" si="36"/>
        <v>0.90229999999999999</v>
      </c>
      <c r="I120" s="3388">
        <f>ROUND(0.7965-0.0185*B116,4)</f>
        <v>0.75229999999999997</v>
      </c>
      <c r="J120" s="3388">
        <f t="shared" si="35"/>
        <v>0.75229999999999997</v>
      </c>
      <c r="K120" s="3388">
        <f t="shared" si="35"/>
        <v>0.75229999999999997</v>
      </c>
      <c r="L120" s="3388">
        <f t="shared" si="35"/>
        <v>0.75229999999999997</v>
      </c>
      <c r="M120" s="3411">
        <f t="shared" si="35"/>
        <v>0.75229999999999997</v>
      </c>
      <c r="N120" s="3398"/>
    </row>
    <row r="121" spans="1:14" ht="13.5" thickBot="1">
      <c r="A121" s="3412" t="s">
        <v>3334</v>
      </c>
      <c r="B121" s="3413">
        <f>ROUND(0.7836-0.012*B116,4)</f>
        <v>0.75490000000000002</v>
      </c>
      <c r="C121" s="3413">
        <f>B121</f>
        <v>0.75490000000000002</v>
      </c>
      <c r="D121" s="3413">
        <f>ROUND(0.753-0.015*B116,4)</f>
        <v>0.71719999999999995</v>
      </c>
      <c r="E121" s="3413">
        <f>D121</f>
        <v>0.71719999999999995</v>
      </c>
      <c r="F121" s="3413">
        <f>E121</f>
        <v>0.71719999999999995</v>
      </c>
      <c r="G121" s="3413">
        <f>ROUND(0.6612-0.018*B116,4)</f>
        <v>0.61819999999999997</v>
      </c>
      <c r="H121" s="3413">
        <f>G121</f>
        <v>0.61819999999999997</v>
      </c>
      <c r="I121" s="3413">
        <f>ROUND(0.5905-0.019*B116,4)</f>
        <v>0.54510000000000003</v>
      </c>
      <c r="J121" s="3413">
        <f t="shared" si="35"/>
        <v>0.54510000000000003</v>
      </c>
      <c r="K121" s="3413">
        <f t="shared" si="35"/>
        <v>0.54510000000000003</v>
      </c>
      <c r="L121" s="3413">
        <f t="shared" si="35"/>
        <v>0.54510000000000003</v>
      </c>
      <c r="M121" s="3414">
        <f t="shared" si="35"/>
        <v>0.54510000000000003</v>
      </c>
      <c r="N121" s="3398"/>
    </row>
    <row r="122" spans="1:14">
      <c r="A122" s="3415" t="s">
        <v>2616</v>
      </c>
      <c r="B122" s="3388">
        <f>ROUND(0.9404-0.0106*B116,4)</f>
        <v>0.91510000000000002</v>
      </c>
      <c r="C122" s="3388">
        <f>B122</f>
        <v>0.91510000000000002</v>
      </c>
      <c r="D122" s="3388">
        <f>ROUND(0.8955-0.0135*B116,4)</f>
        <v>0.86319999999999997</v>
      </c>
      <c r="E122" s="3388">
        <f t="shared" ref="E122:H122" si="37">D122</f>
        <v>0.86319999999999997</v>
      </c>
      <c r="F122" s="3388">
        <f t="shared" si="37"/>
        <v>0.86319999999999997</v>
      </c>
      <c r="G122" s="3388">
        <f t="shared" si="37"/>
        <v>0.86319999999999997</v>
      </c>
      <c r="H122" s="3388">
        <f t="shared" si="37"/>
        <v>0.86319999999999997</v>
      </c>
      <c r="I122" s="3388">
        <f>ROUND(0.7632-0.0166*B116,4)</f>
        <v>0.72350000000000003</v>
      </c>
      <c r="J122" s="3388">
        <f t="shared" si="35"/>
        <v>0.72350000000000003</v>
      </c>
      <c r="K122" s="3388">
        <f t="shared" si="35"/>
        <v>0.72350000000000003</v>
      </c>
      <c r="L122" s="3388">
        <f t="shared" si="35"/>
        <v>0.72350000000000003</v>
      </c>
      <c r="M122" s="3411">
        <f t="shared" si="35"/>
        <v>0.72350000000000003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58"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1" t="s">
        <v>2635</v>
      </c>
      <c r="B27" s="3758" t="s">
        <v>2616</v>
      </c>
      <c r="C27" s="3103" t="s">
        <v>2456</v>
      </c>
      <c r="D27" s="3104"/>
      <c r="E27" s="3105">
        <v>1</v>
      </c>
      <c r="F27" s="3106" t="s">
        <v>2457</v>
      </c>
      <c r="G27" s="3106"/>
    </row>
    <row r="28" spans="1:13" ht="19.5" customHeight="1">
      <c r="A28" s="3762"/>
      <c r="B28" s="3759"/>
      <c r="C28" s="3107" t="s">
        <v>2458</v>
      </c>
      <c r="D28" s="3108"/>
      <c r="E28" s="3109">
        <v>1</v>
      </c>
      <c r="F28" s="3106" t="s">
        <v>2459</v>
      </c>
      <c r="G28" s="3106"/>
    </row>
    <row r="29" spans="1:13" ht="19.5" customHeight="1">
      <c r="A29" s="3762"/>
      <c r="B29" s="3759"/>
      <c r="C29" s="3107" t="s">
        <v>2460</v>
      </c>
      <c r="D29" s="3108"/>
      <c r="E29" s="3109">
        <v>0.8</v>
      </c>
      <c r="F29" s="3106" t="s">
        <v>2461</v>
      </c>
      <c r="G29" s="3106"/>
    </row>
    <row r="30" spans="1:13" ht="19.5" customHeight="1">
      <c r="A30" s="3762"/>
      <c r="B30" s="3759"/>
      <c r="C30" s="3107" t="s">
        <v>2462</v>
      </c>
      <c r="D30" s="3108"/>
      <c r="E30" s="3109">
        <v>0.8</v>
      </c>
      <c r="F30" s="3106" t="s">
        <v>2463</v>
      </c>
      <c r="G30" s="3106"/>
    </row>
    <row r="31" spans="1:13" ht="19.5" customHeight="1">
      <c r="A31" s="3762"/>
      <c r="B31" s="3759"/>
      <c r="C31" s="3107" t="s">
        <v>2464</v>
      </c>
      <c r="D31" s="3108"/>
      <c r="E31" s="3109">
        <v>0.8</v>
      </c>
      <c r="F31" s="3106" t="s">
        <v>2465</v>
      </c>
      <c r="G31" s="3106"/>
    </row>
    <row r="32" spans="1:13" ht="19.5" customHeight="1">
      <c r="A32" s="3762"/>
      <c r="B32" s="3759"/>
      <c r="C32" s="3107" t="s">
        <v>2466</v>
      </c>
      <c r="D32" s="3108"/>
      <c r="E32" s="3109">
        <v>0.7</v>
      </c>
      <c r="F32" s="3106" t="s">
        <v>2467</v>
      </c>
      <c r="G32" s="3106"/>
    </row>
    <row r="33" spans="1:7" ht="19.5" customHeight="1">
      <c r="A33" s="3762"/>
      <c r="B33" s="3759"/>
      <c r="C33" s="3107" t="s">
        <v>2468</v>
      </c>
      <c r="D33" s="3108"/>
      <c r="E33" s="3109">
        <v>0.8</v>
      </c>
      <c r="F33" s="3106" t="s">
        <v>2469</v>
      </c>
      <c r="G33" s="3106"/>
    </row>
    <row r="34" spans="1:7" ht="19.5" customHeight="1">
      <c r="A34" s="3762"/>
      <c r="B34" s="3759"/>
      <c r="C34" s="3107" t="s">
        <v>2470</v>
      </c>
      <c r="D34" s="3108"/>
      <c r="E34" s="3109">
        <v>0.6</v>
      </c>
      <c r="F34" s="3106" t="s">
        <v>2471</v>
      </c>
      <c r="G34" s="3106"/>
    </row>
    <row r="35" spans="1:7" ht="19.5" customHeight="1">
      <c r="A35" s="3762"/>
      <c r="B35" s="3759"/>
      <c r="C35" s="3107" t="s">
        <v>2472</v>
      </c>
      <c r="D35" s="3108"/>
      <c r="E35" s="3109">
        <v>0.2</v>
      </c>
      <c r="F35" s="3106" t="s">
        <v>2473</v>
      </c>
      <c r="G35" s="3106"/>
    </row>
    <row r="36" spans="1:7" ht="19.5" customHeight="1">
      <c r="A36" s="3762"/>
      <c r="B36" s="3759"/>
      <c r="C36" s="3107" t="s">
        <v>2474</v>
      </c>
      <c r="D36" s="3108"/>
      <c r="E36" s="3109">
        <v>0.2</v>
      </c>
      <c r="F36" s="3106" t="s">
        <v>2475</v>
      </c>
      <c r="G36" s="3106"/>
    </row>
    <row r="37" spans="1:7" ht="19.5" customHeight="1">
      <c r="A37" s="3762"/>
      <c r="B37" s="3764" t="s">
        <v>2636</v>
      </c>
      <c r="C37" s="3107" t="s">
        <v>2476</v>
      </c>
      <c r="D37" s="3108"/>
      <c r="E37" s="3109">
        <v>0.6</v>
      </c>
      <c r="F37" s="3106" t="s">
        <v>2477</v>
      </c>
      <c r="G37" s="3106"/>
    </row>
    <row r="38" spans="1:7" ht="19.5" customHeight="1">
      <c r="A38" s="3762"/>
      <c r="B38" s="3759"/>
      <c r="C38" s="3107" t="s">
        <v>2478</v>
      </c>
      <c r="D38" s="3108"/>
      <c r="E38" s="3109">
        <v>0.6</v>
      </c>
      <c r="F38" s="3106" t="s">
        <v>2479</v>
      </c>
      <c r="G38" s="3106"/>
    </row>
    <row r="39" spans="1:7" ht="19.5" customHeight="1" thickBot="1">
      <c r="A39" s="3763"/>
      <c r="B39" s="376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58"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6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64"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68"/>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68"/>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68"/>
      <c r="C112" s="3118" t="s">
        <v>2736</v>
      </c>
      <c r="D112" s="3092" t="s">
        <v>2737</v>
      </c>
      <c r="E112" s="3118">
        <v>0.1</v>
      </c>
      <c r="F112" s="3118">
        <v>15</v>
      </c>
    </row>
    <row r="113" spans="1:6" ht="13.5">
      <c r="A113" s="3118">
        <v>41</v>
      </c>
      <c r="B113" s="3769" t="s">
        <v>2738</v>
      </c>
      <c r="C113" s="3118" t="s">
        <v>2739</v>
      </c>
      <c r="D113" s="3092" t="s">
        <v>2740</v>
      </c>
      <c r="E113" s="3118">
        <v>0.1</v>
      </c>
      <c r="F113" s="3118">
        <v>15</v>
      </c>
    </row>
    <row r="114" spans="1:6" ht="13.5">
      <c r="A114" s="3118">
        <v>42</v>
      </c>
      <c r="B114" s="3769"/>
      <c r="C114" s="3118" t="s">
        <v>2741</v>
      </c>
      <c r="D114" s="3092" t="s">
        <v>2742</v>
      </c>
      <c r="E114" s="3118">
        <v>0.1</v>
      </c>
      <c r="F114" s="3118">
        <v>15</v>
      </c>
    </row>
    <row r="115" spans="1:6" ht="24">
      <c r="A115" s="3118">
        <v>43</v>
      </c>
      <c r="B115" s="3769"/>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8"/>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8"/>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8"/>
      <c r="C121" s="3118" t="s">
        <v>2758</v>
      </c>
      <c r="D121" s="3092" t="s">
        <v>2759</v>
      </c>
      <c r="E121" s="3118">
        <v>0.1</v>
      </c>
      <c r="F121" s="3118">
        <v>15</v>
      </c>
    </row>
    <row r="122" spans="1:6" ht="24">
      <c r="A122" s="3118">
        <v>50</v>
      </c>
      <c r="B122" s="3769" t="s">
        <v>2760</v>
      </c>
      <c r="C122" s="3118" t="s">
        <v>2761</v>
      </c>
      <c r="D122" s="3092" t="s">
        <v>2762</v>
      </c>
      <c r="E122" s="3118">
        <v>0.1</v>
      </c>
      <c r="F122" s="3118">
        <v>15</v>
      </c>
    </row>
    <row r="123" spans="1:6" ht="24">
      <c r="A123" s="3118">
        <v>51</v>
      </c>
      <c r="B123" s="3769"/>
      <c r="C123" s="3118" t="s">
        <v>2763</v>
      </c>
      <c r="D123" s="3092" t="s">
        <v>2764</v>
      </c>
      <c r="E123" s="3118">
        <v>0.1</v>
      </c>
      <c r="F123" s="3118">
        <v>15</v>
      </c>
    </row>
    <row r="124" spans="1:6" ht="24">
      <c r="A124" s="3118">
        <v>52</v>
      </c>
      <c r="B124" s="3769" t="s">
        <v>2765</v>
      </c>
      <c r="C124" s="3118" t="s">
        <v>2766</v>
      </c>
      <c r="D124" s="3092" t="s">
        <v>2767</v>
      </c>
      <c r="E124" s="3118">
        <v>0.1</v>
      </c>
      <c r="F124" s="3118">
        <v>15</v>
      </c>
    </row>
    <row r="125" spans="1:6" ht="24">
      <c r="A125" s="3118">
        <v>53</v>
      </c>
      <c r="B125" s="376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9" t="s">
        <v>2773</v>
      </c>
      <c r="C127" s="3118" t="s">
        <v>2774</v>
      </c>
      <c r="D127" s="3092" t="s">
        <v>2775</v>
      </c>
      <c r="E127" s="3118">
        <v>0.1</v>
      </c>
      <c r="F127" s="3118">
        <v>15</v>
      </c>
    </row>
    <row r="128" spans="1:6" ht="13.5">
      <c r="A128" s="3118">
        <v>56</v>
      </c>
      <c r="B128" s="3769"/>
      <c r="C128" s="3118" t="s">
        <v>2776</v>
      </c>
      <c r="D128" s="3092" t="s">
        <v>2777</v>
      </c>
      <c r="E128" s="3118">
        <v>0.1</v>
      </c>
      <c r="F128" s="3118">
        <v>15</v>
      </c>
    </row>
    <row r="129" spans="1:6" ht="24">
      <c r="A129" s="3118">
        <v>57</v>
      </c>
      <c r="B129" s="3769"/>
      <c r="C129" s="3118" t="s">
        <v>2778</v>
      </c>
      <c r="D129" s="3092" t="s">
        <v>2779</v>
      </c>
      <c r="E129" s="3118">
        <v>0.1</v>
      </c>
      <c r="F129" s="3118">
        <v>15</v>
      </c>
    </row>
    <row r="130" spans="1:6" ht="24">
      <c r="A130" s="3118">
        <v>58</v>
      </c>
      <c r="B130" s="3769" t="s">
        <v>2780</v>
      </c>
      <c r="C130" s="3118" t="s">
        <v>2781</v>
      </c>
      <c r="D130" s="3092" t="s">
        <v>2782</v>
      </c>
      <c r="E130" s="3118">
        <v>0.1</v>
      </c>
      <c r="F130" s="3118">
        <v>15</v>
      </c>
    </row>
    <row r="131" spans="1:6" ht="13.5">
      <c r="A131" s="3118">
        <v>59</v>
      </c>
      <c r="B131" s="3769"/>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9" t="s">
        <v>2793</v>
      </c>
      <c r="C135" s="3118" t="s">
        <v>2794</v>
      </c>
      <c r="D135" s="3092" t="s">
        <v>2795</v>
      </c>
      <c r="E135" s="3118">
        <v>0.1</v>
      </c>
      <c r="F135" s="3118">
        <v>15</v>
      </c>
    </row>
    <row r="136" spans="1:6" ht="13.5">
      <c r="A136" s="3118">
        <v>64</v>
      </c>
      <c r="B136" s="376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27380</v>
      </c>
      <c r="C2" s="2" t="s">
        <v>106</v>
      </c>
      <c r="D2" s="199"/>
      <c r="E2" s="199"/>
      <c r="F2" s="199"/>
      <c r="G2" s="199"/>
    </row>
    <row r="3" spans="1:7" s="200" customFormat="1" ht="18" customHeight="1" thickBot="1">
      <c r="A3" s="203" t="s">
        <v>58</v>
      </c>
      <c r="B3" s="204">
        <f ca="1">ROUND(B2*10000/'数据-汇总表'!E3,0)</f>
        <v>55823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98</v>
      </c>
      <c r="D10" s="845">
        <f>'数据-汇总表'!E6</f>
        <v>4904.8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98</v>
      </c>
      <c r="D19" s="849">
        <f>'数据-汇总表'!E3</f>
        <v>4904.8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721</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2112</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2112</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1717</v>
      </c>
      <c r="D34" s="217"/>
      <c r="E34" s="220"/>
      <c r="F34" s="257">
        <f>IF('数据-取费表'!B24=0,1,'数据-取费表'!N16)</f>
        <v>1</v>
      </c>
      <c r="G34" s="219" t="s">
        <v>89</v>
      </c>
    </row>
    <row r="35" spans="1:7" ht="13.5" customHeight="1">
      <c r="A35" s="780" t="s">
        <v>351</v>
      </c>
      <c r="B35" s="215" t="s">
        <v>33</v>
      </c>
      <c r="C35" s="220">
        <f>ROUND(C34*F35,0)</f>
        <v>52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98</v>
      </c>
      <c r="D37" s="217">
        <f>'数据-汇总表'!E3</f>
        <v>4904.8</v>
      </c>
      <c r="E37" s="249">
        <f>'数据-取费表'!B35</f>
        <v>200</v>
      </c>
      <c r="F37" s="259"/>
      <c r="G37" s="261" t="s">
        <v>92</v>
      </c>
    </row>
    <row r="38" spans="1:7" ht="13.5" customHeight="1">
      <c r="A38" s="780" t="s">
        <v>354</v>
      </c>
      <c r="B38" s="215" t="s">
        <v>36</v>
      </c>
      <c r="C38" s="220">
        <f>ROUND(C34*F38,0)</f>
        <v>26</v>
      </c>
      <c r="D38" s="220"/>
      <c r="E38" s="220"/>
      <c r="F38" s="259">
        <f>'数据-取费表'!B36</f>
        <v>1.4999999999999999E-2</v>
      </c>
      <c r="G38" s="219" t="s">
        <v>90</v>
      </c>
    </row>
    <row r="39" spans="1:7" s="214" customFormat="1" ht="13.5" customHeight="1">
      <c r="A39" s="777" t="s">
        <v>338</v>
      </c>
      <c r="B39" s="210" t="s">
        <v>77</v>
      </c>
      <c r="C39" s="232">
        <f>ROUND(C33*F20,0)</f>
        <v>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33</v>
      </c>
      <c r="D42" s="238"/>
      <c r="E42" s="238"/>
      <c r="F42" s="239"/>
      <c r="G42" s="3634" t="s">
        <v>94</v>
      </c>
    </row>
    <row r="43" spans="1:7" ht="13.5" customHeight="1">
      <c r="A43" s="780" t="s">
        <v>347</v>
      </c>
      <c r="B43" s="215" t="s">
        <v>426</v>
      </c>
      <c r="C43" s="238">
        <f ca="1">ROUND(IF('数据-取费表'!B22&lt;=1,C39*F22*'数据-取费表'!B21/2,C39*(POWER((1+F22),'数据-取费表'!B21/2)-1)),0)</f>
        <v>1</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193</v>
      </c>
      <c r="D45" s="235">
        <f>C47</f>
        <v>2E-3</v>
      </c>
      <c r="E45" s="236" t="s">
        <v>102</v>
      </c>
      <c r="F45" s="246"/>
      <c r="G45" s="247" t="s">
        <v>434</v>
      </c>
    </row>
    <row r="46" spans="1:7" s="214" customFormat="1" ht="13.5" customHeight="1">
      <c r="A46" s="780" t="s">
        <v>349</v>
      </c>
      <c r="B46" s="248" t="s">
        <v>427</v>
      </c>
      <c r="C46" s="249">
        <f>ROUND((C33+C39)*F27,0)</f>
        <v>193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2332</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1492</v>
      </c>
      <c r="D51" s="232"/>
      <c r="E51" s="232"/>
      <c r="F51" s="264"/>
      <c r="G51" s="234" t="s">
        <v>37</v>
      </c>
    </row>
    <row r="52" spans="1:7" s="208" customFormat="1" ht="16.5" thickBot="1">
      <c r="A52" s="265" t="s">
        <v>38</v>
      </c>
      <c r="B52" s="266"/>
      <c r="C52" s="267">
        <f ca="1">C31+C51</f>
        <v>27380</v>
      </c>
      <c r="D52" s="266"/>
      <c r="E52" s="266"/>
      <c r="F52" s="266"/>
      <c r="G52" s="268"/>
    </row>
    <row r="55" spans="1:7" ht="15">
      <c r="B55" s="270" t="s">
        <v>39</v>
      </c>
      <c r="C55" s="271"/>
    </row>
    <row r="56" spans="1:7">
      <c r="B56" s="273" t="s">
        <v>40</v>
      </c>
      <c r="C56" s="274">
        <f ca="1">ROUND(C51/C52,3)</f>
        <v>5.3999999999999999E-2</v>
      </c>
    </row>
    <row r="57" spans="1:7">
      <c r="B57" s="273" t="s">
        <v>41</v>
      </c>
      <c r="C57" s="275">
        <f ca="1">1-C56</f>
        <v>0.94599999999999995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7034</v>
      </c>
      <c r="E5" s="1491"/>
    </row>
    <row r="6" spans="1:5" ht="15.75">
      <c r="A6" s="1491"/>
      <c r="B6" s="3453"/>
      <c r="C6" s="1494" t="s">
        <v>911</v>
      </c>
      <c r="D6" s="850" t="str">
        <f ca="1">NUMBERSTRING(INT(D5*10000),2)&amp;"元整"</f>
        <v>柒仟零叁拾肆万元整</v>
      </c>
      <c r="E6" s="1491"/>
    </row>
    <row r="7" spans="1:5" ht="15.75">
      <c r="A7" s="1491"/>
      <c r="B7" s="3458"/>
      <c r="C7" s="1495" t="s">
        <v>912</v>
      </c>
      <c r="D7" s="851">
        <f ca="1">结果表!H102</f>
        <v>14341</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7034</v>
      </c>
      <c r="E13" s="1491"/>
    </row>
    <row r="14" spans="1:5" ht="15.75">
      <c r="A14" s="1491"/>
      <c r="B14" s="3453"/>
      <c r="C14" s="1494" t="s">
        <v>911</v>
      </c>
      <c r="D14" s="850" t="str">
        <f ca="1">NUMBERSTRING(INT(D13*10000),2)&amp;"元整"</f>
        <v>柒仟零叁拾肆万元整</v>
      </c>
      <c r="E14" s="1491"/>
    </row>
    <row r="15" spans="1:5" ht="15">
      <c r="A15" s="1491"/>
      <c r="B15" s="3458"/>
      <c r="C15" s="1495" t="s">
        <v>921</v>
      </c>
      <c r="D15" s="859">
        <f ca="1">结果表!H108</f>
        <v>14341</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2843</v>
      </c>
      <c r="B1" s="3772"/>
      <c r="C1" s="3772"/>
      <c r="D1" s="3772"/>
      <c r="E1" s="3772"/>
      <c r="F1" s="3772"/>
      <c r="G1" s="3773"/>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0"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1"/>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3185</v>
      </c>
      <c r="B1" s="3774"/>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3236</v>
      </c>
      <c r="B1" s="3775"/>
      <c r="C1" s="3775"/>
      <c r="D1" s="3775"/>
      <c r="E1" s="3775"/>
      <c r="F1" s="3776"/>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45300</v>
      </c>
      <c r="B1" s="3210" t="s">
        <v>3375</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7" t="s">
        <v>2831</v>
      </c>
      <c r="S23" s="3778"/>
      <c r="T23" s="3778"/>
      <c r="U23" s="3778"/>
      <c r="V23" s="3778"/>
      <c r="W23" s="3778"/>
      <c r="X23" s="3165"/>
      <c r="Y23" s="3777" t="s">
        <v>2832</v>
      </c>
      <c r="Z23" s="3778"/>
      <c r="AA23" s="3778"/>
      <c r="AB23" s="3778"/>
      <c r="AC23" s="3778"/>
      <c r="AD23" s="3778"/>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4904.8</v>
      </c>
      <c r="C4" s="854">
        <f>项目基本情况!C18</f>
        <v>2054.0100000000002</v>
      </c>
      <c r="D4" s="854">
        <f ca="1">结果表!D118</f>
        <v>5001</v>
      </c>
      <c r="E4" s="854">
        <f ca="1">结果表!E118</f>
        <v>10196</v>
      </c>
      <c r="F4" s="854">
        <f ca="1">结果表!F118</f>
        <v>2033</v>
      </c>
      <c r="G4" s="854">
        <f ca="1">结果表!G118</f>
        <v>4145</v>
      </c>
      <c r="H4" s="854">
        <f ca="1">结果表!H118</f>
        <v>7034</v>
      </c>
      <c r="I4" s="854">
        <f ca="1">结果表!I118</f>
        <v>14341</v>
      </c>
    </row>
    <row r="5" spans="1:9" ht="30" customHeight="1">
      <c r="A5" s="3464" t="s">
        <v>927</v>
      </c>
      <c r="B5" s="3464"/>
      <c r="C5" s="3464"/>
      <c r="D5" s="3464" t="str">
        <f ca="1">结果表!D119</f>
        <v>伍仟零壹万元整</v>
      </c>
      <c r="E5" s="3464"/>
      <c r="F5" s="3464" t="str">
        <f ca="1">结果表!F119</f>
        <v>贰仟零叁拾叁万元整</v>
      </c>
      <c r="G5" s="3464"/>
      <c r="H5" s="3464" t="str">
        <f ca="1">结果表!H119</f>
        <v>柒仟零叁拾肆万元整</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f ca="1">结果表!D122</f>
        <v>7034</v>
      </c>
      <c r="E8" s="3465"/>
      <c r="F8" s="3465"/>
      <c r="G8" s="3465"/>
      <c r="H8" s="3465"/>
      <c r="I8" s="3465"/>
    </row>
    <row r="9" spans="1:9" ht="15">
      <c r="A9" s="3464" t="s">
        <v>927</v>
      </c>
      <c r="B9" s="3464"/>
      <c r="C9" s="3464"/>
      <c r="D9" s="3464" t="str">
        <f ca="1">结果表!D123</f>
        <v>柒仟零叁拾肆万元整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2024-01-09T07:04:51Z</dcterms:modified>
</cp:coreProperties>
</file>