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'比较法-住宅、综合'!$A$1:$J$50</definedName>
    <definedName name="_xlnm.Print_Area" localSheetId="29">'不动产比较法-住宅'!$A$1:$J$49</definedName>
    <definedName name="_xlnm.Print_Area" localSheetId="30">不动产收益法!$A$1:$F$43</definedName>
    <definedName name="_xlnm.Print_Area" localSheetId="16">结果表!$A$1:$I$60</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G37" i="21"/>
  <c r="I37" i="21"/>
  <c r="E37" i="21"/>
  <c r="H22" i="68" l="1"/>
  <c r="I48" i="39" l="1"/>
  <c r="G48" i="39"/>
  <c r="E48" i="39"/>
  <c r="F20" i="6" l="1"/>
  <c r="F19" i="6"/>
  <c r="I13" i="3"/>
  <c r="K14" i="3"/>
  <c r="I9" i="39" l="1"/>
  <c r="G9" i="39"/>
  <c r="E9" i="39"/>
  <c r="F21" i="6" l="1"/>
  <c r="G20" i="6"/>
  <c r="G27" i="21" l="1"/>
  <c r="K21" i="21" l="1"/>
  <c r="K19" i="21"/>
  <c r="K17" i="21"/>
  <c r="K15" i="21"/>
  <c r="C27" i="21"/>
  <c r="R47" i="21"/>
  <c r="G7" i="21"/>
  <c r="I7" i="21" s="1"/>
  <c r="I40" i="39" l="1"/>
  <c r="G40" i="39"/>
  <c r="E40" i="39"/>
  <c r="C40" i="39"/>
  <c r="I7" i="39"/>
  <c r="G7" i="39"/>
  <c r="E7" i="39"/>
  <c r="B35" i="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B13" i="67"/>
  <c r="B11" i="67"/>
  <c r="B9" i="67"/>
  <c r="B8" i="67"/>
  <c r="E9" i="67"/>
  <c r="F8" i="67"/>
  <c r="E8" i="67"/>
  <c r="E13" i="67"/>
  <c r="B12" i="67"/>
  <c r="F13" i="67"/>
  <c r="B14" i="67"/>
  <c r="E14" i="67"/>
  <c r="E11" i="67"/>
  <c r="F11" i="67"/>
  <c r="F14" i="67"/>
  <c r="F10" i="67"/>
  <c r="E12" i="67"/>
  <c r="B10" i="67"/>
  <c r="F12" i="67"/>
  <c r="F9"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6" i="65"/>
  <c r="I7" i="65"/>
  <c r="N4" i="65"/>
  <c r="I3" i="65"/>
  <c r="I4" i="65"/>
  <c r="N3" i="65"/>
  <c r="N5" i="65"/>
  <c r="J6" i="65"/>
  <c r="J3" i="65"/>
  <c r="E20" i="46" l="1"/>
  <c r="J1" i="65"/>
  <c r="C4" i="65"/>
  <c r="B39" i="1" s="1"/>
  <c r="I6" i="65"/>
  <c r="I5" i="65"/>
  <c r="J5" i="65"/>
  <c r="J7" i="65"/>
  <c r="J4" i="65"/>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X10" i="59" s="1"/>
  <c r="Q9" i="59"/>
  <c r="P9" i="59"/>
  <c r="AA9" i="59" s="1"/>
  <c r="O9" i="59"/>
  <c r="N9" i="59"/>
  <c r="D9" i="59"/>
  <c r="B10" i="59" l="1"/>
  <c r="X9" i="59"/>
  <c r="AA10" i="59"/>
  <c r="X11" i="59"/>
  <c r="AA11" i="59"/>
  <c r="X12" i="59"/>
  <c r="AA12" i="59"/>
  <c r="C14" i="59"/>
  <c r="Y13" i="59"/>
  <c r="Z13" i="59" s="1"/>
  <c r="F14" i="59"/>
  <c r="AB13" i="59"/>
  <c r="AB14" i="59"/>
  <c r="Y15" i="59"/>
  <c r="Z15" i="59" s="1"/>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W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H44" i="21" s="1"/>
  <c r="B98" i="21"/>
  <c r="B96" i="21"/>
  <c r="F30" i="21" s="1"/>
  <c r="S30" i="21" s="1"/>
  <c r="B94" i="21"/>
  <c r="B92" i="21"/>
  <c r="F28" i="21" s="1"/>
  <c r="AA28" i="21" s="1"/>
  <c r="B90" i="21"/>
  <c r="J27" i="21" s="1"/>
  <c r="W27" i="21" s="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U26" i="36"/>
  <c r="J33" i="36"/>
  <c r="W33" i="36" s="1"/>
  <c r="U31"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AC40" i="21"/>
  <c r="U36" i="39"/>
  <c r="S42" i="39"/>
  <c r="H32" i="33"/>
  <c r="AB32" i="33" s="1"/>
  <c r="F86" i="40"/>
  <c r="AA12" i="33"/>
  <c r="J27" i="36"/>
  <c r="W27" i="36" s="1"/>
  <c r="J34" i="36"/>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W40" i="33"/>
  <c r="G86" i="40"/>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4" i="34"/>
  <c r="AC44" i="34" s="1"/>
  <c r="F44" i="34"/>
  <c r="S44" i="34" s="1"/>
  <c r="J10" i="35"/>
  <c r="W10" i="35" s="1"/>
  <c r="AL5" i="3"/>
  <c r="BQ13" i="3"/>
  <c r="BL13" i="3" s="1"/>
  <c r="F14" i="21"/>
  <c r="AA14" i="21" s="1"/>
  <c r="J28" i="21"/>
  <c r="AC28" i="21" s="1"/>
  <c r="J44" i="21"/>
  <c r="AC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AB28" i="36"/>
  <c r="AB31" i="21"/>
  <c r="AB13" i="21"/>
  <c r="S46" i="33"/>
  <c r="U36" i="37"/>
  <c r="AC13" i="36"/>
  <c r="AB31"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S39" i="33"/>
  <c r="F43" i="33"/>
  <c r="AA43" i="33" s="1"/>
  <c r="AA23" i="37"/>
  <c r="AB44" i="33"/>
  <c r="G107" i="37"/>
  <c r="H107" i="37" s="1"/>
  <c r="I107" i="37" s="1"/>
  <c r="J107" i="37" s="1"/>
  <c r="K107" i="37" s="1"/>
  <c r="L107" i="37" s="1"/>
  <c r="M107" i="37" s="1"/>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488" i="3"/>
  <c r="AZ508"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19" i="39"/>
  <c r="U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F38" i="40"/>
  <c r="AA38" i="40" s="1"/>
  <c r="AA36" i="34"/>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AB20" i="35" s="1"/>
  <c r="F20" i="35"/>
  <c r="S20" i="35" s="1"/>
  <c r="H15" i="34"/>
  <c r="AB15" i="34" s="1"/>
  <c r="F78" i="34"/>
  <c r="G78" i="34"/>
  <c r="J15" i="34"/>
  <c r="H41" i="33"/>
  <c r="U41" i="33" s="1"/>
  <c r="F30" i="40"/>
  <c r="AA3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W34" i="40"/>
  <c r="AB42" i="40"/>
  <c r="AC16" i="40"/>
  <c r="H25" i="40"/>
  <c r="AB25" i="40" s="1"/>
  <c r="U47" i="39"/>
  <c r="W15" i="39"/>
  <c r="J37" i="34"/>
  <c r="AC37" i="34" s="1"/>
  <c r="J36" i="33"/>
  <c r="W36" i="33" s="1"/>
  <c r="S41" i="40"/>
  <c r="AB23" i="40"/>
  <c r="H23" i="39"/>
  <c r="AB23" i="39" s="1"/>
  <c r="F97" i="39"/>
  <c r="G97" i="39" s="1"/>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AC15" i="34"/>
  <c r="U20" i="35"/>
  <c r="W23" i="40"/>
  <c r="D73" i="9"/>
  <c r="N73" i="9" s="1"/>
  <c r="AP11" i="1"/>
  <c r="J51" i="15"/>
  <c r="B11" i="1"/>
  <c r="E11" i="1" s="1"/>
  <c r="K11" i="1"/>
  <c r="M11" i="1" s="1"/>
  <c r="B9" i="1"/>
  <c r="E9" i="1" s="1"/>
  <c r="K9" i="1"/>
  <c r="M9" i="1" s="1"/>
  <c r="B7" i="1"/>
  <c r="E7" i="1" s="1"/>
  <c r="K7" i="1"/>
  <c r="AH7" i="1" s="1"/>
  <c r="C20" i="43"/>
  <c r="E2" i="65"/>
  <c r="F23" i="39" l="1"/>
  <c r="AA23" i="39" s="1"/>
  <c r="S28" i="21"/>
  <c r="U17" i="21"/>
  <c r="M8" i="1"/>
  <c r="O8" i="1" s="1"/>
  <c r="P8" i="1" s="1"/>
  <c r="S40" i="39"/>
  <c r="J19" i="39"/>
  <c r="W19" i="39" s="1"/>
  <c r="F19" i="39"/>
  <c r="S19" i="39" s="1"/>
  <c r="J17" i="21"/>
  <c r="AC17" i="21" s="1"/>
  <c r="F17" i="21"/>
  <c r="S17" i="21" s="1"/>
  <c r="AB9" i="33"/>
  <c r="U9" i="33"/>
  <c r="AZ484" i="3"/>
  <c r="AA12" i="35"/>
  <c r="S12" i="35"/>
  <c r="J30" i="40"/>
  <c r="AC30" i="40" s="1"/>
  <c r="H100" i="40"/>
  <c r="I100" i="40" s="1"/>
  <c r="J100" i="40" s="1"/>
  <c r="K100" i="40" s="1"/>
  <c r="L100" i="40" s="1"/>
  <c r="M100" i="40" s="1"/>
  <c r="S17" i="34"/>
  <c r="S16" i="39"/>
  <c r="J23" i="39"/>
  <c r="AC23" i="39" s="1"/>
  <c r="W32" i="40"/>
  <c r="AB34" i="40"/>
  <c r="U16" i="40"/>
  <c r="U41" i="40"/>
  <c r="AC47" i="39"/>
  <c r="F71" i="9"/>
  <c r="W40" i="40"/>
  <c r="AB15" i="37"/>
  <c r="U12" i="37"/>
  <c r="S10" i="35"/>
  <c r="AB43" i="33"/>
  <c r="AZ559" i="3"/>
  <c r="AC31" i="34"/>
  <c r="W31" i="34"/>
  <c r="F44" i="21"/>
  <c r="AA44" i="21" s="1"/>
  <c r="H28" i="21"/>
  <c r="J28" i="34"/>
  <c r="W34" i="36"/>
  <c r="AC34" i="36"/>
  <c r="C23" i="39"/>
  <c r="J19" i="21"/>
  <c r="W19" i="21" s="1"/>
  <c r="G572" i="3"/>
  <c r="H5" i="3"/>
  <c r="BL572" i="3"/>
  <c r="AZ572" i="3" s="1"/>
  <c r="AA33" i="33"/>
  <c r="S33" i="33"/>
  <c r="AB38" i="33"/>
  <c r="U38" i="33"/>
  <c r="H27" i="33"/>
  <c r="F27" i="33"/>
  <c r="AA34" i="35"/>
  <c r="S34" i="35"/>
  <c r="H36" i="35"/>
  <c r="J36" i="35"/>
  <c r="W27" i="35"/>
  <c r="AC27" i="35"/>
  <c r="U8" i="36"/>
  <c r="AB8" i="36"/>
  <c r="W35" i="21"/>
  <c r="AC35" i="21"/>
  <c r="F12" i="21"/>
  <c r="J12" i="21"/>
  <c r="J14" i="21"/>
  <c r="H14" i="21"/>
  <c r="H30" i="21"/>
  <c r="U30" i="21" s="1"/>
  <c r="J30" i="21"/>
  <c r="U44" i="21"/>
  <c r="AB44" i="21"/>
  <c r="H46" i="21"/>
  <c r="F46" i="21"/>
  <c r="F81" i="21"/>
  <c r="G81" i="21" s="1"/>
  <c r="H19" i="21"/>
  <c r="AB19" i="21" s="1"/>
  <c r="H113" i="21"/>
  <c r="F37" i="21"/>
  <c r="S37" i="21" s="1"/>
  <c r="J9" i="33"/>
  <c r="F9" i="33"/>
  <c r="AA9" i="33" s="1"/>
  <c r="S28" i="34"/>
  <c r="AA28" i="34"/>
  <c r="U40" i="34"/>
  <c r="AB40" i="34"/>
  <c r="AC43" i="34"/>
  <c r="W43" i="34"/>
  <c r="H45" i="33"/>
  <c r="J45" i="33"/>
  <c r="H12" i="35"/>
  <c r="J12" i="35"/>
  <c r="AC24" i="35"/>
  <c r="W24" i="35"/>
  <c r="J35" i="35"/>
  <c r="H35" i="35"/>
  <c r="AC22" i="36"/>
  <c r="W22" i="36"/>
  <c r="W31" i="36"/>
  <c r="AC31" i="36"/>
  <c r="A14" i="55"/>
  <c r="B65" i="63" s="1"/>
  <c r="F9" i="1"/>
  <c r="AP9" i="1" s="1"/>
  <c r="BI5" i="3"/>
  <c r="BE5" i="3"/>
  <c r="F26" i="37"/>
  <c r="AA26" i="37" s="1"/>
  <c r="C92" i="9"/>
  <c r="C18" i="9"/>
  <c r="D18" i="9" s="1"/>
  <c r="M44" i="9" s="1"/>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56" i="3"/>
  <c r="AZ159" i="3"/>
  <c r="AZ172" i="3"/>
  <c r="AZ175" i="3"/>
  <c r="AZ202" i="3"/>
  <c r="AZ28" i="3"/>
  <c r="AZ34" i="3"/>
  <c r="AZ37" i="3"/>
  <c r="AZ44" i="3"/>
  <c r="AZ50" i="3"/>
  <c r="AZ53" i="3"/>
  <c r="AZ60" i="3"/>
  <c r="BA21" i="3"/>
  <c r="AZ21" i="3" s="1"/>
  <c r="AZ68" i="3"/>
  <c r="AZ72" i="3"/>
  <c r="AZ75" i="3"/>
  <c r="AZ81" i="3"/>
  <c r="AZ85" i="3"/>
  <c r="AZ88" i="3"/>
  <c r="AZ95" i="3"/>
  <c r="AZ101" i="3"/>
  <c r="AZ104" i="3"/>
  <c r="AZ111" i="3"/>
  <c r="I21" i="57"/>
  <c r="D1" i="57"/>
  <c r="E10" i="57" s="1"/>
  <c r="M7" i="1"/>
  <c r="O7" i="1" s="1"/>
  <c r="P7" i="1" s="1"/>
  <c r="F8" i="1"/>
  <c r="AP8" i="1" s="1"/>
  <c r="S45" i="21"/>
  <c r="AB12" i="21"/>
  <c r="S10" i="21"/>
  <c r="G123" i="21"/>
  <c r="H123" i="21" s="1"/>
  <c r="I123" i="21" s="1"/>
  <c r="J123" i="21" s="1"/>
  <c r="K123" i="21" s="1"/>
  <c r="L123" i="21" s="1"/>
  <c r="M123" i="21" s="1"/>
  <c r="H42" i="21"/>
  <c r="F42" i="21"/>
  <c r="AA42" i="21" s="1"/>
  <c r="W42" i="21"/>
  <c r="AA38" i="21"/>
  <c r="U38" i="21"/>
  <c r="U39" i="21"/>
  <c r="AA36" i="21"/>
  <c r="AB30" i="21"/>
  <c r="U19" i="21"/>
  <c r="S19" i="21"/>
  <c r="W9" i="21"/>
  <c r="U9" i="21"/>
  <c r="W14" i="39"/>
  <c r="AB36" i="21"/>
  <c r="A30" i="51"/>
  <c r="A30" i="64"/>
  <c r="F91" i="39"/>
  <c r="G91" i="39" s="1"/>
  <c r="H17" i="39"/>
  <c r="U17" i="39" s="1"/>
  <c r="F17" i="39"/>
  <c r="AA17" i="39" s="1"/>
  <c r="J17" i="39"/>
  <c r="W17" i="39" s="1"/>
  <c r="U34" i="39"/>
  <c r="AB29" i="39"/>
  <c r="U27" i="39"/>
  <c r="AB25" i="39"/>
  <c r="AB19" i="39"/>
  <c r="U40" i="39"/>
  <c r="S23" i="39"/>
  <c r="AA19"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F77" i="21"/>
  <c r="G77" i="21" s="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3" i="15"/>
  <c r="M25" i="44"/>
  <c r="L49" i="44"/>
  <c r="M26" i="15"/>
  <c r="L48" i="44"/>
  <c r="M30" i="44"/>
  <c r="M29" i="44"/>
  <c r="F6" i="15"/>
  <c r="J17" i="44"/>
  <c r="M31" i="44"/>
  <c r="F40" i="44"/>
  <c r="F11" i="44"/>
  <c r="J36" i="15"/>
  <c r="F26" i="15"/>
  <c r="F38" i="44"/>
  <c r="M26" i="44"/>
  <c r="F8" i="44"/>
  <c r="M8" i="44"/>
  <c r="F43" i="15"/>
  <c r="F10" i="44"/>
  <c r="M28" i="44"/>
  <c r="F43" i="44"/>
  <c r="J15" i="15"/>
  <c r="M24" i="44"/>
  <c r="F8" i="15"/>
  <c r="M11" i="44"/>
  <c r="M24" i="15"/>
  <c r="F39" i="44"/>
  <c r="F9" i="44"/>
  <c r="F28" i="44"/>
  <c r="F45" i="44"/>
  <c r="F9" i="15"/>
  <c r="F37" i="15"/>
  <c r="F18" i="44"/>
  <c r="F40" i="15"/>
  <c r="M10" i="44"/>
  <c r="F16" i="15"/>
  <c r="F15" i="44"/>
  <c r="L48" i="15"/>
  <c r="F15" i="21" l="1"/>
  <c r="S15" i="21" s="1"/>
  <c r="S42" i="21"/>
  <c r="AA17" i="21"/>
  <c r="AB17" i="39"/>
  <c r="G9" i="1"/>
  <c r="AB11" i="46"/>
  <c r="AB13" i="46" s="1"/>
  <c r="AC19" i="21"/>
  <c r="W17" i="21"/>
  <c r="G8" i="1"/>
  <c r="C7" i="46"/>
  <c r="AC35" i="35"/>
  <c r="W35" i="35"/>
  <c r="U45" i="33"/>
  <c r="AB45" i="33"/>
  <c r="AC9" i="33"/>
  <c r="W9" i="33"/>
  <c r="AB46" i="21"/>
  <c r="U46" i="21"/>
  <c r="W14" i="21"/>
  <c r="AC14" i="21"/>
  <c r="S12" i="21"/>
  <c r="AA12" i="21"/>
  <c r="AB36" i="35"/>
  <c r="U36" i="35"/>
  <c r="U27" i="33"/>
  <c r="AB27" i="33"/>
  <c r="W28" i="34"/>
  <c r="AC28" i="34"/>
  <c r="E413" i="3"/>
  <c r="U35" i="35"/>
  <c r="AB35" i="35"/>
  <c r="W12" i="35"/>
  <c r="AC12" i="35"/>
  <c r="W45" i="33"/>
  <c r="AC45" i="33"/>
  <c r="AA46" i="21"/>
  <c r="S46" i="21"/>
  <c r="AC30" i="21"/>
  <c r="W30" i="21"/>
  <c r="U14" i="21"/>
  <c r="AB14" i="21"/>
  <c r="W12" i="21"/>
  <c r="AC12" i="21"/>
  <c r="AC36" i="35"/>
  <c r="W36" i="35"/>
  <c r="S27" i="33"/>
  <c r="AA27" i="33"/>
  <c r="AB28" i="21"/>
  <c r="U28" i="21"/>
  <c r="S17" i="39"/>
  <c r="AC23" i="21"/>
  <c r="AB42" i="21"/>
  <c r="U42" i="21"/>
  <c r="AC17" i="39"/>
  <c r="G6" i="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7" i="15"/>
  <c r="F70" i="15"/>
  <c r="L56" i="15"/>
  <c r="J57" i="15"/>
  <c r="J55" i="15" s="1"/>
  <c r="J58" i="15" s="1"/>
  <c r="Q51" i="15" s="1"/>
  <c r="G66" i="36"/>
  <c r="J18" i="36"/>
  <c r="AE8" i="1"/>
  <c r="AE6" i="1"/>
  <c r="F33" i="44"/>
  <c r="M19" i="44"/>
  <c r="F58" i="15"/>
  <c r="M17" i="15"/>
  <c r="F31" i="15"/>
  <c r="F38" i="15"/>
  <c r="M28" i="15"/>
  <c r="M22" i="15"/>
  <c r="M23" i="15"/>
  <c r="AE7" i="1"/>
  <c r="C18" i="44"/>
  <c r="F42" i="15"/>
  <c r="F46" i="44"/>
  <c r="F7" i="15"/>
  <c r="C16" i="15"/>
  <c r="M9" i="15"/>
  <c r="M27" i="15"/>
  <c r="F36" i="15"/>
  <c r="M29" i="15"/>
  <c r="M6" i="15"/>
  <c r="L47" i="15"/>
  <c r="M8" i="15"/>
  <c r="AA15" i="21" l="1"/>
  <c r="G16" i="1"/>
  <c r="J12" i="40" s="1"/>
  <c r="W12" i="40" s="1"/>
  <c r="C10" i="15"/>
  <c r="F49" i="15"/>
  <c r="C48" i="15" s="1"/>
  <c r="C6" i="15"/>
  <c r="M7" i="15"/>
  <c r="J6" i="15" s="1"/>
  <c r="J5" i="15" s="1"/>
  <c r="J18" i="15" s="1"/>
  <c r="F65" i="15"/>
  <c r="F63" i="15"/>
  <c r="L59" i="15"/>
  <c r="Q75" i="15" s="1"/>
  <c r="L58" i="15"/>
  <c r="Q74" i="15" s="1"/>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AG6" i="1"/>
  <c r="F12" i="39"/>
  <c r="AA12" i="39" s="1"/>
  <c r="F31" i="6"/>
  <c r="F12" i="40"/>
  <c r="AA12" i="40" s="1"/>
  <c r="AC6" i="3"/>
  <c r="D21" i="12"/>
  <c r="C21" i="12" s="1"/>
  <c r="D12" i="11"/>
  <c r="C12" i="11" s="1"/>
  <c r="C27" i="12"/>
  <c r="D26" i="12" s="1"/>
  <c r="E59" i="40"/>
  <c r="E29" i="6"/>
  <c r="L19"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Q53" i="15"/>
  <c r="C20" i="11"/>
  <c r="C21" i="11" s="1"/>
  <c r="C22" i="11" s="1"/>
  <c r="C23" i="11" s="1"/>
  <c r="B2" i="11" s="1"/>
  <c r="AC12" i="40"/>
  <c r="C48" i="33"/>
  <c r="C49" i="33"/>
  <c r="B3" i="33" s="1"/>
  <c r="B2" i="33" s="1"/>
  <c r="F41" i="15"/>
  <c r="F7" i="67"/>
  <c r="L52" i="44"/>
  <c r="J12" i="39" l="1"/>
  <c r="AC12" i="39" s="1"/>
  <c r="H12" i="39"/>
  <c r="U12" i="39" s="1"/>
  <c r="H12" i="40"/>
  <c r="AB12" i="40" s="1"/>
  <c r="I53" i="34"/>
  <c r="J53" i="34" s="1"/>
  <c r="Q61" i="15"/>
  <c r="AB12" i="39"/>
  <c r="C5" i="15"/>
  <c r="C32" i="15" s="1"/>
  <c r="Q62" i="15"/>
  <c r="F68" i="15"/>
  <c r="L20" i="6"/>
  <c r="L22" i="6"/>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C19" i="44"/>
  <c r="E7" i="67"/>
  <c r="C17" i="15"/>
  <c r="L27" i="6" l="1"/>
  <c r="M20" i="6"/>
  <c r="I20" i="6" s="1"/>
  <c r="S20" i="6" s="1"/>
  <c r="C38" i="15"/>
  <c r="B14" i="66"/>
  <c r="B1" i="66"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J33" i="21" l="1"/>
  <c r="F33" i="21"/>
  <c r="H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A33" i="21" l="1"/>
  <c r="S33" i="21"/>
  <c r="U33" i="21"/>
  <c r="AB33" i="21"/>
  <c r="W33" i="21"/>
  <c r="AC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M23" i="44"/>
  <c r="F35"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I7" i="6" s="1"/>
  <c r="C13" i="39" s="1"/>
  <c r="C26" i="15"/>
  <c r="C29" i="15" s="1"/>
  <c r="J59" i="15" s="1"/>
  <c r="J60" i="15" s="1"/>
  <c r="Q49" i="15" s="1"/>
  <c r="C23" i="12"/>
  <c r="C19" i="43"/>
  <c r="C22" i="43" s="1"/>
  <c r="C21" i="43" s="1"/>
  <c r="K67" i="40"/>
  <c r="L65" i="40"/>
  <c r="K72" i="39"/>
  <c r="L70" i="39"/>
  <c r="C11" i="21" l="1"/>
  <c r="H13" i="39"/>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A13" i="39" l="1"/>
  <c r="S13" i="39"/>
  <c r="AB13" i="39"/>
  <c r="U13" i="39"/>
  <c r="AC13" i="39"/>
  <c r="W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S11" i="21" l="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I52" i="21" l="1"/>
  <c r="J52" i="21" s="1"/>
  <c r="R49" i="21"/>
  <c r="E48" i="21"/>
  <c r="G53" i="21"/>
  <c r="H53" i="21" s="1"/>
  <c r="G52" i="21"/>
  <c r="H52" i="21" s="1"/>
  <c r="C40" i="15"/>
  <c r="D10" i="12"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E52" i="21"/>
  <c r="F52" i="21" s="1"/>
  <c r="E53" i="21"/>
  <c r="F53" i="21" s="1"/>
  <c r="I53" i="21"/>
  <c r="J53" i="21" s="1"/>
  <c r="C49" i="21"/>
  <c r="B3" i="21" s="1"/>
  <c r="C48" i="21"/>
  <c r="C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c r="L46" i="15"/>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0" i="9"/>
  <c r="C21" i="9"/>
  <c r="C36" i="12" l="1"/>
  <c r="B2" i="12" s="1"/>
  <c r="C45" i="9"/>
  <c r="H14" i="66" s="1"/>
  <c r="B7" i="66" s="1"/>
  <c r="D19" i="9"/>
  <c r="L44" i="9" l="1"/>
  <c r="G19" i="9"/>
  <c r="K21" i="9" s="1"/>
  <c r="D22" i="9"/>
  <c r="B4" i="12"/>
  <c r="B5" i="12"/>
  <c r="B3" i="12"/>
  <c r="D7" i="66"/>
  <c r="C7" i="66"/>
  <c r="D20" i="9"/>
  <c r="D21" i="9"/>
  <c r="G20" i="9" l="1"/>
  <c r="G21" i="9"/>
  <c r="C32" i="9"/>
  <c r="G22" i="9"/>
  <c r="N43" i="9"/>
  <c r="D45" i="9"/>
  <c r="E45" i="9"/>
  <c r="O40" i="9"/>
  <c r="F45" i="9"/>
  <c r="C42" i="9" l="1"/>
  <c r="C34" i="9"/>
  <c r="O43" i="9"/>
  <c r="C35" i="9"/>
  <c r="F42" i="9" s="1"/>
  <c r="O38" i="9"/>
  <c r="C33" i="9"/>
  <c r="K31" i="9"/>
  <c r="K32" i="9" s="1"/>
  <c r="R7" i="54"/>
  <c r="B52" i="63" s="1"/>
  <c r="N38" i="9" l="1"/>
  <c r="K28" i="9" s="1"/>
  <c r="D42" i="9"/>
  <c r="Q5" i="54" s="1"/>
  <c r="B47" i="63" s="1"/>
  <c r="M38" i="9"/>
  <c r="K27" i="9" s="1"/>
  <c r="E42" i="9"/>
  <c r="P5" i="54" s="1"/>
  <c r="B46" i="63" s="1"/>
  <c r="K25" i="9"/>
  <c r="K26" i="9"/>
  <c r="D14" i="66"/>
  <c r="N68" i="9"/>
  <c r="D63" i="9"/>
  <c r="C44" i="9"/>
  <c r="R5" i="54"/>
  <c r="B48" i="63" s="1"/>
  <c r="G14" i="66" l="1"/>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113" i="9" l="1"/>
  <c r="C114" i="9" s="1"/>
  <c r="E114" i="9" s="1"/>
  <c r="E115" i="9" s="1"/>
  <c r="C97" i="9"/>
  <c r="C98" i="9" s="1"/>
  <c r="E98" i="9" s="1"/>
  <c r="E99"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C99" i="9"/>
  <c r="O77" i="9"/>
  <c r="O78" i="9" s="1"/>
  <c r="N89" i="9"/>
  <c r="O89" i="9" s="1"/>
  <c r="Q77" i="9" l="1"/>
  <c r="O79" i="9"/>
  <c r="C46" i="9" s="1"/>
  <c r="K33" i="9" s="1"/>
  <c r="O41" i="9"/>
  <c r="R8" i="54" s="1"/>
  <c r="B54" i="63" s="1"/>
  <c r="E46" i="9"/>
  <c r="K34" i="9"/>
  <c r="D46" i="9" l="1"/>
  <c r="I14" i="66"/>
  <c r="B8" i="66" s="1"/>
  <c r="F46" i="9"/>
  <c r="O81" i="9"/>
  <c r="O80"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<sst xmlns="http://schemas.openxmlformats.org/spreadsheetml/2006/main" count="7086" uniqueCount="3143">
  <si>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</si>
  <si>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</si>
  <si>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</si>
  <si>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</si>
  <si>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</si>
  <si>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</si>
  <si>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</si>
  <si>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</si>
  <si>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</si>
  <si>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</si>
  <si>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</si>
  <si>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</si>
  <si>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</si>
  <si>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</si>
  <si>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</si>
  <si>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</si>
  <si>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</si>
  <si>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</si>
  <si>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</si>
  <si>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</si>
  <si>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</si>
  <si>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</si>
  <si>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</si>
  <si>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</si>
  <si>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</si>
  <si>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</si>
  <si>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</si>
  <si>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</si>
  <si>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</si>
  <si>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</si>
  <si>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</si>
  <si>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</si>
  <si>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</si>
  <si>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</si>
  <si>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</si>
  <si>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</si>
  <si>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</si>
  <si>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</si>
  <si>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</si>
  <si>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</si>
  <si>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</si>
  <si>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</si>
  <si>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</si>
  <si>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</si>
  <si>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</si>
  <si>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</si>
  <si>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</si>
  <si>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</si>
  <si>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</si>
  <si>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</si>
  <si>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</si>
  <si>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</si>
  <si>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</si>
  <si>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</si>
  <si>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</si>
  <si>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</si>
  <si>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</si>
  <si>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</si>
  <si>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</si>
  <si>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</si>
  <si>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</si>
  <si>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</si>
  <si>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</si>
  <si>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</si>
  <si>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</si>
  <si>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</si>
  <si>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</si>
  <si>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</si>
  <si>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</si>
  <si>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</si>
  <si>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</si>
  <si>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</si>
  <si>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</si>
  <si>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</si>
  <si>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</si>
  <si>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</si>
  <si>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</si>
  <si>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</si>
  <si>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</si>
  <si>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</si>
  <si>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</si>
  <si>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</si>
  <si>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</si>
  <si>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</si>
  <si>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</si>
  <si>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</si>
  <si>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</si>
  <si>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</si>
  <si>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</si>
  <si>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</si>
  <si>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</si>
  <si>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</si>
  <si>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</si>
  <si>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</si>
  <si>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</si>
  <si>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</si>
  <si>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</si>
  <si>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</si>
  <si>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</si>
  <si>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</si>
  <si>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</si>
  <si>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</si>
  <si>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</si>
  <si>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</si>
  <si>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</si>
  <si>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</si>
  <si>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</si>
  <si>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</si>
  <si>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</si>
  <si>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</si>
  <si>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</si>
  <si>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</si>
  <si>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</si>
  <si>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</si>
  <si>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</si>
  <si>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</si>
  <si>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</si>
  <si>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</si>
  <si>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</si>
  <si>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</si>
  <si>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</si>
  <si>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</si>
  <si>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</si>
  <si>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</si>
  <si>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</si>
  <si>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</si>
  <si>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</si>
  <si>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</si>
  <si>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</si>
  <si>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</si>
  <si>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</si>
  <si>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</si>
  <si>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</si>
  <si>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</si>
  <si>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</si>
  <si>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</si>
  <si>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</si>
  <si>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</si>
  <si>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</si>
  <si>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</si>
  <si>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</si>
  <si>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</si>
  <si>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</si>
  <si>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</si>
  <si>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</si>
  <si>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</si>
  <si>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</si>
  <si>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</si>
  <si>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</si>
  <si>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</si>
  <si>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</si>
  <si>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</si>
  <si>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</si>
  <si>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</si>
  <si>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</si>
  <si>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</si>
  <si>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</si>
  <si>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</si>
  <si>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</si>
  <si>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</si>
  <si>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</si>
  <si>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</si>
  <si>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</si>
  <si>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</si>
  <si>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</si>
  <si>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</si>
  <si>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</si>
  <si>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</si>
  <si>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</si>
  <si>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</si>
  <si>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</si>
  <si>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</si>
  <si>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</si>
  <si>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</si>
  <si>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</si>
  <si>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</si>
  <si>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</si>
  <si>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</si>
  <si>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</si>
  <si>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</si>
  <si>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</si>
  <si>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</si>
  <si>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</si>
  <si>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</si>
  <si>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</si>
  <si>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</si>
  <si>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</si>
  <si>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</si>
  <si>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</si>
  <si>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</si>
  <si>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</si>
  <si>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</si>
  <si>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</si>
  <si>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</si>
  <si>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</si>
  <si>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</si>
  <si>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</si>
  <si>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</si>
  <si>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</si>
  <si>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</si>
  <si>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</si>
  <si>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</si>
  <si>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</si>
  <si>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</si>
  <si>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</si>
  <si>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</si>
  <si>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</si>
  <si>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</si>
  <si>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</si>
  <si>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</si>
  <si>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</si>
  <si>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</si>
  <si>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</si>
  <si>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</si>
  <si>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</si>
  <si>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</si>
  <si>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</si>
  <si>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</si>
  <si>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</si>
  <si>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</si>
  <si>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</si>
  <si>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</si>
  <si>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</si>
  <si>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</si>
  <si>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</si>
  <si>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</si>
  <si>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</si>
  <si>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</si>
  <si>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</si>
  <si>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</si>
  <si>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</si>
  <si>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</si>
  <si>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</si>
  <si>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</si>
  <si>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</si>
  <si>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</si>
  <si>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</si>
  <si>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</si>
  <si>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</si>
  <si>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</si>
  <si>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</si>
  <si>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</si>
  <si>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</si>
  <si>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</si>
  <si>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</si>
  <si>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</si>
  <si>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</si>
  <si>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</si>
  <si>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</si>
  <si>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</si>
  <si>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</si>
  <si>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</si>
  <si>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</si>
  <si>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</si>
  <si>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</si>
  <si>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</si>
  <si>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</si>
  <si>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</si>
  <si>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</si>
  <si>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</si>
  <si>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</si>
  <si>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</si>
  <si>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</si>
  <si>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</si>
  <si>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</si>
  <si>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</si>
  <si>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</si>
  <si>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</si>
  <si>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</si>
  <si>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</si>
  <si>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</si>
  <si>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</si>
  <si>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</si>
  <si>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</si>
  <si>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</si>
  <si>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</si>
  <si>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</si>
  <si>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</si>
  <si>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</si>
  <si>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</si>
  <si>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</si>
  <si>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</si>
  <si>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</si>
  <si>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</si>
  <si>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</si>
  <si>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</si>
  <si>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</si>
  <si>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</si>
  <si>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</si>
  <si>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</si>
  <si>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</si>
  <si>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</si>
  <si>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</si>
  <si>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</si>
  <si>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</si>
  <si>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</si>
  <si>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</si>
  <si>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</si>
  <si>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</si>
  <si>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</si>
  <si>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</si>
  <si>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</si>
  <si>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</si>
  <si>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</si>
  <si>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</si>
  <si>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</si>
  <si>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</si>
  <si>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</si>
  <si>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</si>
  <si>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</si>
  <si>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</si>
  <si>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</si>
  <si>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</si>
  <si>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</si>
  <si>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</si>
  <si>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</si>
  <si>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</si>
  <si>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</si>
  <si>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</si>
  <si>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</si>
  <si>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</si>
  <si>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</si>
  <si>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</si>
  <si>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</si>
  <si>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</si>
  <si>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</si>
  <si>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</si>
  <si>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</si>
  <si>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</si>
  <si>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</si>
  <si>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</si>
  <si>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</si>
  <si>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</si>
  <si>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</si>
  <si>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</si>
  <si>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</si>
  <si>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</si>
  <si>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</si>
  <si>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</si>
  <si>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</si>
  <si>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</si>
  <si>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</si>
  <si>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</si>
  <si>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</si>
  <si>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</si>
  <si>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</si>
  <si>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</si>
  <si>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</si>
  <si>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</si>
  <si>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</si>
  <si>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</si>
  <si>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</si>
  <si>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</si>
  <si>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</si>
  <si>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</si>
  <si>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</si>
  <si>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</si>
  <si>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</si>
  <si>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</si>
  <si>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</si>
  <si>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</si>
  <si>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</si>
  <si>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</si>
  <si>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</si>
  <si>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</si>
  <si>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</si>
  <si>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</si>
  <si>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</si>
  <si>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</si>
  <si>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</si>
  <si>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</si>
  <si>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</si>
  <si>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</si>
  <si>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</si>
  <si>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</si>
  <si>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</si>
  <si>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</si>
  <si>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</si>
  <si>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</si>
  <si>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</si>
  <si>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</si>
  <si>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</si>
  <si>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</si>
  <si>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</si>
  <si>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</si>
  <si>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</si>
  <si>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</si>
  <si>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</si>
  <si>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</si>
  <si>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</si>
  <si>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</si>
  <si>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</si>
  <si>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</si>
  <si>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</si>
  <si>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</si>
  <si>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</si>
  <si>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</si>
  <si>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</si>
  <si>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</si>
  <si>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</si>
  <si>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</si>
  <si>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</si>
  <si>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</si>
  <si>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</si>
  <si>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</si>
  <si>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</si>
  <si>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</si>
  <si>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</si>
  <si>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</si>
  <si>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</si>
  <si>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</si>
  <si>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</si>
  <si>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</si>
  <si>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</si>
  <si>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</si>
  <si>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</si>
  <si>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</si>
  <si>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</si>
  <si>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</si>
  <si>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</si>
  <si>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</si>
  <si>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</si>
  <si>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</si>
  <si>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</si>
  <si>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</si>
  <si>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</si>
  <si>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</si>
  <si>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</si>
  <si>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</si>
  <si>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</si>
  <si>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</si>
  <si>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</si>
  <si>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</si>
  <si>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</si>
  <si>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</si>
  <si>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</si>
  <si>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</si>
  <si>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</si>
  <si>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</si>
  <si>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</si>
  <si>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</si>
  <si>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</si>
  <si>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</si>
  <si>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</si>
  <si>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</si>
  <si>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</si>
  <si>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</si>
  <si>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</si>
  <si>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</si>
  <si>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</si>
  <si>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</si>
  <si>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</si>
  <si>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</si>
  <si>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</si>
  <si>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</si>
  <si>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</si>
  <si>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</si>
  <si>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</si>
  <si>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</si>
  <si>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</si>
  <si>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</si>
  <si>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</si>
  <si>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</si>
  <si>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</si>
  <si>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</si>
  <si>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</si>
  <si>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</si>
  <si>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</si>
  <si>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</si>
  <si>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</si>
  <si>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</si>
  <si>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</si>
  <si>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</si>
  <si>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</si>
  <si>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</si>
  <si>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</si>
  <si>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</si>
  <si>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</si>
  <si>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</si>
  <si>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</si>
  <si>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</si>
  <si>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</si>
  <si>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</si>
  <si>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</si>
  <si>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</si>
  <si>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</si>
  <si>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</si>
  <si>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</si>
  <si>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</si>
  <si>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</si>
  <si>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</si>
  <si>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</si>
  <si>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</si>
  <si>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</si>
  <si>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</si>
  <si>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</si>
  <si>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</si>
  <si>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</si>
  <si>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</si>
  <si>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</si>
  <si>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</si>
  <si>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</si>
  <si>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</si>
  <si>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</si>
  <si>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</si>
  <si>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</si>
  <si>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</si>
  <si>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</si>
  <si>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</si>
  <si>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</si>
  <si>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</si>
  <si>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</si>
  <si>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</si>
  <si>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</si>
  <si>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</si>
  <si>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</si>
  <si>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</si>
  <si>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</si>
  <si>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</si>
  <si>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</si>
  <si>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</si>
  <si>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</si>
  <si>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</si>
  <si>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</si>
  <si>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</si>
  <si>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</si>
  <si>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</si>
  <si>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</si>
  <si>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</si>
  <si>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</si>
  <si>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</si>
  <si>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</si>
  <si>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</si>
  <si>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</si>
  <si>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</si>
  <si>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</si>
  <si>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</si>
  <si>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</si>
  <si>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</si>
  <si>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</si>
  <si>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</si>
  <si>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</si>
  <si>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</si>
  <si>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</si>
  <si>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</si>
  <si>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</si>
  <si>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</si>
  <si>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</si>
  <si>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</si>
  <si>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</si>
  <si>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</si>
  <si>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</si>
  <si>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</si>
  <si>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</si>
  <si>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</si>
  <si>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</si>
  <si>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</si>
  <si>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</si>
  <si>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</si>
  <si>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</si>
  <si>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</si>
  <si>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</si>
  <si>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</si>
  <si>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</si>
  <si>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</si>
  <si>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</si>
  <si>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</si>
  <si>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</si>
  <si>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</si>
  <si>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</si>
  <si>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</si>
  <si>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</si>
  <si>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</si>
  <si>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</si>
  <si>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</si>
  <si>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</si>
  <si>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</si>
  <si>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</si>
  <si>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</si>
  <si>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</si>
  <si>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</si>
  <si>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</si>
  <si>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</si>
  <si>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</si>
  <si>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</si>
  <si>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</si>
  <si>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</si>
  <si>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</si>
  <si>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</si>
  <si>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</si>
  <si>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</si>
  <si>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</si>
  <si>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</si>
  <si>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</si>
  <si>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</si>
  <si>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</si>
  <si>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</si>
  <si>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</si>
  <si>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</si>
  <si>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</si>
  <si>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</si>
  <si>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</si>
  <si>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</si>
  <si>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</si>
  <si>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</si>
  <si>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</si>
  <si>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</si>
  <si>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</si>
  <si>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</si>
  <si>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</si>
  <si>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</si>
  <si>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</si>
  <si>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</si>
  <si>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</si>
  <si>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</si>
  <si>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</si>
  <si>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</si>
  <si>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</si>
  <si>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</si>
  <si>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</si>
  <si>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</si>
  <si>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</si>
  <si>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</si>
  <si>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</si>
  <si>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</si>
  <si>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</si>
  <si>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</si>
  <si>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</si>
  <si>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</si>
  <si>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</si>
  <si>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</si>
  <si>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</si>
  <si>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</si>
  <si>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</si>
  <si>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</si>
  <si>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</si>
  <si>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</si>
  <si>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</si>
  <si>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</si>
  <si>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</si>
  <si>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</si>
  <si>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</si>
  <si>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</si>
  <si>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</si>
  <si>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</si>
  <si>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</si>
  <si>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</si>
  <si>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</si>
  <si>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</si>
  <si>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</si>
  <si>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</si>
  <si>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</si>
  <si>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</si>
  <si>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</si>
  <si>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</si>
  <si>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</si>
  <si>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</si>
  <si>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</si>
  <si>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</si>
  <si>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</si>
  <si>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</si>
  <si>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</si>
  <si>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</si>
  <si>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</si>
  <si>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</si>
  <si>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</si>
  <si>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</si>
  <si>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</si>
  <si>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</si>
  <si>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</si>
  <si>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</si>
  <si>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</si>
  <si>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</si>
  <si>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</si>
  <si>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</si>
  <si>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</si>
  <si>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</si>
  <si>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</si>
  <si>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</si>
  <si>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</si>
  <si>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</si>
  <si>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</si>
  <si>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</si>
  <si>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</si>
  <si>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</si>
  <si>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</si>
  <si>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</si>
  <si>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</si>
  <si>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</si>
  <si>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</si>
  <si>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</si>
  <si>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</si>
  <si>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</si>
  <si>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</si>
  <si>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</si>
  <si>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</si>
  <si>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</si>
  <si>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</si>
  <si>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</si>
  <si>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</si>
  <si>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</si>
  <si>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</si>
  <si>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</si>
  <si>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</si>
  <si>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</si>
  <si>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</si>
  <si>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</si>
  <si>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</si>
  <si>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</si>
  <si>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</si>
  <si>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</si>
  <si>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</si>
  <si>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</si>
  <si>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</si>
  <si>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</si>
  <si>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</si>
  <si>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</si>
  <si>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</si>
  <si>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</si>
  <si>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</si>
  <si>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</si>
  <si>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</si>
  <si>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</si>
  <si>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</si>
  <si>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</si>
  <si>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</si>
  <si>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</si>
  <si>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</si>
  <si>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</si>
  <si>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</si>
  <si>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</si>
  <si>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</si>
  <si>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</si>
  <si>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</si>
  <si>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</si>
  <si>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</si>
  <si>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</si>
  <si>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</si>
  <si>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</si>
  <si>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</si>
  <si>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</si>
  <si>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</si>
  <si>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</si>
  <si>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</si>
  <si>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</si>
  <si>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</si>
  <si>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</si>
  <si>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</si>
  <si>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</si>
  <si>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</si>
  <si>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</si>
  <si>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</si>
  <si>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</si>
  <si>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</si>
  <si>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</si>
  <si>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</si>
  <si>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</si>
  <si>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</si>
  <si>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</si>
  <si>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</si>
  <si>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</si>
  <si>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</si>
  <si>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</si>
  <si>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</si>
  <si>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</si>
  <si>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</si>
  <si>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</si>
  <si>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</si>
  <si>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</si>
  <si>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</si>
  <si>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</si>
  <si>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</si>
  <si>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</si>
  <si>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</si>
  <si>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</si>
  <si>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</si>
  <si>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</si>
  <si>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</si>
  <si>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</si>
  <si>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</si>
  <si>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</si>
  <si>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</si>
  <si>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</si>
  <si>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</si>
  <si>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</si>
  <si>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</si>
  <si>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</si>
  <si>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</si>
  <si>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</si>
  <si>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</si>
  <si>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</si>
  <si>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</si>
  <si>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</si>
  <si>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</si>
  <si>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</si>
  <si>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</si>
  <si>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</si>
  <si>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</si>
  <si>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</si>
  <si>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</si>
  <si>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</si>
  <si>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</si>
  <si>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</si>
  <si>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</si>
  <si>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</si>
  <si>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</si>
  <si>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</si>
  <si>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</si>
  <si>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</si>
  <si>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</si>
  <si>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</si>
  <si>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</si>
  <si>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</si>
  <si>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</si>
  <si>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</si>
  <si>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</si>
  <si>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</si>
  <si>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</si>
  <si>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</si>
  <si>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</si>
  <si>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</si>
  <si>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</si>
  <si>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</si>
  <si>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</si>
  <si>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</si>
  <si>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</si>
  <si>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</si>
  <si>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</si>
  <si>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</si>
  <si>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</si>
  <si>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</si>
  <si>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</si>
  <si>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</si>
  <si>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</si>
  <si>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</si>
  <si>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</si>
  <si>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</si>
  <si>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</si>
  <si>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</si>
  <si>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</si>
  <si>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</si>
  <si>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</si>
  <si>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</si>
  <si>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</si>
  <si>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</si>
  <si>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</si>
  <si>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</si>
  <si>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</si>
  <si>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</si>
  <si>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</si>
  <si>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</si>
  <si>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</si>
  <si>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</si>
  <si>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</si>
  <si>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</si>
  <si>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</si>
  <si>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</si>
  <si>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</si>
  <si>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</si>
  <si>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</si>
  <si>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</si>
  <si>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</si>
  <si>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</si>
  <si>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</si>
  <si>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</si>
  <si>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</si>
  <si>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</si>
  <si>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</si>
  <si>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</si>
  <si>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</si>
  <si>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</si>
  <si>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</si>
  <si>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</si>
  <si>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</si>
  <si>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</si>
  <si>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</si>
  <si>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</si>
  <si>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</si>
  <si>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</si>
  <si>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</si>
  <si>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</si>
  <si>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</si>
  <si>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</si>
  <si>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</si>
  <si>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</si>
  <si>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</si>
  <si>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</si>
  <si>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</si>
  <si>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</si>
  <si>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</si>
  <si>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</si>
  <si>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</si>
  <si>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</si>
  <si>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</si>
  <si>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</si>
  <si>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</si>
  <si>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</si>
  <si>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</si>
  <si>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</si>
  <si>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</si>
  <si>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</si>
  <si>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</si>
  <si>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</si>
  <si>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</si>
  <si>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</si>
  <si>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</si>
  <si>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</si>
  <si>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</si>
  <si>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</si>
  <si>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</si>
  <si>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</si>
  <si>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</si>
  <si>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</si>
  <si>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</si>
  <si>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</si>
  <si>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</si>
  <si>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</si>
  <si>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</si>
  <si>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</si>
  <si>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</si>
  <si>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</si>
  <si>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</si>
  <si>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</si>
  <si>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</si>
  <si>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</si>
  <si>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</si>
  <si>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</si>
  <si>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</si>
  <si>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</si>
  <si>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</si>
  <si>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</si>
  <si>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</si>
  <si>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</si>
  <si>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</si>
  <si>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</si>
  <si>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</si>
  <si>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</si>
  <si>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</si>
  <si>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</si>
  <si>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</si>
  <si>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</si>
  <si>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</si>
  <si>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</si>
  <si>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</si>
  <si>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</si>
  <si>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</si>
  <si>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</si>
  <si>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</si>
  <si>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</si>
  <si>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</si>
  <si>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</si>
  <si>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</si>
  <si>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</si>
  <si>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</si>
  <si>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</si>
  <si>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</si>
  <si>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</si>
  <si>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</si>
  <si>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</si>
  <si>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</si>
  <si>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</si>
  <si>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</si>
  <si>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</si>
  <si>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</si>
  <si>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</si>
  <si>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</si>
  <si>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</si>
  <si>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</si>
  <si>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</si>
  <si>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</si>
  <si>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</si>
  <si>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</si>
  <si>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</si>
  <si>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</si>
  <si>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</si>
  <si>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</si>
  <si>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</si>
  <si>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</si>
  <si>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</si>
  <si>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</si>
  <si>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</si>
  <si>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</si>
  <si>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</si>
  <si>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</si>
  <si>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</si>
  <si>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</si>
  <si>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</si>
  <si>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</si>
  <si>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</si>
  <si>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</si>
  <si>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</si>
  <si>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</si>
  <si>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</si>
  <si>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</si>
  <si>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</si>
  <si>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</si>
  <si>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</si>
  <si>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</si>
  <si>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</si>
  <si>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</si>
  <si>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</si>
  <si>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</si>
  <si>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</si>
  <si>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</si>
  <si>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</si>
  <si>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</si>
  <si>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</si>
  <si>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</si>
  <si>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</si>
  <si>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</si>
  <si>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</si>
  <si>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</si>
  <si>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</si>
  <si>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</si>
  <si>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</si>
  <si>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</si>
  <si>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</si>
  <si>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</si>
  <si>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</si>
  <si>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</si>
  <si>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</si>
  <si>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</si>
  <si>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</si>
  <si>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</si>
  <si>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</si>
  <si>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</si>
  <si>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</si>
  <si>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</si>
  <si>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</si>
  <si>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</si>
  <si>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</si>
  <si>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</si>
  <si>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</si>
  <si>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</si>
  <si>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</si>
  <si>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</si>
  <si>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</si>
  <si>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</si>
  <si>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</si>
  <si>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</si>
  <si>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</si>
  <si>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</si>
  <si>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</si>
  <si>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</si>
  <si>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</si>
  <si>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</si>
  <si>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</si>
  <si>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</si>
  <si>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</si>
  <si>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</si>
  <si>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</si>
  <si>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</si>
  <si>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</si>
  <si>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</si>
  <si>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</si>
  <si>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</si>
  <si>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</si>
  <si>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</si>
  <si>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</si>
  <si>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</si>
  <si>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</si>
  <si>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</si>
  <si>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</si>
  <si>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</si>
  <si>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</si>
  <si>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</si>
  <si>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</si>
  <si>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</si>
  <si>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</si>
  <si>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</si>
  <si>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</si>
  <si>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</si>
  <si>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</si>
  <si>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</si>
  <si>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</si>
  <si>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</si>
  <si>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</si>
  <si>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</si>
  <si>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</si>
  <si>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</si>
  <si>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</si>
  <si>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</si>
  <si>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</si>
  <si>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</si>
  <si>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</si>
  <si>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</si>
  <si>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</si>
  <si>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</si>
  <si>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</si>
  <si>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</si>
  <si>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</si>
  <si>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</si>
  <si>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</si>
  <si>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</si>
  <si>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</si>
  <si>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</si>
  <si>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</si>
  <si>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</si>
  <si>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</si>
  <si>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</si>
  <si>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</si>
  <si>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</si>
  <si>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</si>
  <si>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</si>
  <si>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</si>
  <si>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</si>
  <si>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</si>
  <si>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</si>
  <si>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</si>
  <si>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</si>
  <si>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</si>
  <si>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</si>
  <si>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</si>
  <si>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</si>
  <si>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</si>
  <si>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</si>
  <si>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</si>
  <si>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</si>
  <si>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</si>
  <si>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</si>
  <si>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</si>
  <si>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</si>
  <si>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</si>
  <si>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</si>
  <si>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</si>
  <si>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</si>
  <si>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</si>
  <si>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</si>
  <si>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</si>
  <si>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</si>
  <si>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</si>
  <si>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</si>
  <si>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</si>
  <si>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</si>
  <si>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</si>
  <si>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</si>
  <si>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</si>
  <si>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</si>
  <si>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</si>
  <si>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</si>
  <si>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</si>
  <si>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</si>
  <si>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</si>
  <si>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</si>
  <si>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</si>
  <si>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</si>
  <si>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</si>
  <si>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</si>
  <si>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</si>
  <si>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</si>
  <si>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</si>
  <si>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</si>
  <si>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</si>
  <si>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</si>
  <si>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</si>
  <si>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</si>
  <si>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</si>
  <si>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</si>
  <si>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</si>
  <si>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</si>
  <si>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</si>
  <si>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</si>
  <si>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</si>
  <si>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</si>
  <si>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</si>
  <si>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</si>
  <si>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</si>
  <si>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</si>
  <si>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</si>
  <si>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</si>
  <si>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</si>
  <si>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</si>
  <si>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</si>
  <si>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</si>
  <si>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</si>
  <si>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</si>
  <si>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</si>
  <si>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</si>
  <si>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</si>
  <si>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</si>
  <si>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</si>
  <si>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</si>
  <si>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</si>
  <si>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</si>
  <si>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</si>
  <si>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</si>
  <si>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</si>
  <si>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</si>
  <si>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</si>
  <si>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</si>
  <si>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</si>
  <si>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</si>
  <si>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</si>
  <si>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</si>
  <si>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</si>
  <si>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</si>
  <si>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</si>
  <si>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</si>
  <si>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</si>
  <si>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</si>
  <si>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</si>
  <si>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</si>
  <si>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</si>
  <si>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</si>
  <si>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</si>
  <si>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</si>
  <si>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</si>
  <si>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</si>
  <si>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</si>
  <si>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</si>
  <si>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</si>
  <si>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</si>
  <si>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</si>
  <si>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</si>
  <si>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</si>
  <si>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</si>
  <si>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</si>
  <si>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</si>
  <si>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</si>
  <si>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</si>
  <si>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</si>
  <si>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</si>
  <si>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</si>
  <si>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</si>
  <si>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</si>
  <si>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</si>
  <si>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</si>
  <si>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</si>
  <si>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</si>
  <si>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</si>
  <si>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</si>
  <si>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</si>
  <si>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</si>
  <si>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</si>
  <si>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</si>
  <si>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</si>
  <si>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</si>
  <si>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</si>
  <si>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</si>
  <si>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</si>
  <si>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</si>
  <si>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</si>
  <si>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</si>
  <si>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</si>
  <si>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</si>
  <si>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</si>
  <si>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</si>
  <si>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</si>
  <si>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</si>
  <si>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</si>
  <si>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</si>
  <si>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</si>
  <si>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</si>
  <si>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</si>
  <si>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</si>
  <si>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</si>
  <si>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</si>
  <si>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</si>
  <si>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</si>
  <si>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</si>
  <si>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</si>
  <si>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</si>
  <si>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</si>
  <si>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</si>
  <si>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</si>
  <si>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</si>
  <si>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</si>
  <si>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</si>
  <si>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</si>
  <si>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</si>
  <si>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</si>
  <si>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</si>
  <si>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</si>
  <si>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</si>
  <si>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</si>
  <si>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</si>
  <si>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</si>
  <si>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</si>
  <si>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</si>
  <si>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</si>
  <si>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</si>
  <si>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</si>
  <si>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</si>
  <si>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</si>
  <si>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</si>
  <si>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</si>
  <si>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</si>
  <si>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</si>
  <si>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</si>
  <si>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</si>
  <si>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</si>
  <si>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</si>
  <si>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</si>
  <si>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</si>
  <si>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</si>
  <si>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</si>
  <si>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</si>
  <si>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</si>
  <si>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</si>
  <si>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</si>
  <si>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</si>
  <si>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</si>
  <si>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</si>
  <si>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</si>
  <si>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</si>
  <si>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</si>
  <si>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</si>
  <si>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</si>
  <si>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</si>
  <si>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</si>
  <si>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</si>
  <si>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</si>
  <si>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</si>
  <si>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</si>
  <si>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</si>
  <si>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</si>
  <si>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</si>
  <si>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</si>
  <si>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</si>
  <si>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</si>
  <si>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</si>
  <si>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</si>
  <si>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</si>
  <si>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</si>
  <si>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</si>
  <si>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</si>
  <si>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</si>
  <si>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</si>
  <si>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</si>
  <si>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</si>
  <si>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</si>
  <si>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</si>
  <si>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</si>
  <si>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</si>
  <si>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</si>
  <si>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</si>
  <si>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</si>
  <si>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</si>
  <si>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</si>
  <si>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</si>
  <si>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</si>
  <si>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</si>
  <si>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</si>
  <si>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</si>
  <si>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</si>
  <si>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</si>
  <si>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</si>
  <si>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</si>
  <si>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</si>
  <si>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</si>
  <si>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</si>
  <si>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</si>
  <si>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</si>
  <si>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</si>
  <si>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</si>
  <si>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</si>
  <si>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</si>
  <si>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</si>
  <si>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</si>
  <si>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</si>
  <si>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</si>
  <si>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</si>
  <si>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</si>
  <si>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</si>
  <si>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</si>
  <si>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</si>
  <si>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</si>
  <si>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</si>
  <si>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</si>
  <si>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</si>
  <si>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</si>
  <si>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</si>
  <si>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</si>
  <si>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</si>
  <si>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</si>
  <si>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</si>
  <si>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</si>
  <si>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</si>
  <si>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</si>
  <si>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</si>
  <si>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</si>
  <si>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</si>
  <si>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</si>
  <si>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</si>
  <si>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</si>
  <si>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</si>
  <si>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</si>
  <si>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</si>
  <si>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</si>
  <si>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</si>
  <si>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</si>
  <si>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</si>
  <si>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</si>
  <si>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</si>
  <si>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</si>
  <si>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</si>
  <si>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</si>
  <si>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</si>
  <si>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</si>
  <si>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</si>
  <si>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</si>
  <si>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</si>
  <si>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</si>
  <si>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</si>
  <si>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</si>
  <si>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</si>
  <si>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</si>
  <si>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</si>
  <si>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</si>
  <si>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</si>
  <si>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</si>
  <si>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</si>
  <si>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</si>
  <si>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</si>
  <si>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</si>
  <si>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</si>
  <si>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</si>
  <si>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</si>
  <si>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</si>
  <si>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</si>
  <si>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</si>
  <si>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</si>
  <si>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</si>
  <si>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</si>
  <si>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</si>
  <si>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</si>
  <si>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</si>
  <si>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</si>
  <si>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</si>
  <si>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</si>
  <si>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</si>
  <si>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</si>
  <si>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</si>
  <si>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</si>
  <si>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</si>
  <si>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</si>
  <si>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</si>
  <si>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</si>
  <si>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</si>
  <si>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</si>
  <si>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</si>
  <si>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</si>
  <si>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</si>
  <si>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</si>
  <si>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</si>
  <si>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</si>
  <si>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</si>
  <si>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</si>
  <si>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</si>
  <si>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</si>
  <si>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</si>
  <si>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</si>
  <si>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</si>
  <si>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</si>
  <si>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</si>
  <si>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</si>
  <si>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</si>
  <si>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</si>
  <si>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</si>
  <si>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</si>
  <si>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</si>
  <si>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</si>
  <si>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</si>
  <si>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</si>
  <si>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</si>
  <si>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</si>
  <si>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</si>
  <si>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</si>
  <si>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</si>
  <si>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</si>
  <si>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</si>
  <si>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</si>
  <si>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</si>
  <si>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</si>
  <si>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</si>
  <si>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</si>
  <si>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</si>
  <si>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</si>
  <si>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</si>
  <si>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</si>
  <si>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</si>
  <si>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</si>
  <si>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</si>
  <si>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</si>
  <si>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</si>
  <si>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</si>
  <si>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</si>
  <si>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</si>
  <si>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</si>
  <si>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</si>
  <si>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</si>
  <si>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</si>
  <si>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</si>
  <si>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</si>
  <si>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</si>
  <si>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</si>
  <si>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</si>
  <si>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</si>
  <si>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</si>
  <si>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</si>
  <si>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</si>
  <si>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</si>
  <si>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</si>
  <si>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</si>
  <si>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</si>
  <si>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</si>
  <si>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</si>
  <si>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</si>
  <si>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</si>
  <si>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</si>
  <si>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</si>
  <si>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</si>
  <si>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</si>
  <si>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</si>
  <si>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</si>
  <si>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</si>
  <si>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</si>
  <si>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</si>
  <si>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</si>
  <si>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</si>
  <si>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</si>
  <si>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</si>
  <si>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</si>
  <si>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</si>
  <si>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</si>
  <si>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</si>
  <si>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</si>
  <si>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</si>
  <si>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</si>
  <si>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</si>
  <si>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</si>
  <si>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</si>
  <si>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</si>
  <si>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</si>
  <si>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</si>
  <si>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</si>
  <si>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</si>
  <si>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</si>
  <si>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</si>
  <si>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</si>
  <si>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</si>
  <si>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</si>
  <si>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</si>
  <si>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</si>
  <si>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</si>
  <si>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</si>
  <si>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</si>
  <si>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</si>
  <si>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</si>
  <si>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</si>
  <si>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</si>
  <si>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</si>
  <si>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</si>
  <si>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</si>
  <si>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</si>
  <si>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</si>
  <si>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</si>
  <si>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</si>
  <si>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</si>
  <si>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</si>
  <si>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</si>
  <si>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</si>
  <si>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</si>
  <si>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</si>
  <si>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</si>
  <si>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</si>
  <si>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</si>
  <si>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</si>
  <si>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</si>
  <si>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</si>
  <si>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</si>
  <si>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</si>
  <si>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</si>
  <si>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</si>
  <si>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</si>
  <si>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</si>
  <si>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</si>
  <si>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</si>
  <si>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</si>
  <si>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</si>
  <si>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</si>
  <si>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</si>
  <si>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</si>
  <si>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</si>
  <si>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</si>
  <si>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</si>
  <si>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</si>
  <si>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</si>
  <si>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</si>
  <si>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</si>
  <si>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</si>
  <si>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</si>
  <si>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</si>
  <si>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</si>
  <si>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</si>
  <si>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</si>
  <si>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</si>
  <si>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</si>
  <si>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</si>
  <si>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</si>
  <si>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</si>
  <si>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</si>
  <si>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</si>
  <si>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</si>
  <si>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</si>
  <si>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</si>
  <si>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</si>
  <si>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</si>
  <si>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</si>
  <si>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</si>
  <si>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</si>
  <si>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</si>
  <si>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</si>
  <si>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</si>
  <si>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</si>
  <si>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</si>
  <si>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</si>
  <si>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</si>
  <si>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</si>
  <si>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</si>
  <si>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</si>
  <si>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</si>
  <si>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</si>
  <si>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</si>
  <si>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</si>
  <si>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</si>
  <si>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</si>
  <si>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</si>
  <si>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</si>
  <si>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</si>
  <si>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</si>
  <si>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</si>
  <si>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</si>
  <si>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</si>
  <si>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</si>
  <si>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</si>
  <si>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</si>
  <si>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</si>
  <si>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</si>
  <si>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</si>
  <si>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</si>
  <si>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</si>
  <si>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</si>
  <si>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</si>
  <si>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</si>
  <si>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</si>
  <si>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</si>
  <si>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</si>
  <si>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</si>
  <si>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</si>
  <si>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</si>
  <si>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</si>
  <si>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</si>
  <si>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</si>
  <si>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</si>
  <si>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</si>
  <si>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</si>
  <si>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</si>
  <si>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</si>
  <si>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</si>
  <si>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</si>
  <si>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</si>
  <si>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</si>
  <si>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</si>
  <si>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</si>
  <si>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</si>
  <si>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</si>
  <si>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</si>
  <si>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</si>
  <si>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</si>
  <si>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</si>
  <si>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</si>
  <si>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</si>
  <si>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</si>
  <si>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</si>
  <si>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</si>
  <si>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</si>
  <si>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</si>
  <si>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</si>
  <si>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</si>
  <si>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</si>
  <si>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</si>
  <si>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</si>
  <si>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</si>
  <si>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</si>
  <si>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</si>
  <si>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</si>
  <si>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</si>
  <si>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</si>
  <si>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</si>
  <si>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</si>
  <si>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</si>
  <si>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</si>
  <si>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</si>
  <si>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</si>
  <si>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</si>
  <si>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</si>
  <si>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</si>
  <si>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</si>
  <si>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</si>
  <si>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</si>
  <si>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</si>
  <si>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</si>
  <si>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</si>
  <si>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</si>
  <si>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</si>
  <si>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</si>
  <si>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</si>
  <si>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</si>
  <si>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</si>
  <si>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</si>
  <si>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</si>
  <si>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</si>
  <si>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</si>
  <si>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</si>
  <si>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</si>
  <si>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</si>
  <si>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</si>
  <si>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</si>
  <si>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</si>
  <si>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</si>
  <si>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</si>
  <si>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</si>
  <si>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</si>
  <si>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</si>
  <si>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</si>
  <si>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</si>
  <si>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</si>
  <si>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</si>
  <si>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</si>
  <si>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</si>
  <si>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</si>
  <si>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</si>
  <si>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</si>
  <si>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</si>
  <si>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</si>
  <si>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</si>
  <si>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</si>
  <si>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</si>
  <si>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</si>
  <si>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</si>
  <si>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</si>
  <si>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</si>
  <si>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</si>
  <si>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</si>
  <si>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</si>
  <si>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</si>
  <si>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</si>
  <si>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</si>
  <si>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</si>
  <si>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</si>
  <si>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</si>
  <si>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</si>
  <si>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</si>
  <si>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</si>
  <si>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</si>
  <si>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</si>
  <si>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</si>
  <si>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</si>
  <si>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</si>
  <si>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</si>
  <si>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</si>
  <si>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</si>
  <si>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</si>
  <si>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</si>
  <si>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</si>
  <si>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</si>
  <si>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</si>
  <si>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</si>
  <si>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</si>
  <si>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</si>
  <si>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</si>
  <si>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</si>
  <si>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</si>
  <si>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</si>
  <si>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</si>
  <si>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</si>
  <si>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</si>
  <si>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</si>
  <si>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</si>
  <si>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</si>
  <si>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</si>
  <si>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</si>
  <si>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</si>
  <si>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</si>
  <si>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</si>
  <si>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</si>
  <si>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</si>
  <si>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</si>
  <si>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</si>
  <si>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</si>
  <si>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</si>
  <si>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</si>
  <si>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</si>
  <si>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</si>
  <si>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</si>
  <si>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</si>
  <si>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</si>
  <si>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</si>
  <si>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</si>
  <si>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</si>
  <si>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</si>
  <si>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</si>
  <si>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</si>
  <si>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</si>
  <si>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</si>
  <si>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</si>
  <si>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</si>
  <si>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</si>
  <si>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</si>
  <si>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</si>
  <si>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</si>
  <si>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</si>
  <si>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</si>
  <si>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</si>
  <si>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</si>
  <si>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</si>
  <si>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</si>
  <si>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</si>
  <si>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</si>
  <si>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</si>
  <si>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</si>
  <si>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</si>
  <si>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</si>
  <si>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</si>
  <si>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</si>
  <si>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</si>
  <si>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</si>
  <si>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</si>
  <si>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</si>
  <si>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</si>
  <si>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</si>
  <si>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</si>
  <si>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</si>
  <si>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</si>
  <si>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</si>
  <si>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</si>
  <si>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</si>
  <si>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</si>
  <si>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</si>
  <si>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</si>
  <si>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</si>
  <si>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</si>
  <si>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</si>
  <si>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</si>
  <si>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</si>
  <si>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</si>
  <si>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</si>
  <si>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</si>
  <si>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</si>
  <si>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</si>
  <si>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</si>
  <si>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</si>
  <si>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</si>
  <si>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</si>
  <si>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</si>
  <si>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</si>
  <si>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</si>
  <si>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</si>
  <si>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</si>
  <si>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</si>
  <si>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</si>
  <si>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</si>
  <si>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</si>
  <si>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</si>
  <si>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</si>
  <si>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</si>
  <si>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</si>
  <si>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</si>
  <si>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</si>
  <si>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</si>
  <si>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</si>
  <si>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</si>
  <si>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</si>
  <si>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</si>
  <si>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</si>
  <si>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</si>
  <si>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</si>
  <si>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</si>
  <si>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</si>
  <si>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</si>
  <si>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</si>
  <si>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</si>
  <si>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</si>
  <si>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</si>
  <si>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</si>
  <si>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</si>
  <si>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</si>
  <si>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</si>
  <si>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</si>
  <si>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</si>
  <si>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</si>
  <si>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</si>
  <si>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</si>
  <si>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</si>
  <si>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</si>
  <si>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</si>
  <si>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</si>
  <si>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</si>
  <si>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</si>
  <si>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</si>
  <si>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</si>
  <si>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</si>
  <si>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</si>
  <si>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</si>
  <si>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</si>
  <si>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</si>
  <si>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</si>
  <si>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</si>
  <si>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</si>
  <si>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</si>
  <si>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</si>
  <si>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</si>
  <si>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</si>
  <si>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</si>
  <si>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</si>
  <si>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</si>
  <si>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</si>
  <si>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</si>
  <si>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</si>
  <si>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</si>
  <si>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</si>
  <si>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</si>
  <si>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</si>
  <si>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</si>
  <si>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</si>
  <si>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</si>
  <si>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</si>
  <si>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</si>
  <si>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</si>
  <si>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</si>
  <si>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</si>
  <si>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</si>
  <si>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</si>
  <si>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</si>
  <si>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</si>
  <si>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</si>
  <si>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</si>
  <si>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</si>
  <si>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</si>
  <si>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</si>
  <si>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</si>
  <si>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</si>
  <si>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</si>
  <si>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</si>
  <si>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</si>
  <si>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</si>
  <si>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</si>
  <si>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</si>
  <si>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</si>
  <si>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</si>
  <si>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</si>
  <si>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</si>
  <si>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</si>
  <si>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</si>
  <si>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</si>
  <si>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</si>
  <si>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</si>
  <si>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</si>
  <si>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</si>
  <si>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</si>
  <si>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</si>
  <si>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</si>
  <si>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</si>
  <si>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</si>
  <si>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</si>
  <si>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</si>
  <si>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</si>
  <si>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</si>
  <si>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</si>
  <si>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</si>
  <si>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</si>
  <si>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</si>
  <si>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</si>
  <si>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</si>
  <si>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</si>
  <si>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</si>
  <si>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</si>
  <si>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</si>
  <si>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</si>
  <si>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</si>
  <si>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</si>
  <si>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</si>
  <si>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</si>
  <si>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</si>
  <si>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</si>
  <si>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</si>
  <si>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</si>
  <si>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</si>
  <si>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</si>
  <si>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</si>
  <si>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</si>
  <si>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</si>
  <si>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</si>
  <si>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</si>
  <si>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</si>
  <si>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</si>
  <si>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</si>
  <si>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</si>
  <si>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</si>
  <si>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</si>
  <si>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</si>
  <si>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</si>
  <si>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</si>
  <si>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</si>
  <si>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</si>
  <si>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</si>
  <si>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</si>
  <si>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</si>
  <si>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</si>
  <si>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</si>
  <si>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</si>
  <si>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</si>
  <si>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</si>
  <si>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</si>
  <si>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</si>
  <si>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</si>
  <si>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</si>
  <si>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</si>
  <si>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</si>
  <si>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</si>
  <si>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</si>
  <si>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</si>
  <si>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</si>
  <si>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</si>
  <si>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</si>
  <si>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</si>
  <si>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</si>
  <si>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</si>
  <si>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</si>
  <si>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</si>
  <si>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</si>
  <si>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</si>
  <si>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</si>
  <si>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</si>
  <si>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</si>
  <si>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</si>
  <si>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</si>
  <si>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</si>
  <si>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</si>
  <si>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</si>
  <si>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</si>
  <si>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</si>
  <si>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</si>
  <si>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</si>
  <si>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</si>
  <si>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</si>
  <si>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</si>
  <si>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</si>
  <si>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</si>
  <si>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</si>
  <si>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</si>
  <si>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</si>
  <si>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</si>
  <si>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</si>
  <si>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</si>
  <si>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</si>
  <si>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</si>
  <si>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</si>
  <si>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</si>
  <si>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</si>
  <si>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</si>
  <si>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</si>
  <si>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</si>
  <si>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</si>
  <si>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</si>
  <si>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</si>
  <si>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</si>
  <si>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</si>
  <si>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</si>
  <si>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</si>
  <si>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</si>
  <si>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</si>
  <si>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</si>
  <si>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</si>
  <si>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</si>
  <si>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</si>
  <si>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</si>
  <si>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</si>
  <si>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</si>
  <si>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</si>
  <si>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</si>
  <si>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</si>
  <si>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</si>
  <si>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</si>
  <si>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</si>
  <si>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</si>
  <si>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</si>
  <si>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</si>
  <si>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</si>
  <si>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</si>
  <si>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</si>
  <si>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</si>
  <si>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</si>
  <si>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</si>
  <si>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</si>
  <si>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</si>
  <si>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</si>
  <si>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</si>
  <si>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</si>
  <si>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</si>
  <si>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</si>
  <si>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</si>
  <si>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</si>
  <si>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</si>
  <si>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</si>
  <si>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</si>
  <si>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</si>
  <si>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</si>
  <si>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</si>
  <si>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</si>
  <si>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</si>
  <si>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</si>
  <si>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</si>
  <si>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</si>
  <si>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</si>
  <si>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</si>
  <si>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</si>
  <si>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</si>
  <si>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</si>
  <si>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</si>
  <si>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</si>
  <si>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</si>
  <si>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</si>
  <si>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</si>
  <si>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</si>
  <si>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</si>
  <si>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</si>
  <si>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</si>
  <si>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</si>
  <si>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</si>
  <si>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</si>
  <si>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</si>
  <si>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</si>
  <si>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</si>
  <si>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</si>
  <si>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</si>
  <si>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</si>
  <si>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</si>
  <si>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</si>
  <si>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</si>
  <si>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</si>
  <si>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</si>
  <si>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</si>
  <si>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</si>
  <si>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</si>
  <si>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</si>
  <si>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</si>
  <si>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</si>
  <si>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</si>
  <si>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</si>
  <si>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</si>
  <si>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</si>
  <si>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</si>
  <si>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</si>
  <si>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</si>
  <si>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</si>
  <si>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</si>
  <si>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</si>
  <si>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</si>
  <si>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</si>
  <si>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</si>
  <si>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</si>
  <si>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</si>
  <si>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</si>
  <si>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</si>
  <si>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</si>
  <si>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</si>
  <si>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</si>
  <si>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</si>
  <si>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</si>
  <si>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</si>
  <si>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</si>
  <si>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</si>
  <si>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</si>
  <si>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</si>
  <si>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</si>
  <si>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</si>
  <si>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</si>
  <si>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</si>
  <si>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</si>
  <si>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</si>
  <si>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</si>
  <si>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</si>
  <si>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</si>
  <si>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</si>
  <si>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</si>
  <si>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</si>
  <si>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</si>
  <si>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</si>
  <si>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</si>
  <si>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</si>
  <si>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</si>
  <si>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</si>
  <si>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</si>
  <si>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</si>
  <si>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</si>
  <si>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</si>
  <si>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</si>
  <si>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</si>
  <si>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</si>
  <si>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</si>
  <si>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</si>
  <si>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</si>
  <si>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</si>
  <si>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</si>
  <si>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</si>
  <si>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</si>
  <si>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</si>
  <si>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</si>
  <si>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</si>
  <si>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</si>
  <si>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</si>
  <si>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</si>
  <si>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</si>
  <si>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</si>
  <si>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</si>
  <si>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</si>
  <si>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</si>
  <si>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</si>
  <si>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</si>
  <si>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</si>
  <si>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</si>
  <si>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</si>
  <si>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</si>
  <si>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</si>
  <si>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</si>
  <si>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</si>
  <si>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</si>
  <si>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</si>
  <si>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</si>
  <si>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</si>
  <si>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</si>
  <si>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</si>
  <si>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</si>
  <si>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</si>
  <si>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</si>
  <si>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</si>
  <si>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</si>
  <si>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</si>
  <si>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</si>
  <si>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</si>
  <si>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</si>
  <si>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</si>
  <si>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</si>
  <si>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</si>
  <si>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</si>
  <si>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</si>
  <si>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</si>
  <si>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</si>
  <si>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</si>
  <si>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</si>
  <si>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</si>
  <si>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</si>
  <si>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</si>
  <si>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</si>
  <si>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</si>
  <si>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</si>
  <si>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</si>
  <si>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</si>
  <si>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</si>
  <si>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</si>
  <si>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</si>
  <si>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</si>
  <si>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</si>
  <si>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</si>
  <si>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</si>
  <si>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</si>
  <si>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</si>
  <si>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</si>
  <si>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</si>
  <si>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</si>
  <si>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</si>
  <si>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</si>
  <si>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</si>
  <si>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</si>
  <si>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</si>
  <si>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</si>
  <si>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</si>
  <si>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</si>
  <si>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</si>
  <si>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</si>
  <si>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</si>
  <si>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</si>
  <si>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</si>
  <si>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</si>
  <si>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</si>
  <si>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</si>
  <si>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</si>
  <si>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</si>
  <si>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</si>
  <si>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</si>
  <si>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</si>
  <si>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</si>
  <si>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</si>
  <si>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</si>
  <si>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</si>
  <si>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</si>
  <si>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</si>
  <si>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</si>
  <si>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</si>
  <si>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</si>
  <si>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</si>
  <si>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</si>
  <si>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</si>
  <si>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</si>
  <si>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</si>
  <si>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</si>
  <si>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</si>
  <si>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</si>
  <si>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</si>
  <si>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</si>
  <si>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</si>
  <si>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</si>
  <si>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</si>
  <si>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</si>
  <si>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</si>
  <si>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</si>
  <si>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</si>
  <si>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</si>
  <si>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</si>
  <si>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</si>
  <si>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</si>
  <si>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</si>
  <si>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</si>
  <si>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</si>
  <si>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</si>
  <si>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</si>
  <si>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</si>
  <si>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</si>
  <si>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</si>
  <si>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</si>
  <si>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</si>
  <si>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</si>
  <si>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</si>
  <si>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</si>
  <si>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</si>
  <si>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</si>
  <si>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</si>
  <si>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</si>
  <si>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</si>
  <si>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</si>
  <si>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</si>
  <si>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</si>
  <si>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</si>
  <si>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</si>
  <si>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</si>
  <si>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</si>
  <si>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</si>
  <si>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</si>
  <si>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</si>
  <si>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</si>
  <si>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</si>
  <si>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</si>
  <si>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</si>
  <si>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</si>
  <si>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</si>
  <si>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</si>
  <si>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</si>
  <si>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</si>
  <si>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</si>
  <si>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</si>
  <si>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</si>
  <si>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</si>
  <si>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</si>
  <si>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</si>
  <si>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</si>
  <si>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</si>
  <si>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</si>
  <si>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</si>
  <si>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</si>
  <si>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</si>
  <si>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</si>
  <si>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</si>
  <si>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</si>
  <si>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</si>
  <si>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</si>
  <si>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</si>
  <si>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</si>
  <si>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</si>
  <si>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</si>
  <si>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</si>
  <si>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</si>
  <si>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</si>
  <si>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</si>
  <si>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</si>
  <si>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</si>
  <si>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</si>
  <si>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</si>
  <si>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</si>
  <si>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</si>
  <si>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</si>
  <si>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</si>
  <si>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</si>
  <si>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</si>
  <si>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</si>
  <si>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</si>
  <si>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</si>
  <si>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</si>
  <si>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</si>
  <si>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</si>
  <si>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</si>
  <si>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</si>
  <si>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</si>
  <si>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</si>
  <si>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</si>
  <si>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</si>
  <si>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</si>
  <si>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</si>
  <si>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</si>
  <si>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</si>
  <si>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</si>
  <si>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</si>
  <si>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</si>
  <si>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</si>
  <si>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</si>
  <si>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</si>
  <si>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</si>
  <si>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</si>
  <si>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</si>
  <si>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</si>
  <si>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</si>
  <si>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</si>
  <si>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</si>
  <si>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</si>
  <si>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</si>
  <si>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</si>
  <si>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</si>
  <si>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</si>
  <si>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</si>
  <si>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</si>
  <si>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</si>
  <si>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</si>
  <si>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</si>
  <si>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</si>
  <si>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</si>
  <si>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</si>
  <si>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</si>
  <si>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</si>
  <si>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</si>
  <si>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</si>
  <si>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</si>
  <si>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</si>
  <si>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</si>
  <si>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</si>
  <si>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</si>
  <si>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</si>
  <si>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</si>
  <si>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</si>
  <si>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</si>
  <si>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</si>
  <si>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</si>
  <si>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</si>
  <si>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</si>
  <si>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</si>
  <si>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</si>
  <si>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</si>
  <si>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</si>
  <si>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</si>
  <si>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</si>
  <si>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</si>
  <si>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</si>
  <si>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</si>
  <si>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</si>
  <si>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</si>
  <si>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</si>
  <si>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</si>
  <si>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</si>
  <si>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</si>
  <si>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</si>
  <si>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</si>
  <si>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</si>
  <si>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</si>
  <si>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</si>
  <si>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</si>
  <si>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</si>
  <si>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</si>
  <si>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</si>
  <si>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</si>
  <si>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</si>
  <si>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</si>
  <si>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</si>
  <si>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</si>
  <si>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</si>
  <si>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</si>
  <si>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</si>
  <si>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</si>
  <si>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</si>
  <si>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</si>
  <si>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</si>
  <si>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</si>
  <si>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</si>
  <si>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</si>
  <si>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</si>
  <si>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</si>
  <si>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</si>
  <si>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</si>
  <si>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</si>
  <si>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</si>
  <si>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</si>
  <si>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</si>
  <si>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</si>
  <si>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</si>
  <si>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</si>
  <si>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</si>
  <si>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</si>
  <si>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</si>
  <si>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</si>
  <si>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</si>
  <si>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</si>
  <si>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</si>
  <si>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</si>
  <si>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</si>
  <si>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</si>
  <si>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</si>
  <si>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</si>
  <si>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</si>
  <si>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</si>
  <si>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</si>
  <si>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</si>
  <si>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</si>
  <si>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</si>
  <si>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</si>
  <si>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</si>
  <si>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</si>
  <si>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</si>
  <si>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</si>
  <si>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</si>
  <si>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</si>
  <si>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</si>
  <si>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</si>
  <si>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</si>
  <si>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</si>
  <si>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</si>
  <si>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</si>
  <si>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</si>
  <si>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</si>
  <si>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</si>
  <si>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</si>
  <si>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</si>
  <si>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</si>
  <si>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</si>
  <si>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</si>
  <si>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</si>
  <si>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</si>
  <si>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</si>
  <si>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</si>
  <si>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</si>
  <si>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</si>
  <si>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</si>
  <si>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</si>
  <si>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</si>
  <si>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</si>
  <si>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</si>
  <si>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</si>
  <si>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</si>
  <si>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</si>
  <si>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</si>
  <si>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</si>
  <si>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</si>
  <si>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</si>
  <si>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</si>
  <si>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</si>
  <si>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</si>
  <si>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</si>
  <si>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</si>
  <si>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</si>
  <si>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</si>
  <si>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</si>
  <si>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</si>
  <si>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</si>
  <si>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</si>
  <si>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</si>
  <si>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</si>
  <si>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</si>
  <si>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</si>
  <si>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</si>
  <si>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</si>
  <si>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</si>
  <si>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</si>
  <si>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</si>
  <si>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</si>
  <si>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</si>
  <si>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</si>
  <si>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</si>
  <si>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</si>
  <si>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</si>
  <si>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</si>
  <si>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</si>
  <si>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</si>
  <si>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</si>
  <si>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</si>
  <si>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</si>
  <si>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</si>
  <si>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</si>
  <si>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</si>
  <si>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</si>
  <si>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</si>
  <si>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</si>
  <si>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</si>
  <si>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</si>
  <si>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</si>
  <si>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</si>
  <si>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</si>
  <si>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</si>
  <si>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</si>
  <si>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</si>
  <si>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</si>
  <si>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</si>
  <si>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</si>
  <si>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</si>
  <si>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</si>
  <si>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</si>
  <si>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</si>
  <si>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</si>
  <si>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</si>
  <si>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</si>
  <si>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</si>
  <si>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</si>
  <si>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</si>
  <si>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</si>
  <si>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</si>
  <si>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</si>
  <si>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</si>
  <si>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</si>
  <si>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</si>
  <si>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</si>
  <si>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</si>
  <si>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</si>
  <si>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</si>
  <si>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</si>
  <si>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</si>
  <si>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</si>
  <si>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</si>
  <si>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</si>
  <si>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</si>
  <si>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</si>
  <si>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</si>
  <si>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</si>
  <si>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</si>
  <si>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</si>
  <si>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</si>
  <si>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</si>
  <si>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</si>
  <si>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</si>
  <si>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</si>
  <si>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</si>
  <si>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</si>
  <si>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</si>
  <si>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</si>
  <si>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</si>
  <si>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</si>
  <si>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</si>
  <si>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</si>
  <si>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</si>
  <si>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</si>
  <si>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</si>
  <si>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</si>
  <si>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</si>
  <si>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</si>
  <si>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</si>
  <si>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</si>
  <si>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</si>
  <si>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</si>
  <si>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</si>
  <si>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</si>
  <si>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</si>
  <si>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</si>
  <si>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</si>
  <si>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</si>
  <si>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</si>
  <si>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</si>
  <si>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</si>
  <si>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</si>
  <si>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</si>
  <si>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</si>
  <si>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</si>
  <si>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</si>
  <si>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</si>
  <si>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</si>
  <si>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</si>
  <si>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</si>
  <si>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</si>
  <si>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</si>
  <si>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</si>
  <si>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</si>
  <si>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</si>
  <si>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</si>
  <si>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</si>
  <si>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</si>
  <si>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</si>
  <si>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</si>
  <si>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</si>
  <si>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</si>
  <si>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</si>
  <si>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</si>
  <si>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</si>
  <si>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</si>
  <si>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</si>
  <si>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</si>
  <si>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</si>
  <si>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</si>
  <si>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</si>
  <si>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</si>
  <si>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</si>
  <si>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</si>
  <si>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</si>
  <si>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</si>
  <si>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</si>
  <si>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</si>
  <si>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</si>
  <si>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</si>
  <si>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</si>
  <si>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</si>
  <si>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</si>
  <si>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</si>
  <si>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</si>
  <si>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</si>
  <si>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</si>
  <si>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</si>
  <si>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</si>
  <si>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</si>
  <si>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</si>
  <si>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</si>
  <si>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</si>
  <si>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</si>
  <si>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</si>
  <si>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</si>
  <si>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</si>
  <si>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</si>
  <si>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</si>
  <si>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</si>
  <si>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</si>
  <si>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</si>
  <si>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</si>
  <si>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</si>
  <si>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</si>
  <si>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</si>
  <si>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</si>
  <si>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</si>
  <si>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</si>
  <si>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</si>
  <si>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</si>
  <si>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</si>
  <si>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</si>
  <si>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</si>
  <si>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</si>
  <si>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</si>
  <si>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</si>
  <si>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</si>
  <si>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</si>
  <si>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</si>
  <si>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</si>
  <si>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</si>
  <si>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</si>
  <si>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</si>
  <si>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</si>
  <si>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</si>
  <si>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</si>
  <si>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</si>
  <si>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</si>
  <si>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</si>
  <si>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</si>
  <si>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</si>
  <si>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</si>
  <si>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</si>
  <si>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</si>
  <si>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</si>
  <si>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</si>
  <si>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</si>
  <si>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</si>
  <si>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</si>
  <si>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</si>
  <si>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</si>
  <si>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</si>
  <si>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</si>
  <si>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</si>
  <si>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</si>
  <si>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</si>
  <si>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</si>
  <si>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</si>
  <si>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</si>
  <si>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</si>
  <si>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</si>
  <si>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</si>
  <si>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</si>
  <si>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</si>
  <si>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</si>
  <si>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</si>
  <si>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</si>
  <si>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</si>
  <si>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</si>
  <si>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</si>
  <si>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</si>
  <si>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</si>
  <si>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</si>
  <si>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</si>
  <si>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</si>
  <si>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</si>
  <si>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</si>
  <si>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</si>
  <si>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</si>
  <si>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</si>
  <si>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</si>
  <si>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</si>
  <si>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</si>
  <si>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</si>
  <si>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</si>
  <si>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</si>
  <si>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</si>
  <si>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</si>
  <si>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</si>
  <si>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</si>
  <si>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</si>
  <si>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</si>
  <si>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</si>
  <si>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</si>
  <si>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</si>
  <si>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</si>
  <si>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</si>
  <si>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</si>
  <si>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</si>
  <si>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</si>
  <si>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</si>
  <si>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</si>
  <si>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</si>
  <si>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</si>
  <si>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</si>
  <si>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</si>
  <si>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</si>
  <si>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</si>
  <si>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</si>
  <si>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</si>
  <si>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</si>
  <si>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</si>
  <si>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</si>
  <si>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</si>
  <si>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</si>
  <si>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</si>
  <si>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</si>
  <si>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</si>
  <si>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</si>
  <si>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</si>
  <si>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</si>
  <si>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</si>
  <si>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</si>
  <si>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</si>
  <si>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</si>
  <si>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</si>
  <si>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</si>
  <si>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</si>
  <si>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</si>
  <si>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</si>
  <si>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</si>
  <si>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</si>
  <si>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</si>
  <si>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</si>
  <si>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</si>
  <si>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</si>
  <si>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</si>
  <si>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</si>
  <si>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</si>
  <si>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</si>
  <si>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</si>
  <si>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</si>
  <si>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</si>
  <si>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</si>
  <si>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</si>
  <si>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</si>
  <si>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</si>
  <si>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</si>
  <si>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</si>
  <si>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</si>
  <si>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</si>
  <si>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</si>
  <si>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</si>
  <si>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</si>
  <si>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</si>
  <si>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</si>
  <si>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</si>
  <si>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</si>
  <si>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</si>
  <si>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</si>
  <si>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</si>
  <si>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</si>
  <si>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</si>
  <si>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</si>
  <si>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</si>
  <si>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</si>
  <si>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</si>
  <si>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</si>
  <si>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</si>
  <si>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</si>
  <si>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</si>
  <si>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</si>
  <si>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</si>
  <si>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</si>
  <si>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</si>
  <si>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</si>
  <si>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</si>
  <si>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</si>
  <si>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</si>
  <si>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</si>
  <si>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</si>
  <si>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</si>
  <si>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</si>
  <si>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</si>
  <si>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</si>
  <si>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</si>
  <si>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</si>
  <si>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</si>
  <si>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</si>
  <si>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</si>
  <si>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</si>
  <si>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</si>
  <si>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</si>
  <si>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</si>
  <si>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</si>
  <si>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</si>
  <si>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</si>
  <si>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</si>
  <si>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</si>
  <si>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</si>
  <si>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</si>
  <si>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</si>
  <si>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</si>
  <si>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</si>
  <si>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</si>
  <si>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</si>
  <si>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</si>
  <si>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</si>
  <si>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</si>
  <si>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</si>
  <si>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</si>
  <si>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</si>
  <si>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</si>
  <si>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</si>
  <si>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</si>
  <si>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</si>
  <si>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</si>
  <si>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</si>
  <si>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</si>
  <si>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</si>
  <si>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</si>
  <si>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</si>
  <si>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</si>
  <si>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</si>
  <si>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</si>
  <si>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</si>
  <si>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</si>
  <si>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</si>
  <si>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</si>
  <si>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</si>
  <si>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</si>
  <si>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</si>
  <si>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</si>
  <si>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</si>
  <si>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</si>
  <si>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</si>
  <si>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</si>
  <si>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</si>
  <si>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</si>
  <si>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</si>
  <si>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</si>
  <si>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</si>
  <si>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</si>
  <si>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</si>
  <si>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</si>
  <si>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</si>
  <si>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</si>
  <si>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</si>
  <si>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</si>
  <si>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住宅用地</t>
  </si>
  <si>
    <t>综合用地(含住宅)</t>
  </si>
  <si>
    <t>地块名称</t>
  </si>
  <si>
    <t>城市</t>
  </si>
  <si>
    <t>用地性质</t>
  </si>
  <si>
    <t>建设用地面积(㎡)</t>
  </si>
  <si>
    <t>规划建筑面积(㎡)</t>
  </si>
  <si>
    <t>成交日期</t>
  </si>
  <si>
    <t>受让单位</t>
  </si>
  <si>
    <t>成交价(万元)</t>
  </si>
  <si>
    <t>成交每亩价(万元/亩)</t>
  </si>
  <si>
    <t>成交楼面价(元/㎡)</t>
  </si>
  <si>
    <t>溢价率</t>
  </si>
  <si>
    <t>欧红伟</t>
  </si>
  <si>
    <t>梁津</t>
  </si>
  <si>
    <t>抵押</t>
  </si>
  <si>
    <t>抵押价格</t>
  </si>
  <si>
    <t>市场价格</t>
  </si>
  <si>
    <t>其他：</t>
  </si>
  <si>
    <t>企业</t>
  </si>
  <si>
    <t>一致</t>
  </si>
  <si>
    <t>出让</t>
  </si>
  <si>
    <t>商业</t>
  </si>
  <si>
    <t>否</t>
  </si>
  <si>
    <t>通路</t>
  </si>
  <si>
    <t>通电</t>
  </si>
  <si>
    <t>通讯</t>
  </si>
  <si>
    <t>通上水</t>
  </si>
  <si>
    <t>通下水</t>
  </si>
  <si>
    <t>燃气</t>
  </si>
  <si>
    <t>地上</t>
  </si>
  <si>
    <t>底商</t>
  </si>
  <si>
    <t>住宅用房</t>
  </si>
  <si>
    <t>住宅用房</t>
    <phoneticPr fontId="3" type="noConversion"/>
  </si>
  <si>
    <t>商业用房</t>
  </si>
  <si>
    <t>住宅用房</t>
    <phoneticPr fontId="7" type="noConversion"/>
  </si>
  <si>
    <t>不动产收益法</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</si>
  <si>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</si>
  <si>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</si>
  <si>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</si>
  <si>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</si>
  <si>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</si>
  <si>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</si>
  <si>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</si>
  <si>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</si>
  <si>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</si>
  <si>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</si>
  <si>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</si>
  <si>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</si>
  <si>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</si>
  <si>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</si>
  <si>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</si>
  <si>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</si>
  <si>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</si>
  <si>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</si>
  <si>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</si>
  <si>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</si>
  <si>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</si>
  <si>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</si>
  <si>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</si>
  <si>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</si>
  <si>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</si>
  <si>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</si>
  <si>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</si>
  <si>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</si>
  <si>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</si>
  <si>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估价对象所在区域公共配套设施齐备情况一般</t>
  </si>
  <si>
    <t>正常</t>
  </si>
  <si>
    <t>住宅、商业</t>
  </si>
  <si>
    <t>城镇住宅</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</si>
  <si>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</si>
  <si>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</si>
  <si>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</si>
  <si>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</si>
  <si>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楼面地价</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</si>
  <si>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</si>
  <si>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</si>
  <si>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</si>
  <si>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</si>
  <si>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</si>
  <si>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</si>
  <si>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</si>
  <si>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</si>
  <si>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无</t>
    <phoneticPr fontId="26" type="noConversion"/>
  </si>
  <si>
    <t>回购住宅</t>
    <phoneticPr fontId="26" type="noConversion"/>
  </si>
  <si>
    <t>住宅</t>
    <phoneticPr fontId="21" type="noConversion"/>
  </si>
  <si>
    <t>60-70（含）</t>
  </si>
  <si>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</si>
  <si>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</si>
  <si>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</si>
  <si>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</si>
  <si>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</si>
  <si>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</si>
  <si>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</si>
  <si>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</si>
  <si>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</si>
  <si>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</si>
  <si>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</si>
  <si>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</si>
  <si>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售价</t>
  </si>
  <si>
    <t>住宅用房</t>
    <phoneticPr fontId="14" type="noConversion"/>
  </si>
  <si>
    <t>剩余法-待开发</t>
  </si>
  <si>
    <t>成新度</t>
    <phoneticPr fontId="21" type="noConversion"/>
  </si>
  <si>
    <t>土地</t>
  </si>
  <si>
    <t>项目全部</t>
  </si>
  <si>
    <r>
      <t>70</t>
    </r>
    <r>
      <rPr>
        <sz val="11"/>
        <color indexed="8"/>
        <rFont val="宋体"/>
        <family val="3"/>
        <charset val="134"/>
      </rPr>
      <t>年</t>
    </r>
    <phoneticPr fontId="26" type="noConversion"/>
  </si>
  <si>
    <t xml:space="preserve"> </t>
    <phoneticPr fontId="233" type="noConversion"/>
  </si>
  <si>
    <t>周边以住宅配套商业项目为主，商业繁华度一般</t>
    <phoneticPr fontId="26" type="noConversion"/>
  </si>
  <si>
    <t>三通一平</t>
  </si>
  <si>
    <t>区县</t>
  </si>
  <si>
    <r>
      <rPr>
        <sz val="11"/>
        <rFont val="宋体"/>
        <family val="3"/>
        <charset val="134"/>
      </rPr>
      <t>周边</t>
    </r>
    <r>
      <rPr>
        <sz val="11"/>
        <rFont val="Arial"/>
        <family val="2"/>
      </rPr>
      <t>2</t>
    </r>
    <r>
      <rPr>
        <sz val="11"/>
        <rFont val="宋体"/>
        <family val="3"/>
        <charset val="134"/>
      </rPr>
      <t>公里内区域自然环境较好</t>
    </r>
    <phoneticPr fontId="26" type="noConversion"/>
  </si>
  <si>
    <t>估价对象所在区域公共配套设施齐备情况一般</t>
    <phoneticPr fontId="26" type="noConversion"/>
  </si>
  <si>
    <t xml:space="preserve"> </t>
    <phoneticPr fontId="3" type="noConversion"/>
  </si>
  <si>
    <t>土地（套用方法）</t>
  </si>
  <si>
    <t>《可研报告》</t>
    <phoneticPr fontId="6" type="noConversion"/>
  </si>
  <si>
    <t>地下</t>
  </si>
  <si>
    <t>车库</t>
  </si>
  <si>
    <t>长沙市</t>
  </si>
  <si>
    <t>望城区</t>
  </si>
  <si>
    <t>挂牌</t>
  </si>
  <si>
    <t>≤2.2</t>
  </si>
  <si>
    <t>2017-07-03</t>
  </si>
  <si>
    <t>湖南省碧桂园地产有限公司</t>
  </si>
  <si>
    <t>金山桥街道金山桥社区</t>
  </si>
  <si>
    <t>2017-06-30</t>
  </si>
  <si>
    <t>&amp;amp;#160;金山桥街道</t>
  </si>
  <si>
    <t>≤3</t>
  </si>
  <si>
    <t>2017-06-19</t>
  </si>
  <si>
    <t>长沙玫瑰园房地产开发有限公司</t>
  </si>
  <si>
    <t>出让方式</t>
  </si>
  <si>
    <t>岳麓区梅浦联络线以东、秀峰路南延线以南(梅溪湖J-44地块)</t>
  </si>
  <si>
    <t>岳麓区</t>
  </si>
  <si>
    <t>≥1,≤2.5</t>
  </si>
  <si>
    <t>2016-04-27</t>
  </si>
  <si>
    <t>江西省正荣房地产开发有限公司</t>
  </si>
  <si>
    <t>金山桥街道</t>
    <phoneticPr fontId="233" type="noConversion"/>
  </si>
  <si>
    <t>湖南省</t>
    <phoneticPr fontId="6" type="noConversion"/>
  </si>
  <si>
    <t>商业用房</t>
    <phoneticPr fontId="3" type="noConversion"/>
  </si>
  <si>
    <t>商业用房</t>
    <phoneticPr fontId="7" type="noConversion"/>
  </si>
  <si>
    <t>长沙市望城区金山桥街道</t>
    <phoneticPr fontId="6" type="noConversion"/>
  </si>
  <si>
    <t>居住项目</t>
  </si>
  <si>
    <t>估价对象周边居住用地比例较低、周边1公里有大汉汉园等项目、综合评价居住社区成熟度较差</t>
    <phoneticPr fontId="3" type="noConversion"/>
  </si>
  <si>
    <t>估价对象周边商业氛围成熟度较差，人流量一般，，商业繁华度较差</t>
    <phoneticPr fontId="3" type="noConversion"/>
  </si>
  <si>
    <t>估价对象所在区域基础设施水平-六通</t>
    <phoneticPr fontId="3" type="noConversion"/>
  </si>
  <si>
    <r>
      <t>周边2公里内有长沙医学院、观音岩水库，</t>
    </r>
    <r>
      <rPr>
        <sz val="11"/>
        <color indexed="8"/>
        <rFont val="仿宋_GB2312"/>
        <family val="3"/>
        <charset val="134"/>
      </rPr>
      <t>区域自然环境较好</t>
    </r>
    <phoneticPr fontId="3" type="noConversion"/>
  </si>
  <si>
    <t>快速路——三环线</t>
    <phoneticPr fontId="3" type="noConversion"/>
  </si>
  <si>
    <t>较差</t>
  </si>
  <si>
    <t>快速路</t>
  </si>
  <si>
    <t>三环线</t>
    <phoneticPr fontId="26" type="noConversion"/>
  </si>
  <si>
    <t>周边有卓越浅水湾、梅溪正荣府、云顶梅溪湖等多个项目，综合评价居住社区成熟度较好</t>
    <phoneticPr fontId="26" type="noConversion"/>
  </si>
  <si>
    <t>临梅溪湖公园，区域自然环境较好</t>
    <phoneticPr fontId="26" type="noConversion"/>
  </si>
  <si>
    <t>周边有米地亚家园、中粮鸿云、金山桥社区等多个项目，综合评价居住社区成熟度较好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</si>
  <si>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309</t>
    </r>
    <r>
      <rPr>
        <sz val="11"/>
        <rFont val="宋体"/>
        <family val="3"/>
        <charset val="134"/>
      </rPr>
      <t>、</t>
    </r>
    <r>
      <rPr>
        <sz val="11"/>
        <rFont val="Arial"/>
        <family val="2"/>
      </rPr>
      <t>313</t>
    </r>
    <r>
      <rPr>
        <sz val="11"/>
        <rFont val="宋体"/>
        <family val="3"/>
        <charset val="134"/>
      </rPr>
      <t>路等公交车经过，公共交通通达情况一般、停车便捷程度较好，综合评价交通便捷度一般</t>
    </r>
    <phoneticPr fontId="26" type="noConversion"/>
  </si>
  <si>
    <t>估价对象周边1公里有357、355路等公交车经过，公共交通通达情况一般、停车便捷程度较好，综合评价交通便捷度较差</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</si>
  <si>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207</t>
    </r>
    <r>
      <rPr>
        <sz val="11"/>
        <rFont val="宋体"/>
        <family val="3"/>
        <charset val="134"/>
      </rPr>
      <t>、</t>
    </r>
    <r>
      <rPr>
        <sz val="11"/>
        <rFont val="Arial"/>
        <family val="2"/>
      </rPr>
      <t>211</t>
    </r>
    <r>
      <rPr>
        <sz val="11"/>
        <rFont val="宋体"/>
        <family val="3"/>
        <charset val="134"/>
      </rPr>
      <t>路等公交车经过，公共交通通达情况一般、停车便捷程度较好，综合评价交通便捷度一般</t>
    </r>
    <phoneticPr fontId="26" type="noConversion"/>
  </si>
  <si>
    <t>临观音湖水库，区域自然环境较好</t>
    <phoneticPr fontId="26" type="noConversion"/>
  </si>
  <si>
    <t>新城国际花都</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</si>
  <si>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918</t>
    </r>
    <r>
      <rPr>
        <sz val="11"/>
        <rFont val="宋体"/>
        <family val="3"/>
        <charset val="134"/>
      </rPr>
      <t>、</t>
    </r>
    <r>
      <rPr>
        <sz val="11"/>
        <rFont val="Arial"/>
        <family val="2"/>
      </rPr>
      <t>W111</t>
    </r>
    <r>
      <rPr>
        <sz val="11"/>
        <rFont val="宋体"/>
        <family val="3"/>
        <charset val="134"/>
      </rPr>
      <t>路等公交车经过，公共交通通达情况较差、停车便捷程度较好，综合评价交通便捷度较差</t>
    </r>
    <phoneticPr fontId="26" type="noConversion"/>
  </si>
  <si>
    <r>
      <rPr>
        <sz val="11"/>
        <color indexed="8"/>
        <rFont val="宋体"/>
        <family val="3"/>
        <charset val="134"/>
      </rPr>
      <t>主干道</t>
    </r>
    <r>
      <rPr>
        <sz val="11"/>
        <color indexed="8"/>
        <rFont val="Arial"/>
        <family val="2"/>
      </rPr>
      <t/>
    </r>
    <phoneticPr fontId="21" type="noConversion"/>
  </si>
  <si>
    <t>雷锋大道</t>
    <phoneticPr fontId="21" type="noConversion"/>
  </si>
  <si>
    <t>普通装修</t>
  </si>
  <si>
    <t>米地亚家园</t>
    <phoneticPr fontId="3" type="noConversion"/>
  </si>
  <si>
    <t>估价对象周边居住用地比例较低、周边1公里有大汉汉园等项目、综合评价居住社区成熟度较差</t>
  </si>
  <si>
    <t>润和紫郡</t>
    <phoneticPr fontId="3" type="noConversion"/>
  </si>
  <si>
    <r>
      <rPr>
        <sz val="11"/>
        <rFont val="宋体"/>
        <family val="3"/>
        <charset val="134"/>
      </rPr>
      <t>周边</t>
    </r>
    <r>
      <rPr>
        <sz val="11"/>
        <rFont val="Arial"/>
        <family val="2"/>
      </rPr>
      <t>2</t>
    </r>
    <r>
      <rPr>
        <sz val="11"/>
        <rFont val="宋体"/>
        <family val="3"/>
        <charset val="134"/>
      </rPr>
      <t>公里内区域自然环境较一般</t>
    </r>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</si>
  <si>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355</t>
    </r>
    <r>
      <rPr>
        <sz val="11"/>
        <rFont val="宋体"/>
        <family val="3"/>
        <charset val="134"/>
      </rPr>
      <t>、</t>
    </r>
    <r>
      <rPr>
        <sz val="11"/>
        <rFont val="Arial"/>
        <family val="2"/>
      </rPr>
      <t>401</t>
    </r>
    <r>
      <rPr>
        <sz val="11"/>
        <rFont val="宋体"/>
        <family val="3"/>
        <charset val="134"/>
      </rPr>
      <t>路等公交车经过，公共交通通达情况一般、停车便捷程度较好，综合评价交通便捷度一般</t>
    </r>
    <phoneticPr fontId="21" type="noConversion"/>
  </si>
  <si>
    <t>普瑞东路</t>
    <phoneticPr fontId="21" type="noConversion"/>
  </si>
  <si>
    <t>支路</t>
    <phoneticPr fontId="21" type="noConversion"/>
  </si>
  <si>
    <t>平层住宅</t>
  </si>
  <si>
    <t>主干道</t>
  </si>
  <si>
    <t>周边有米地亚家园、中粮鸿云、金山桥社区等多个项目，综合评价居住社区成熟度较好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</si>
</sst>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8" fillId="0" borderId="0" applyFont="0" applyFill="0" applyBorder="0" applyAlignment="0" applyProtection="0">
      <alignment vertical="center"/>
    </xf>
    <xf numFmtId="0" fontId="86" fillId="0" borderId="0"/>
  </cellStyleXfs>
  <cellXfs count="34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0" fillId="9" borderId="0" xfId="0" applyFill="1" applyAlignment="1"/>
    <xf numFmtId="179"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49" fontId="144" fillId="0" borderId="18" xfId="0" applyNumberFormat="1" applyFont="1" applyFill="1" applyBorder="1" applyAlignment="1" applyProtection="1">
      <alignment horizontal="center" vertical="center" wrapText="1"/>
      <protection locked="0"/>
    </xf>
    <xf numFmtId="0" fontId="153" fillId="6" borderId="12" xfId="0" applyFont="1" applyFill="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58" fillId="0" borderId="7" xfId="2" applyNumberFormat="1" applyFont="1" applyFill="1" applyBorder="1" applyAlignment="1" applyProtection="1">
      <alignment horizontal="center" vertical="center"/>
      <protection locked="0"/>
    </xf>
    <xf numFmtId="0" fontId="158" fillId="0" borderId="12" xfId="2" applyNumberFormat="1" applyFont="1" applyFill="1" applyBorder="1" applyAlignment="1" applyProtection="1">
      <alignment horizontal="center" vertical="center"/>
      <protection locked="0"/>
    </xf>
    <xf numFmtId="10" fontId="76" fillId="5" borderId="0" xfId="15" applyNumberFormat="1" applyFont="1" applyFill="1" applyProtection="1">
      <alignment vertical="center"/>
      <protection locked="0"/>
    </xf>
    <xf numFmtId="0" fontId="81" fillId="0" borderId="64" xfId="0" applyNumberFormat="1" applyFont="1" applyFill="1" applyBorder="1" applyAlignment="1" applyProtection="1">
      <alignment horizontal="center" vertical="center" wrapText="1"/>
      <protection locked="0"/>
    </xf>
    <xf numFmtId="0" fontId="145" fillId="9" borderId="0" xfId="0" applyFont="1" applyFill="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cellXfs>
  <cellStyles count="17">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2661</v>
      </c>
      <c r="B1" s="2917" t="s">
        <v>2758</v>
      </c>
    </row>
    <row r="2" spans="1:55" s="2921" customFormat="1" ht="15" thickTop="1">
      <c r="A2" s="2919" t="s">
        <v>2665</v>
      </c>
      <c r="B2" s="2920" t="str">
        <f>'预评函-封皮'!B37</f>
        <v>湖南省长沙市望城区金山桥街道出让国有建设用地使用权市场价格预评估</v>
      </c>
      <c r="AX2" s="2922"/>
      <c r="AZ2" s="2922"/>
      <c r="BA2" s="2923"/>
      <c r="BC2" s="2923"/>
    </row>
    <row r="3" spans="1:55" s="2924" customFormat="1">
      <c r="A3" s="2903" t="s">
        <v>2666</v>
      </c>
      <c r="B3" s="2906">
        <f>'预评函-封皮'!B40</f>
        <v>0</v>
      </c>
    </row>
    <row r="4" spans="1:55" s="2905" customFormat="1">
      <c r="A4" s="2903" t="s">
        <v>2667</v>
      </c>
      <c r="B4" s="2904" t="str">
        <f>'预评函-封皮'!B46</f>
        <v>欧红伟、梁津</v>
      </c>
      <c r="N4" s="2905" t="str">
        <f>'预评函-1'!A28</f>
        <v>——</v>
      </c>
    </row>
    <row r="5" spans="1:55" s="2918" customFormat="1" ht="15" thickBot="1">
      <c r="A5" s="2925" t="s">
        <v>2668</v>
      </c>
      <c r="B5" s="2926" t="str">
        <f>'预评函-封皮'!B49</f>
        <v>康正预评字号</v>
      </c>
    </row>
    <row r="6" spans="1:55" s="2927" customFormat="1" ht="15" thickTop="1">
      <c r="A6" s="2919" t="s">
        <v>2710</v>
      </c>
      <c r="B6" s="2920" t="str">
        <f>'预评函-1'!A4</f>
        <v>受贵公司委托，我公司对湖南省长沙市望城区金山桥街道出让国有建设用地使用权市场价格进行了预评估。</v>
      </c>
      <c r="AM6" s="2928"/>
    </row>
    <row r="7" spans="1:55" s="2902" customFormat="1">
      <c r="A7" s="2903" t="s">
        <v>2662</v>
      </c>
      <c r="B7" s="2904" t="str">
        <f>'预评函-1'!A6</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8" spans="1:55" s="2902" customFormat="1">
      <c r="A8" s="2903" t="s">
        <v>2663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2713</v>
      </c>
      <c r="B9" s="2904" t="str">
        <f>'预评函-1'!A9</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2" customFormat="1">
      <c r="A10" s="2903" t="s">
        <v>2664</v>
      </c>
      <c r="B10" s="2904" t="str">
        <f>'预评函-1'!A11</f>
        <v>2017年12月7日（评估专业人员勘察现场之日）</v>
      </c>
    </row>
    <row r="11" spans="1:55" s="2902" customFormat="1">
      <c r="A11" s="2903" t="s">
        <v>2670</v>
      </c>
      <c r="B11" s="2904" t="str">
        <f>'预评函-1'!A14</f>
        <v>根据《可研报告》，本次评估估价对象证载（地类）用途为。</v>
      </c>
    </row>
    <row r="12" spans="1:55" s="2902" customFormat="1">
      <c r="A12" s="2903" t="s">
        <v>2671</v>
      </c>
      <c r="B12" s="2904" t="str">
        <f>'预评函-1'!A15</f>
        <v>本次评估设定用途即为证载用途。</v>
      </c>
    </row>
    <row r="13" spans="1:55" s="2902" customFormat="1">
      <c r="A13" s="2903" t="s">
        <v>2672</v>
      </c>
      <c r="B13" s="2904" t="str">
        <f>'预评函-1'!A17</f>
        <v>根据委托估价方介绍及评估专业人员现场勘查，本次评估估价对象实际土地开发程度为红线外市政基础设施达“七通”（即通路、通电、通讯、通上水、通下水、燃气、）、宗地红线内场地平整。</v>
      </c>
    </row>
    <row r="14" spans="1:55" s="2902" customFormat="1">
      <c r="A14" s="2903" t="s">
        <v>2673</v>
      </c>
      <c r="B14" s="2904" t="str">
        <f>'预评函-1'!A18</f>
        <v>。本次评估设定土地开发程度为红线外市政基础设施达“七通”、宗地红线内场地平整。</v>
      </c>
    </row>
    <row r="15" spans="1:55" s="2902" customFormat="1">
      <c r="A15" s="2903" t="s">
        <v>2669</v>
      </c>
      <c r="B15" s="2904" t="str">
        <f>'预评函-1'!A20</f>
        <v>根据《国有土地使用证》[]，估价对象（分摊）出让国有建设用地使用权面积为105421.08平方米。根据《建设工程规划许可证》[]、《出让合同》[]，估价对象规划建筑面积为231926.37平方米。</v>
      </c>
    </row>
    <row r="16" spans="1:55" s="2902" customFormat="1">
      <c r="A16" s="2903" t="s">
        <v>2674</v>
      </c>
      <c r="B16" s="2904" t="str">
        <f>'预评函-1'!A22</f>
        <v>本次估价对象为出让国有建设用地使用权，《可研报告》证载土地终止日期为住宅2087年8月7日、商业2057年8月7日。截至估价期日，出让国有建设用地使用权剩余土地使用年限为。</v>
      </c>
    </row>
    <row r="17" spans="1:48" s="2902" customFormat="1">
      <c r="A17" s="2903" t="s">
        <v>2675</v>
      </c>
      <c r="B17" s="2904" t="str">
        <f>'预评函-1'!A23</f>
        <v>本次评估设定估价对象剩余土地使用年限为。</v>
      </c>
    </row>
    <row r="18" spans="1:48" s="2902" customFormat="1">
      <c r="A18" s="2903" t="s">
        <v>2676</v>
      </c>
      <c r="B18" s="2904" t="str">
        <f>'预评函-1'!A25</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剩余土地使用年限为的出让国有建设用地使用权价格。</v>
      </c>
    </row>
    <row r="19" spans="1:48" s="2902" customFormat="1">
      <c r="A19" s="2903" t="s">
        <v>2677</v>
      </c>
      <c r="B19" s="2904" t="str">
        <f>'预评函-1'!A26</f>
        <v>——</v>
      </c>
    </row>
    <row r="20" spans="1:48" s="2902" customFormat="1">
      <c r="A20" s="2903" t="s">
        <v>2678</v>
      </c>
      <c r="B20" s="2904" t="str">
        <f>'预评函-1'!A27</f>
        <v>——</v>
      </c>
    </row>
    <row r="21" spans="1:48" s="2918" customFormat="1" ht="15" thickBot="1">
      <c r="A21" s="2925" t="s">
        <v>2679</v>
      </c>
      <c r="B21" s="2926" t="str">
        <f>'预评函-1'!A28</f>
        <v>——</v>
      </c>
    </row>
    <row r="22" spans="1:48" ht="15" thickTop="1">
      <c r="A22" s="2914" t="s">
        <v>2680</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2681</v>
      </c>
      <c r="B23" s="2904" t="str">
        <f>'预评函-2'!K2</f>
        <v>估价期日：2017年12月7日</v>
      </c>
    </row>
    <row r="24" spans="1:48">
      <c r="A24" s="2903" t="s">
        <v>2682</v>
      </c>
      <c r="B24" s="2904" t="str">
        <f>'预评函-2'!R2</f>
        <v>估价期日的国有建设用地使用权性质：出让</v>
      </c>
    </row>
    <row r="25" spans="1:48">
      <c r="A25" s="2903" t="s">
        <v>2738</v>
      </c>
      <c r="B25" s="2904" t="str">
        <f>'预评函-2'!A3</f>
        <v>估价期日土地使用者</v>
      </c>
    </row>
    <row r="26" spans="1:48">
      <c r="A26" s="2903" t="s">
        <v>2714</v>
      </c>
      <c r="B26" s="2904" t="str">
        <f>'预评函-2'!A5</f>
        <v>中信开发</v>
      </c>
    </row>
    <row r="27" spans="1:48">
      <c r="A27" s="2903" t="s">
        <v>2739</v>
      </c>
      <c r="B27" s="2904" t="str">
        <f>'预评函-2'!B3</f>
        <v>宗地编号/不动产单元号</v>
      </c>
    </row>
    <row r="28" spans="1:48">
      <c r="A28" s="2903" t="s">
        <v>2715</v>
      </c>
      <c r="B28" s="2904" t="str">
        <f>'预评函-2'!B5</f>
        <v>11111111111</v>
      </c>
    </row>
    <row r="29" spans="1:48">
      <c r="A29" s="2903" t="s">
        <v>2741</v>
      </c>
      <c r="B29" s="2904">
        <f>'预评函-2'!C5</f>
        <v>22</v>
      </c>
    </row>
    <row r="30" spans="1:48">
      <c r="A30" s="2903" t="s">
        <v>2742</v>
      </c>
      <c r="B30" s="2904" t="str">
        <f>'预评函-2'!D3</f>
        <v>土地使用证编号/不动产权证书编号</v>
      </c>
    </row>
    <row r="31" spans="1:48">
      <c r="A31" s="2903" t="s">
        <v>2716</v>
      </c>
      <c r="B31" s="2904" t="str">
        <f>'预评函-2'!D5</f>
        <v>京国土字第111号</v>
      </c>
    </row>
    <row r="32" spans="1:48">
      <c r="A32" s="2903" t="s">
        <v>2717</v>
      </c>
      <c r="B32" s="2904">
        <f>'预评函-2'!E5</f>
        <v>0</v>
      </c>
      <c r="AV32" s="2908"/>
    </row>
    <row r="33" spans="1:2">
      <c r="A33" s="2903" t="s">
        <v>2718</v>
      </c>
      <c r="B33" s="2904">
        <f>'预评函-2'!F5</f>
        <v>258</v>
      </c>
    </row>
    <row r="34" spans="1:2">
      <c r="A34" s="2903" t="s">
        <v>2719</v>
      </c>
      <c r="B34" s="2904">
        <f>'预评函-2'!G5</f>
        <v>0</v>
      </c>
    </row>
    <row r="35" spans="1:2">
      <c r="A35" s="2903" t="s">
        <v>2720</v>
      </c>
      <c r="B35" s="2904">
        <f>'预评函-2'!H5</f>
        <v>1.5</v>
      </c>
    </row>
    <row r="36" spans="1:2">
      <c r="A36" s="2903" t="s">
        <v>2721</v>
      </c>
      <c r="B36" s="2904">
        <f>'预评函-2'!I5</f>
        <v>1.5</v>
      </c>
    </row>
    <row r="37" spans="1:2">
      <c r="A37" s="2903" t="s">
        <v>2722</v>
      </c>
      <c r="B37" s="2904">
        <f>'预评函-2'!J5</f>
        <v>1.5</v>
      </c>
    </row>
    <row r="38" spans="1:2">
      <c r="A38" s="2903" t="s">
        <v>2723</v>
      </c>
      <c r="B38" s="2904" t="str">
        <f>'预评函-2'!K5</f>
        <v>红线外七通、宗地红线内</v>
      </c>
    </row>
    <row r="39" spans="1:2">
      <c r="A39" s="2903" t="s">
        <v>2724</v>
      </c>
      <c r="B39" s="2904" t="str">
        <f>'预评函-2'!L5</f>
        <v>红线外七通、宗地红线内场地</v>
      </c>
    </row>
    <row r="40" spans="1:2">
      <c r="A40" s="2903" t="s">
        <v>2743</v>
      </c>
      <c r="B40" s="2904" t="str">
        <f>'预评函-2'!M3</f>
        <v>（剩余）土地使用年限/年</v>
      </c>
    </row>
    <row r="41" spans="1:2">
      <c r="A41" s="2903" t="s">
        <v>2725</v>
      </c>
      <c r="B41" s="2904">
        <f>'预评函-2'!M5</f>
        <v>0</v>
      </c>
    </row>
    <row r="42" spans="1:2">
      <c r="A42" s="2903" t="s">
        <v>2744</v>
      </c>
      <c r="B42" s="2904" t="str">
        <f>'预评函-2'!N3</f>
        <v>（分摊）出让国有建设用地使用权面积/㎡</v>
      </c>
    </row>
    <row r="43" spans="1:2">
      <c r="A43" s="2903" t="s">
        <v>2726</v>
      </c>
      <c r="B43" s="2904">
        <f>'预评函-2'!N5</f>
        <v>105421.08</v>
      </c>
    </row>
    <row r="44" spans="1:2">
      <c r="A44" s="2903" t="s">
        <v>2745</v>
      </c>
      <c r="B44" s="2904" t="str">
        <f>'预评函-2'!O3</f>
        <v>规划建筑面积/㎡</v>
      </c>
    </row>
    <row r="45" spans="1:2">
      <c r="A45" s="2903" t="s">
        <v>2727</v>
      </c>
      <c r="B45" s="2904">
        <f>'预评函-2'!O5</f>
        <v>231926.37</v>
      </c>
    </row>
    <row r="46" spans="1:2">
      <c r="A46" s="2903" t="s">
        <v>2728</v>
      </c>
      <c r="B46" s="2904">
        <f ca="1">'预评函-2'!P5</f>
        <v>8845</v>
      </c>
    </row>
    <row r="47" spans="1:2">
      <c r="A47" s="2903" t="s">
        <v>2729</v>
      </c>
      <c r="B47" s="2904">
        <f ca="1">'预评函-2'!Q5</f>
        <v>4021</v>
      </c>
    </row>
    <row r="48" spans="1:2">
      <c r="A48" s="2903" t="s">
        <v>2730</v>
      </c>
      <c r="B48" s="2904">
        <f ca="1">'预评函-2'!R5</f>
        <v>93246</v>
      </c>
    </row>
    <row r="49" spans="1:2">
      <c r="A49" s="2903" t="s">
        <v>2746</v>
      </c>
      <c r="B49" s="2904" t="str">
        <f>'预评函-2'!A6</f>
        <v>——</v>
      </c>
    </row>
    <row r="50" spans="1:2">
      <c r="A50" s="2903" t="s">
        <v>2731</v>
      </c>
      <c r="B50" s="2904">
        <f ca="1">'预评函-2'!R6</f>
        <v>93246</v>
      </c>
    </row>
    <row r="51" spans="1:2">
      <c r="A51" s="2903" t="s">
        <v>2747</v>
      </c>
      <c r="B51" s="2904" t="str">
        <f>'预评函-2'!A7</f>
        <v>——</v>
      </c>
    </row>
    <row r="52" spans="1:2">
      <c r="A52" s="2903" t="s">
        <v>2732</v>
      </c>
      <c r="B52" s="2904" t="str">
        <f>'预评函-2'!R7</f>
        <v>——</v>
      </c>
    </row>
    <row r="53" spans="1:2">
      <c r="A53" s="2903" t="s">
        <v>2748</v>
      </c>
      <c r="B53" s="2904" t="str">
        <f>'预评函-2'!A8</f>
        <v>——</v>
      </c>
    </row>
    <row r="54" spans="1:2" s="2918" customFormat="1" ht="15" thickBot="1">
      <c r="A54" s="2925" t="s">
        <v>2733</v>
      </c>
      <c r="B54" s="2926" t="str">
        <f>'预评函-2'!R8</f>
        <v>——</v>
      </c>
    </row>
    <row r="55" spans="1:2" ht="15" thickTop="1">
      <c r="A55" s="2914" t="s">
        <v>2683</v>
      </c>
      <c r="B55" s="2915" t="str">
        <f>'预评函-3'!A2</f>
        <v>1.权利限制：根据估价对象《不动产权证书》——、《国有土地使用权》——，截至估价期日，估价对象抵押权未见登记。未设定租赁等其他他项权利。</v>
      </c>
    </row>
    <row r="56" spans="1:2">
      <c r="A56" s="2903" t="s">
        <v>2684</v>
      </c>
      <c r="B56" s="2904" t="str">
        <f>'预评函-3'!A3</f>
        <v>2.基础设施条件：估价对象实际开发程度为红线外七通、宗地红线内；本次评估设定开发程度为红线外七通、宗地红线内场地。</v>
      </c>
    </row>
    <row r="57" spans="1:2">
      <c r="A57" s="2903" t="s">
        <v>2685</v>
      </c>
      <c r="B57" s="2904" t="str">
        <f>'预评函-3'!A4</f>
        <v>3.估价规划限制条件：详见《建设工程规划许可证》[]、《出让合同》[]。</v>
      </c>
    </row>
    <row r="58" spans="1:2" s="2918" customFormat="1" ht="15" thickBot="1">
      <c r="A58" s="2925" t="s">
        <v>2734</v>
      </c>
      <c r="B58" s="2926" t="str">
        <f>'预评函-3'!A5</f>
        <v>4.影响价格的其他限定条件：无。</v>
      </c>
    </row>
    <row r="59" spans="1:2" ht="15" thickTop="1">
      <c r="A59" s="2914" t="s">
        <v>2686</v>
      </c>
      <c r="B59" s="2915" t="str">
        <f>'预评函-3'!A8</f>
        <v>2.本《评估意见函》仅供金融机构进行内部审核使用，不做其他目的之用。</v>
      </c>
    </row>
    <row r="60" spans="1:2">
      <c r="A60" s="2903" t="s">
        <v>2687</v>
      </c>
      <c r="B60" s="2904" t="str">
        <f>'预评函-3'!A9</f>
        <v>3.抵押双方在办理抵押登记手续时，应使用本公司出具的正式《土地估价报告》，特提请报告使用者注意。</v>
      </c>
    </row>
    <row r="61" spans="1:2">
      <c r="A61" s="2903" t="s">
        <v>2689</v>
      </c>
      <c r="B61" s="2904" t="str">
        <f>'预评函-3'!A10</f>
        <v>4.估价师所知悉的法定优先受偿款情况为：</v>
      </c>
    </row>
    <row r="62" spans="1:2">
      <c r="A62" s="2903" t="s">
        <v>2688</v>
      </c>
      <c r="B62" s="2904" t="str">
        <f>'预评函-3'!A11</f>
        <v>（1）根据估价对象《不动产权证书》——、《国有土地使用权》——，截至估价期日，估价对象抵押权未见登记。</v>
      </c>
    </row>
    <row r="63" spans="1:2">
      <c r="A63" s="2903" t="s">
        <v>2690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2691</v>
      </c>
      <c r="B64" s="2909" t="str">
        <f>'预评函-3'!A13</f>
        <v>（3）。</v>
      </c>
    </row>
    <row r="65" spans="1:2">
      <c r="A65" s="2903" t="s">
        <v>2692</v>
      </c>
      <c r="B65" s="2910" t="str">
        <f>'预评函-3'!A14</f>
        <v>综上，本次评估不存在估价师知悉的法定优先受偿款</v>
      </c>
    </row>
    <row r="66" spans="1:2">
      <c r="A66" s="2903" t="s">
        <v>2693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2697</v>
      </c>
      <c r="B68" s="2929">
        <f>'预评函-3'!D30</f>
        <v>42558</v>
      </c>
    </row>
    <row r="69" spans="1:2" ht="15" thickTop="1">
      <c r="A69" s="2914" t="s">
        <v>2695</v>
      </c>
      <c r="B69" s="2915" t="str">
        <f>'预评函-3'!A20</f>
        <v>欧红伟</v>
      </c>
    </row>
    <row r="70" spans="1:2">
      <c r="A70" s="2903" t="s">
        <v>2695</v>
      </c>
      <c r="B70" s="2910">
        <f ca="1">'预评函-3'!B20</f>
        <v>2000110082</v>
      </c>
    </row>
    <row r="71" spans="1:2">
      <c r="A71" s="2903" t="s">
        <v>2696</v>
      </c>
      <c r="B71" s="2904" t="str">
        <f>'预评函-3'!A21</f>
        <v>梁津</v>
      </c>
    </row>
    <row r="72" spans="1:2" s="2918" customFormat="1" ht="15" thickBot="1">
      <c r="A72" s="2925" t="s">
        <v>2696</v>
      </c>
      <c r="B72" s="2931">
        <f ca="1">'预评函-3'!B21</f>
        <v>96010014</v>
      </c>
    </row>
    <row r="73" spans="1:2" ht="15" thickTop="1">
      <c r="A73" s="2914" t="s">
        <v>2755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2792</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C21" sqref="C21"/>
    </sheetView>
  </sheetViews>
  <sheetFormatPr defaultColWidth="10" defaultRowHeight="14.25"/>
  <cols>
    <col min="1" max="1" width="15.375" style="1689" customWidth="1"/>
    <col min="2" max="2" width="11.375" style="1689" customWidth="1"/>
    <col min="3" max="3" width="12.625" style="1689" customWidth="1"/>
    <col min="4" max="4" width="12"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29" t="str">
        <f>IF(B10="北京市","北京市",C10)&amp;F10&amp;B16&amp;"国有建设用地使用权"&amp;B9&amp;"预评估"</f>
        <v>湖南省长沙市望城区金山桥街道出让国有建设用地使用权市场价格预评估</v>
      </c>
      <c r="C1" s="3230"/>
      <c r="D1" s="3230"/>
      <c r="E1" s="3230"/>
      <c r="F1" s="3230"/>
      <c r="G1" s="3230"/>
      <c r="H1" s="3230"/>
      <c r="I1" s="3231"/>
      <c r="J1" s="1692"/>
      <c r="K1" s="2478" t="str">
        <f>IF(B10="北京市","北京市",C10)&amp;F10&amp;B16&amp;"国有建设用地使用权"&amp;B9</f>
        <v>湖南省长沙市望城区金山桥街道出让国有建设用地使用权市场价格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湖南省长沙市望城区金山桥街道出让国有建设用地使用权</v>
      </c>
      <c r="L2" s="1721"/>
      <c r="M2" s="1721"/>
      <c r="N2" s="1692"/>
      <c r="O2" s="1693"/>
      <c r="P2" s="1692"/>
      <c r="Q2" s="1692"/>
      <c r="R2" s="1692"/>
      <c r="S2" s="1692"/>
      <c r="T2" s="1692"/>
      <c r="U2" s="1692"/>
    </row>
    <row r="3" spans="1:21">
      <c r="A3" s="1659" t="s">
        <v>1941</v>
      </c>
      <c r="B3" s="1660">
        <v>43076</v>
      </c>
      <c r="C3" s="1661" t="s">
        <v>1996</v>
      </c>
      <c r="D3" s="1660">
        <v>43076</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2985</v>
      </c>
      <c r="C4" s="1844">
        <f ca="1">SUMIF(土地估价师,B4,估价师及机构信息!E3:E24)</f>
        <v>2000110082</v>
      </c>
      <c r="D4" s="1841" t="s">
        <v>2986</v>
      </c>
      <c r="E4" s="1844">
        <f ca="1">SUMIF(土地估价师,D4,估价师及机构信息!E3:E24)</f>
        <v>96010014</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欧红伟、梁津</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2711</v>
      </c>
      <c r="B6" s="1787"/>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2712</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2987</v>
      </c>
      <c r="C8" s="1669"/>
      <c r="D8" s="3235" t="s">
        <v>1946</v>
      </c>
      <c r="E8" s="1842" t="s">
        <v>2988</v>
      </c>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36"/>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2990</v>
      </c>
      <c r="C10" s="1674" t="s">
        <v>3108</v>
      </c>
      <c r="D10" s="1665"/>
      <c r="E10" s="1675" t="s">
        <v>1948</v>
      </c>
      <c r="F10" s="1676" t="s">
        <v>3111</v>
      </c>
      <c r="G10" s="1743"/>
      <c r="H10" s="1744"/>
      <c r="I10" s="1665"/>
      <c r="J10" s="1692"/>
      <c r="K10" s="1772"/>
      <c r="L10" s="1721"/>
      <c r="M10" s="1721"/>
      <c r="N10" s="1692"/>
      <c r="O10" s="1693"/>
      <c r="P10" s="1692"/>
      <c r="Q10" s="1692"/>
      <c r="R10" s="1692"/>
      <c r="S10" s="1692"/>
      <c r="T10" s="1692"/>
      <c r="U10" s="1692"/>
    </row>
    <row r="11" spans="1:21">
      <c r="A11" s="1695" t="s">
        <v>2001</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32"/>
      <c r="C12" s="3233"/>
      <c r="D12" s="3234"/>
      <c r="E12" s="1697" t="s">
        <v>2062</v>
      </c>
      <c r="F12" s="3250" t="s">
        <v>3086</v>
      </c>
      <c r="G12" s="3251"/>
      <c r="H12" s="3251"/>
      <c r="I12" s="3252"/>
      <c r="J12" s="1692"/>
      <c r="K12" s="1772"/>
      <c r="L12" s="1721"/>
      <c r="M12" s="1721"/>
      <c r="N12" s="1692"/>
      <c r="O12" s="1693"/>
      <c r="P12" s="1692"/>
      <c r="Q12" s="1692"/>
      <c r="R12" s="1692"/>
      <c r="S12" s="1692"/>
      <c r="T12" s="1692"/>
      <c r="U12" s="1692"/>
    </row>
    <row r="13" spans="1:21">
      <c r="A13" s="1685" t="s">
        <v>2060</v>
      </c>
      <c r="B13" s="3232"/>
      <c r="C13" s="3233"/>
      <c r="D13" s="3234"/>
      <c r="E13" s="1697" t="s">
        <v>2062</v>
      </c>
      <c r="F13" s="3250"/>
      <c r="G13" s="3251"/>
      <c r="H13" s="3251"/>
      <c r="I13" s="3252"/>
      <c r="J13" s="1692"/>
      <c r="K13" s="1772"/>
      <c r="L13" s="1721"/>
      <c r="M13" s="1721"/>
      <c r="N13" s="1692"/>
      <c r="O13" s="1693"/>
      <c r="P13" s="1692"/>
      <c r="Q13" s="1692"/>
      <c r="R13" s="1692"/>
      <c r="S13" s="1692"/>
      <c r="T13" s="1692"/>
      <c r="U13" s="1692"/>
    </row>
    <row r="14" spans="1:21">
      <c r="A14" s="1659" t="s">
        <v>2063</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2993</v>
      </c>
      <c r="C16" s="1697" t="s">
        <v>1950</v>
      </c>
      <c r="D16" s="2670" t="s">
        <v>1951</v>
      </c>
      <c r="E16" s="1720" t="s">
        <v>2994</v>
      </c>
      <c r="F16" s="1720"/>
      <c r="G16" s="1720" t="s">
        <v>3088</v>
      </c>
      <c r="H16" s="1720"/>
      <c r="I16" s="1684" t="s">
        <v>1956</v>
      </c>
      <c r="J16" s="1692"/>
      <c r="K16" s="2479" t="str">
        <f>IF(D17="","",D16&amp;TEXT(D17,"yyyy年m月d日;;"))</f>
        <v>住宅2087年8月7日</v>
      </c>
      <c r="L16" s="1697" t="str">
        <f>IF(OR(K16="",M16=""),"","、")</f>
        <v>、</v>
      </c>
      <c r="M16" s="2479" t="str">
        <f>IF(E17="","",E16&amp;TEXT(E17,"yyyy年m月d日;;"))</f>
        <v>商业2057年8月7日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1957</v>
      </c>
      <c r="D17" s="1698">
        <v>68521</v>
      </c>
      <c r="E17" s="1698">
        <v>57564</v>
      </c>
      <c r="F17" s="1698"/>
      <c r="G17" s="1698"/>
      <c r="H17" s="1698"/>
      <c r="I17" s="1698"/>
      <c r="J17" s="1692"/>
      <c r="K17" s="2478" t="str">
        <f>CONCATENATE(K16,L16,M16,N16,O16,P16,Q16,R16,S16,T16,,U16)</f>
        <v>住宅2087年8月7日、商业2057年8月7日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69.709999999999994</v>
      </c>
      <c r="E19" s="1683">
        <f>IF(B16="出让",IF(E17="","",ROUNDDOWN(MIN((E17-$D$3)/365,E18),2)),E18)</f>
        <v>39.69</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47"/>
      <c r="E20" s="3248"/>
      <c r="F20" s="3248"/>
      <c r="G20" s="3248"/>
      <c r="H20" s="3248"/>
      <c r="I20" s="3249"/>
      <c r="J20" s="1692"/>
      <c r="K20" s="1772"/>
      <c r="L20" s="1721"/>
      <c r="M20" s="1721"/>
      <c r="N20" s="1692"/>
      <c r="O20" s="1693"/>
      <c r="P20" s="1692"/>
      <c r="Q20" s="1692"/>
      <c r="R20" s="1692"/>
      <c r="S20" s="1692"/>
      <c r="T20" s="1692"/>
      <c r="U20" s="1692"/>
    </row>
    <row r="21" spans="1:21">
      <c r="A21" s="1761" t="s">
        <v>1960</v>
      </c>
      <c r="B21" s="1762" t="s">
        <v>1961</v>
      </c>
      <c r="C21" s="1757">
        <f>'数据-汇总表'!E3</f>
        <v>231926.37</v>
      </c>
      <c r="D21" s="1758" t="s">
        <v>1962</v>
      </c>
      <c r="E21" s="3237" t="s">
        <v>1999</v>
      </c>
      <c r="F21" s="3238"/>
      <c r="G21" s="3238"/>
      <c r="H21" s="3238"/>
      <c r="I21" s="3239"/>
      <c r="J21" s="1692"/>
      <c r="K21" s="1772"/>
      <c r="L21" s="1721"/>
      <c r="M21" s="1721"/>
      <c r="N21" s="1692"/>
      <c r="O21" s="1693"/>
      <c r="P21" s="1692"/>
      <c r="Q21" s="1692"/>
      <c r="R21" s="1692"/>
      <c r="S21" s="1692"/>
      <c r="T21" s="1692"/>
      <c r="U21" s="1692"/>
    </row>
    <row r="22" spans="1:21">
      <c r="A22" s="2661" t="s">
        <v>951</v>
      </c>
      <c r="B22" s="1659" t="s">
        <v>1963</v>
      </c>
      <c r="C22" s="1684">
        <f>'数据-汇总表'!D3</f>
        <v>105421.08</v>
      </c>
      <c r="D22" s="1685" t="s">
        <v>1962</v>
      </c>
      <c r="E22" s="3237" t="s">
        <v>2894</v>
      </c>
      <c r="F22" s="3238"/>
      <c r="G22" s="3238"/>
      <c r="H22" s="3238"/>
      <c r="I22" s="3239"/>
      <c r="J22" s="1692"/>
      <c r="K22" s="1772"/>
      <c r="L22" s="1721"/>
      <c r="M22" s="1721"/>
      <c r="N22" s="1692"/>
      <c r="O22" s="1693"/>
      <c r="P22" s="1692"/>
      <c r="Q22" s="1692"/>
      <c r="R22" s="1692"/>
      <c r="S22" s="1692"/>
      <c r="T22" s="1692"/>
      <c r="U22" s="1692"/>
    </row>
    <row r="23" spans="1:21" ht="43.5" thickBot="1">
      <c r="A23" s="1763" t="s">
        <v>1964</v>
      </c>
      <c r="B23" s="1699" t="s">
        <v>1965</v>
      </c>
      <c r="C23" s="1700" t="s">
        <v>2995</v>
      </c>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40" t="s">
        <v>1968</v>
      </c>
      <c r="C24" s="3241"/>
      <c r="D24" s="3242" t="s">
        <v>1969</v>
      </c>
      <c r="E24" s="3243"/>
      <c r="F24" s="1706" t="s">
        <v>1970</v>
      </c>
      <c r="G24" s="1692"/>
      <c r="H24" s="1692"/>
      <c r="I24" s="1705"/>
      <c r="J24" s="1692"/>
      <c r="K24" s="3228" t="s">
        <v>1971</v>
      </c>
      <c r="L24" s="248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2326</v>
      </c>
      <c r="C25" s="1707" t="s">
        <v>951</v>
      </c>
      <c r="D25" s="1708"/>
      <c r="E25" s="1709" t="s">
        <v>951</v>
      </c>
      <c r="F25" s="1710"/>
      <c r="G25" s="1692"/>
      <c r="H25" s="1692"/>
      <c r="I25" s="1705"/>
      <c r="J25" s="1692"/>
      <c r="K25" s="3228"/>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1972</v>
      </c>
      <c r="C26" s="1707" t="s">
        <v>951</v>
      </c>
      <c r="D26" s="1658"/>
      <c r="E26" s="1658"/>
      <c r="F26" s="1686"/>
      <c r="G26" s="1692"/>
      <c r="H26" s="1692"/>
      <c r="I26" s="1705"/>
      <c r="J26" s="1692"/>
      <c r="K26" s="3228"/>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75"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6"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6"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7"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14" t="s">
        <v>2002</v>
      </c>
      <c r="B31" s="1762" t="s">
        <v>2003</v>
      </c>
      <c r="C31" s="3253" t="s">
        <v>3112</v>
      </c>
      <c r="D31" s="3254"/>
      <c r="E31" s="1692"/>
      <c r="F31" s="1692"/>
      <c r="G31" s="1692"/>
      <c r="H31" s="1692"/>
      <c r="I31" s="1705"/>
      <c r="J31" s="1692"/>
      <c r="K31" s="2481"/>
      <c r="L31" s="1692"/>
      <c r="M31" s="1692"/>
      <c r="N31" s="1692"/>
      <c r="O31" s="1692"/>
      <c r="P31" s="1692"/>
      <c r="Q31" s="1692"/>
      <c r="R31" s="1692"/>
      <c r="S31" s="1692"/>
      <c r="T31" s="1692"/>
      <c r="U31" s="1692"/>
    </row>
    <row r="32" spans="1:21">
      <c r="A32" s="3214"/>
      <c r="B32" s="1659" t="s">
        <v>2004</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14"/>
      <c r="B33" s="1659" t="s">
        <v>2005</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15"/>
      <c r="B34" s="1659" t="s">
        <v>2006</v>
      </c>
      <c r="C34" s="3216"/>
      <c r="D34" s="3217"/>
      <c r="E34" s="1692"/>
      <c r="F34" s="1692"/>
      <c r="G34" s="1692"/>
      <c r="H34" s="1692"/>
      <c r="I34" s="1705"/>
      <c r="J34" s="1692"/>
      <c r="K34" s="2481"/>
      <c r="L34" s="1692"/>
      <c r="M34" s="1692"/>
      <c r="N34" s="1692"/>
      <c r="O34" s="1692"/>
      <c r="P34" s="1692"/>
      <c r="Q34" s="1692"/>
      <c r="R34" s="1692"/>
      <c r="S34" s="1692"/>
      <c r="T34" s="1692"/>
      <c r="U34" s="1692"/>
    </row>
    <row r="35" spans="1:21">
      <c r="A35" s="3218" t="s">
        <v>846</v>
      </c>
      <c r="B35" s="1720"/>
      <c r="C35" s="1774" t="str">
        <f>IF(B35="场地平整","——","具体情况：")</f>
        <v>具体情况：</v>
      </c>
      <c r="D35" s="3220"/>
      <c r="E35" s="3221"/>
      <c r="F35" s="3221"/>
      <c r="G35" s="3221"/>
      <c r="H35" s="3221"/>
      <c r="I35" s="3222"/>
      <c r="J35" s="1692"/>
      <c r="K35" s="1773"/>
      <c r="L35" s="1721"/>
      <c r="M35" s="1721"/>
      <c r="N35" s="1692"/>
      <c r="O35" s="1693"/>
      <c r="P35" s="1692"/>
      <c r="Q35" s="1692"/>
      <c r="R35" s="1692"/>
      <c r="S35" s="1692"/>
      <c r="T35" s="1692"/>
      <c r="U35" s="1692"/>
    </row>
    <row r="36" spans="1:21">
      <c r="A36" s="3214"/>
      <c r="B36" s="3223" t="s">
        <v>2055</v>
      </c>
      <c r="C36" s="3224"/>
      <c r="D36" s="1790"/>
      <c r="E36" s="3225"/>
      <c r="F36" s="3225"/>
      <c r="G36" s="1685" t="str">
        <f>IF(B35="场地未平整","估价结果处理","")</f>
        <v/>
      </c>
      <c r="H36" s="3226"/>
      <c r="I36" s="3226"/>
      <c r="J36" s="1692"/>
      <c r="K36" s="1773"/>
      <c r="L36" s="1721"/>
      <c r="M36" s="1721"/>
      <c r="N36" s="1692"/>
      <c r="O36" s="1693"/>
      <c r="P36" s="1692"/>
      <c r="Q36" s="1692"/>
      <c r="R36" s="1692"/>
      <c r="S36" s="1692"/>
      <c r="T36" s="1692"/>
      <c r="U36" s="1692"/>
    </row>
    <row r="37" spans="1:21" ht="28.5">
      <c r="A37" s="3214"/>
      <c r="B37" s="3244"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14"/>
      <c r="B38" s="3245"/>
      <c r="C38" s="1667" t="s">
        <v>849</v>
      </c>
      <c r="D38" s="1789">
        <f>ROUNDDOWN(MIN(('数据-取费表'!$B$2-D37)/365,D34),1)</f>
        <v>118</v>
      </c>
      <c r="E38" s="1725" t="s">
        <v>850</v>
      </c>
      <c r="F38" s="1692"/>
      <c r="G38" s="1692"/>
      <c r="H38" s="1692"/>
      <c r="I38" s="1705"/>
      <c r="J38" s="1692"/>
      <c r="K38" s="1773"/>
      <c r="L38" s="1692"/>
      <c r="M38" s="1692"/>
      <c r="N38" s="1692"/>
      <c r="O38" s="1692"/>
      <c r="P38" s="1692"/>
      <c r="Q38" s="1692"/>
      <c r="R38" s="1692"/>
      <c r="S38" s="1692"/>
      <c r="T38" s="1692"/>
      <c r="U38" s="1692"/>
    </row>
    <row r="39" spans="1:21">
      <c r="A39" s="3215"/>
      <c r="B39" s="324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2996</v>
      </c>
      <c r="C40" s="1688" t="s">
        <v>2997</v>
      </c>
      <c r="D40" s="1688" t="s">
        <v>2998</v>
      </c>
      <c r="E40" s="1688" t="s">
        <v>2999</v>
      </c>
      <c r="F40" s="1688" t="s">
        <v>3000</v>
      </c>
      <c r="G40" s="1688" t="s">
        <v>3001</v>
      </c>
      <c r="H40" s="1688"/>
      <c r="I40" s="1705"/>
      <c r="J40" s="1692"/>
      <c r="K40" s="1728">
        <f>COUNTIF(B40:H40,"——")</f>
        <v>0</v>
      </c>
      <c r="L40" s="1697" t="s">
        <v>1979</v>
      </c>
      <c r="M40" s="1694" t="s">
        <v>1980</v>
      </c>
      <c r="N40" s="1694" t="s">
        <v>1981</v>
      </c>
      <c r="O40" s="1694" t="s">
        <v>1982</v>
      </c>
      <c r="P40" s="1694" t="s">
        <v>1983</v>
      </c>
      <c r="Q40" s="1694" t="s">
        <v>1984</v>
      </c>
      <c r="R40" s="1694" t="s">
        <v>1985</v>
      </c>
      <c r="S40" s="3227" t="s">
        <v>1986</v>
      </c>
      <c r="T40" s="1729" t="str">
        <f>NUMBERSTRING(7-K40,1)&amp;"通"</f>
        <v>七通</v>
      </c>
      <c r="U40" s="1692"/>
    </row>
    <row r="41" spans="1:21">
      <c r="A41" s="1661"/>
      <c r="B41" s="3219" t="s">
        <v>1721</v>
      </c>
      <c r="C41" s="3219"/>
      <c r="D41" s="3219"/>
      <c r="E41" s="3219"/>
      <c r="F41" s="1730" t="str">
        <f>C10</f>
        <v>湖南省</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27"/>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2895</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5" sqref="K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105421.08</v>
      </c>
      <c r="B3" s="22">
        <f>IF(C3="否",G5-AT5,G5)</f>
        <v>231926.37</v>
      </c>
      <c r="C3" s="23" t="s">
        <v>2995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231926.37</v>
      </c>
      <c r="H5" s="27">
        <f t="shared" ref="H5:AT5" si="0">SUM(H13:H641)</f>
        <v>231926.37</v>
      </c>
      <c r="I5" s="27">
        <f t="shared" si="0"/>
        <v>224968.58</v>
      </c>
      <c r="J5" s="27">
        <f t="shared" si="0"/>
        <v>0</v>
      </c>
      <c r="K5" s="27">
        <f t="shared" si="0"/>
        <v>6957.79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231926.37</v>
      </c>
      <c r="BA5" s="29">
        <f t="shared" si="1"/>
        <v>231926.37</v>
      </c>
      <c r="BB5" s="29">
        <f t="shared" si="1"/>
        <v>224968.58</v>
      </c>
      <c r="BC5" s="29">
        <f t="shared" si="1"/>
        <v>6957.79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105421.08</v>
      </c>
      <c r="F6" s="27" t="s">
        <v>1</v>
      </c>
      <c r="G6" s="27" t="s">
        <v>2</v>
      </c>
      <c r="H6" s="33">
        <f>SUMIF(I$12:AB$12,"总值",I6:AB6)</f>
        <v>105421.08</v>
      </c>
      <c r="I6" s="27">
        <f t="shared" ref="I6:AB6" si="2">ROUND($A$3*I5/$B$3,2)</f>
        <v>102258.45</v>
      </c>
      <c r="J6" s="27">
        <f t="shared" si="2"/>
        <v>0</v>
      </c>
      <c r="K6" s="27">
        <f t="shared" si="2"/>
        <v>3162.63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105421.08</v>
      </c>
      <c r="AZ6" s="27" t="s">
        <v>3</v>
      </c>
      <c r="BA6" s="27">
        <f>ROUND($AY$6*BA5/$AZ$5,2)</f>
        <v>105421.08</v>
      </c>
      <c r="BB6" s="27">
        <f>ROUND($AY$6*BB5/$AZ$5,2)</f>
        <v>102258.45</v>
      </c>
      <c r="BC6" s="27">
        <f t="shared" ref="BC6:BH6" si="4">ROUND($AY$6*BC5/$AZ$5,2)</f>
        <v>3162.63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6"/>
      <c r="AT8" s="2327"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3044" t="s">
        <v>3002</v>
      </c>
      <c r="J9" s="51"/>
      <c r="K9" s="3044" t="s">
        <v>3002</v>
      </c>
      <c r="L9" s="51"/>
      <c r="M9" s="3044" t="s">
        <v>3087</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8"/>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3044" t="s">
        <v>922</v>
      </c>
      <c r="J10" s="51"/>
      <c r="K10" s="3046" t="s">
        <v>2994</v>
      </c>
      <c r="L10" s="51"/>
      <c r="M10" s="3046" t="s">
        <v>922</v>
      </c>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2331</v>
      </c>
      <c r="AK10" s="2332"/>
      <c r="AL10" s="2313" t="s">
        <v>2320</v>
      </c>
      <c r="AM10" s="2314"/>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3140</v>
      </c>
      <c r="J11" s="71"/>
      <c r="K11" s="3045" t="s">
        <v>3003</v>
      </c>
      <c r="L11" s="71"/>
      <c r="M11" s="70" t="s">
        <v>3088</v>
      </c>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180">
        <v>0.03</v>
      </c>
      <c r="B13" s="3039"/>
      <c r="C13" s="3039" t="s">
        <v>3005</v>
      </c>
      <c r="D13" s="3040" t="s">
        <v>1678</v>
      </c>
      <c r="E13" s="27">
        <f t="shared" ref="E13:E20" si="6">IF($C$3="是",ROUND($A$3*G13/$B$3,2),ROUND($A$3*(G13-AT13)/$B$3,2))</f>
        <v>102258.45</v>
      </c>
      <c r="F13" s="81"/>
      <c r="G13" s="82">
        <f t="shared" ref="G13:G20" si="7">H13+AC13+AT13</f>
        <v>224968.58</v>
      </c>
      <c r="H13" s="33">
        <f t="shared" ref="H13:H20" si="8">SUMIF(I$12:AB$12,"总值",I13:AB13)</f>
        <v>224968.58</v>
      </c>
      <c r="I13" s="3043">
        <f>A14-K14</f>
        <v>224968.58</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0.03</v>
      </c>
      <c r="AW13" s="17">
        <f t="shared" si="10"/>
        <v>0</v>
      </c>
      <c r="AX13" s="17" t="str">
        <f t="shared" si="10"/>
        <v>住宅用房</v>
      </c>
      <c r="AY13" s="995">
        <f t="shared" ref="AY13:AY20" si="11">ROUND($AY$6*AZ13/$AZ$5,2)</f>
        <v>102258.45</v>
      </c>
      <c r="AZ13" s="27">
        <f t="shared" ref="AZ13:AZ20" si="12">BA13+BL13</f>
        <v>224968.58</v>
      </c>
      <c r="BA13" s="27">
        <f t="shared" ref="BA13:BA20" si="13">SUM(BB13:BK13)</f>
        <v>224968.58</v>
      </c>
      <c r="BB13" s="27">
        <f t="shared" ref="BB13:BB20" si="14">IF($D13="是",I13-J13,0)</f>
        <v>224968.58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v>231926.37</v>
      </c>
      <c r="B14" s="3039"/>
      <c r="C14" s="3039" t="s">
        <v>3109</v>
      </c>
      <c r="D14" s="3040" t="s">
        <v>1678</v>
      </c>
      <c r="E14" s="27">
        <f t="shared" si="6"/>
        <v>3162.63</v>
      </c>
      <c r="F14" s="81"/>
      <c r="G14" s="82">
        <f t="shared" si="7"/>
        <v>6957.79</v>
      </c>
      <c r="H14" s="33">
        <f t="shared" si="8"/>
        <v>6957.79</v>
      </c>
      <c r="I14" s="3043"/>
      <c r="J14" s="3043"/>
      <c r="K14" s="3043">
        <f>ROUND(A14*A13,2)</f>
        <v>6957.79</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231926.37</v>
      </c>
      <c r="AW14" s="17">
        <f t="shared" si="10"/>
        <v>0</v>
      </c>
      <c r="AX14" s="17" t="str">
        <f t="shared" si="10"/>
        <v>商业用房</v>
      </c>
      <c r="AY14" s="995">
        <f t="shared" si="11"/>
        <v>3162.63</v>
      </c>
      <c r="AZ14" s="27">
        <f t="shared" si="12"/>
        <v>6957.79</v>
      </c>
      <c r="BA14" s="27">
        <f t="shared" si="13"/>
        <v>6957.79</v>
      </c>
      <c r="BB14" s="27">
        <f t="shared" si="14"/>
        <v>0</v>
      </c>
      <c r="BC14" s="27">
        <f t="shared" si="15"/>
        <v>6957.79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180"/>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66" t="s">
        <v>202</v>
      </c>
      <c r="B2" s="3266"/>
      <c r="C2" s="3266"/>
      <c r="D2" s="1974" t="s">
        <v>203</v>
      </c>
      <c r="E2" s="106" t="s">
        <v>204</v>
      </c>
      <c r="F2" s="1983"/>
      <c r="G2" s="1197"/>
      <c r="H2" s="1198"/>
      <c r="I2" s="1199" t="s">
        <v>856</v>
      </c>
      <c r="J2" s="1983"/>
      <c r="K2" s="1983"/>
      <c r="L2" s="1983"/>
    </row>
    <row r="3" spans="1:16" ht="15.75" thickBot="1">
      <c r="A3" s="3267" t="s">
        <v>205</v>
      </c>
      <c r="B3" s="3267"/>
      <c r="C3" s="3267"/>
      <c r="D3" s="107">
        <f>'数据-基础表'!AY6</f>
        <v>105421.08</v>
      </c>
      <c r="E3" s="107">
        <f>'数据-基础表'!AZ5</f>
        <v>231926.37</v>
      </c>
      <c r="F3" s="1983"/>
      <c r="G3" s="279" t="s">
        <v>857</v>
      </c>
      <c r="H3" s="274" t="s">
        <v>858</v>
      </c>
      <c r="I3" s="1975">
        <f>ROUND('数据-基础表'!B3/'数据-基础表'!A3,2)</f>
        <v>2.2000000000000002</v>
      </c>
      <c r="J3" s="1983"/>
      <c r="K3" s="1983"/>
      <c r="L3" s="1983"/>
    </row>
    <row r="4" spans="1:16" ht="15">
      <c r="A4" s="3268"/>
      <c r="B4" s="3269"/>
      <c r="C4" s="3270"/>
      <c r="D4" s="108" t="s">
        <v>203</v>
      </c>
      <c r="E4" s="109" t="s">
        <v>204</v>
      </c>
      <c r="F4" s="1983"/>
      <c r="G4" s="1200"/>
      <c r="H4" s="274" t="s">
        <v>859</v>
      </c>
      <c r="I4" s="1975">
        <f>ROUND(SUMIF('数据-基础表'!I9:AS9,"地上",'数据-基础表'!I5:AS5)/'数据-基础表'!A3,2)</f>
        <v>2.2000000000000002</v>
      </c>
      <c r="J4" s="1983"/>
      <c r="K4" s="1983"/>
      <c r="L4" s="1983"/>
    </row>
    <row r="5" spans="1:16">
      <c r="A5" s="110" t="s">
        <v>206</v>
      </c>
      <c r="B5" s="3271" t="s">
        <v>229</v>
      </c>
      <c r="C5" s="3271"/>
      <c r="D5" s="111">
        <f>ROUND($D$3*E5/$E$3,2)</f>
        <v>102258.45</v>
      </c>
      <c r="E5" s="112">
        <f>SUMIF('数据-基础表'!$11:$11,"住宅",'数据-基础表'!$5:$5)</f>
        <v>224968.58</v>
      </c>
      <c r="F5" s="1983"/>
      <c r="G5" s="279" t="s">
        <v>860</v>
      </c>
      <c r="H5" s="274" t="s">
        <v>858</v>
      </c>
      <c r="I5" s="1975">
        <f>ROUND(E31/D31,2)</f>
        <v>2.2000000000000002</v>
      </c>
      <c r="J5" s="1983"/>
      <c r="K5" s="1983"/>
      <c r="L5" s="1983"/>
    </row>
    <row r="6" spans="1:16" ht="15" thickBot="1">
      <c r="A6" s="113"/>
      <c r="B6" s="3271" t="s">
        <v>207</v>
      </c>
      <c r="C6" s="3271"/>
      <c r="D6" s="111">
        <f>ROUND($D$3*E6/$E$3,2)</f>
        <v>3162.63</v>
      </c>
      <c r="E6" s="112">
        <f>E3-E5</f>
        <v>6957.7900000000081</v>
      </c>
      <c r="F6" s="1983"/>
      <c r="G6" s="1200"/>
      <c r="H6" s="274" t="s">
        <v>859</v>
      </c>
      <c r="I6" s="1975">
        <f>ROUND(F31/D31,2)</f>
        <v>2.2000000000000002</v>
      </c>
      <c r="J6" s="1983"/>
      <c r="K6" s="1983"/>
      <c r="L6" s="1983"/>
    </row>
    <row r="7" spans="1:16" ht="15">
      <c r="A7" s="3263"/>
      <c r="B7" s="3264"/>
      <c r="C7" s="3265"/>
      <c r="D7" s="108" t="s">
        <v>203</v>
      </c>
      <c r="E7" s="114" t="s">
        <v>230</v>
      </c>
      <c r="F7" s="1983"/>
      <c r="G7" s="1155" t="s">
        <v>1645</v>
      </c>
      <c r="H7" s="1156"/>
      <c r="I7" s="1845">
        <f>I5</f>
        <v>2.2000000000000002</v>
      </c>
      <c r="J7" s="1983"/>
      <c r="K7" s="1983"/>
      <c r="L7" s="1983"/>
    </row>
    <row r="8" spans="1:16">
      <c r="A8" s="110" t="s">
        <v>208</v>
      </c>
      <c r="B8" s="115" t="s">
        <v>209</v>
      </c>
      <c r="C8" s="111" t="s">
        <v>210</v>
      </c>
      <c r="D8" s="111">
        <f t="shared" ref="D8:D15" si="0">ROUND($D$3*E8/$E$3,2)</f>
        <v>105421.08</v>
      </c>
      <c r="E8" s="116">
        <f>SUMIF('数据-基础表'!BB10:BK10,"地上",'数据-基础表'!BB5:BK5)</f>
        <v>231926.37</v>
      </c>
      <c r="F8" s="1983"/>
      <c r="G8" s="1985"/>
      <c r="H8" s="1985"/>
      <c r="I8" s="1983"/>
      <c r="J8" s="1983"/>
      <c r="K8" s="1983"/>
      <c r="L8" s="1983"/>
    </row>
    <row r="9" spans="1:16">
      <c r="A9" s="117"/>
      <c r="B9" s="118"/>
      <c r="C9" s="111" t="s">
        <v>211</v>
      </c>
      <c r="D9" s="111">
        <f t="shared" si="0"/>
        <v>0</v>
      </c>
      <c r="E9" s="119">
        <v>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105421.08</v>
      </c>
      <c r="E16" s="120">
        <f>SUM(E8:E15)</f>
        <v>231926.37</v>
      </c>
      <c r="F16" s="1983"/>
      <c r="G16" s="1985"/>
      <c r="H16" s="967" t="s">
        <v>218</v>
      </c>
      <c r="I16" s="968"/>
      <c r="J16" s="1983"/>
      <c r="K16" s="3257" t="s">
        <v>2569</v>
      </c>
      <c r="L16" s="3258"/>
      <c r="M16" s="3258"/>
      <c r="N16" s="3258"/>
      <c r="O16" s="3258"/>
      <c r="P16" s="3259"/>
    </row>
    <row r="17" spans="1:19" ht="15">
      <c r="A17" s="121" t="s">
        <v>215</v>
      </c>
      <c r="B17" s="122" t="s">
        <v>216</v>
      </c>
      <c r="C17" s="2297" t="s">
        <v>2314</v>
      </c>
      <c r="D17" s="108" t="s">
        <v>203</v>
      </c>
      <c r="E17" s="124" t="s">
        <v>204</v>
      </c>
      <c r="F17" s="125"/>
      <c r="G17" s="1364"/>
      <c r="H17" s="969" t="s">
        <v>217</v>
      </c>
      <c r="I17" s="970" t="s">
        <v>2313</v>
      </c>
      <c r="J17" s="1983"/>
      <c r="K17" s="3260" t="s">
        <v>2570</v>
      </c>
      <c r="L17" s="3261"/>
      <c r="M17" s="3262"/>
      <c r="N17" s="3260" t="s">
        <v>2571</v>
      </c>
      <c r="O17" s="3261"/>
      <c r="P17" s="3262"/>
      <c r="R17" s="2298" t="s">
        <v>2312</v>
      </c>
      <c r="S17" s="144"/>
    </row>
    <row r="18" spans="1:19" ht="15">
      <c r="A18" s="117"/>
      <c r="B18" s="128"/>
      <c r="C18" s="129"/>
      <c r="D18" s="2666"/>
      <c r="E18" s="130" t="s">
        <v>219</v>
      </c>
      <c r="F18" s="131" t="s">
        <v>220</v>
      </c>
      <c r="G18" s="1365" t="s">
        <v>221</v>
      </c>
      <c r="H18" s="971" t="s">
        <v>222</v>
      </c>
      <c r="I18" s="972" t="s">
        <v>223</v>
      </c>
      <c r="J18" s="1983"/>
      <c r="K18" s="2628" t="s">
        <v>2572</v>
      </c>
      <c r="L18" s="2629" t="s">
        <v>2573</v>
      </c>
      <c r="M18" s="2630" t="s">
        <v>2574</v>
      </c>
      <c r="N18" s="2628" t="s">
        <v>2572</v>
      </c>
      <c r="O18" s="2629" t="s">
        <v>2573</v>
      </c>
      <c r="P18" s="2630" t="s">
        <v>2574</v>
      </c>
      <c r="R18" s="2299" t="s">
        <v>2310</v>
      </c>
      <c r="S18" s="2299" t="s">
        <v>2311</v>
      </c>
    </row>
    <row r="19" spans="1:19">
      <c r="A19" s="133"/>
      <c r="B19" s="115" t="s">
        <v>224</v>
      </c>
      <c r="C19" s="3050" t="s">
        <v>3007</v>
      </c>
      <c r="D19" s="111">
        <f t="shared" ref="D19:D26" si="1">ROUND($D$3*E19/$E$3,2)</f>
        <v>102258.45</v>
      </c>
      <c r="E19" s="134">
        <f t="shared" ref="E19:E26" si="2">SUM(F19:G19)</f>
        <v>224968.58</v>
      </c>
      <c r="F19" s="135">
        <f>'数据-基础表'!I13</f>
        <v>224968.58</v>
      </c>
      <c r="G19" s="1366"/>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102258.45</v>
      </c>
      <c r="S19" s="2300">
        <f t="shared" si="5"/>
        <v>224968.58</v>
      </c>
    </row>
    <row r="20" spans="1:19">
      <c r="A20" s="138"/>
      <c r="B20" s="115" t="s">
        <v>225</v>
      </c>
      <c r="C20" s="3050" t="s">
        <v>3110</v>
      </c>
      <c r="D20" s="111">
        <f t="shared" si="1"/>
        <v>3162.63</v>
      </c>
      <c r="E20" s="134">
        <f t="shared" si="2"/>
        <v>6957.79</v>
      </c>
      <c r="F20" s="135">
        <f>'数据-基础表'!K14</f>
        <v>6957.79</v>
      </c>
      <c r="G20" s="1366">
        <f>'数据-基础表'!M14</f>
        <v>0</v>
      </c>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3162.63</v>
      </c>
      <c r="S20" s="2300">
        <f t="shared" si="5"/>
        <v>6957.79</v>
      </c>
    </row>
    <row r="21" spans="1:19">
      <c r="A21" s="138"/>
      <c r="B21" s="115" t="s">
        <v>225</v>
      </c>
      <c r="C21" s="3050"/>
      <c r="D21" s="111">
        <f t="shared" si="1"/>
        <v>0</v>
      </c>
      <c r="E21" s="134">
        <f t="shared" si="2"/>
        <v>0</v>
      </c>
      <c r="F21" s="135">
        <f>'数据-基础表'!K13</f>
        <v>0</v>
      </c>
      <c r="G21" s="1366"/>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225</v>
      </c>
      <c r="C22" s="3050"/>
      <c r="D22" s="111">
        <f t="shared" si="1"/>
        <v>0</v>
      </c>
      <c r="E22" s="134">
        <f t="shared" si="2"/>
        <v>0</v>
      </c>
      <c r="F22" s="140"/>
      <c r="G22" s="1367"/>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225</v>
      </c>
      <c r="C23" s="3050"/>
      <c r="D23" s="111">
        <f>ROUND($D$3*E23/$E$3,2)</f>
        <v>0</v>
      </c>
      <c r="E23" s="134">
        <f>SUM(F23:G23)</f>
        <v>0</v>
      </c>
      <c r="F23" s="140"/>
      <c r="G23" s="1367"/>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225</v>
      </c>
      <c r="C24" s="3050"/>
      <c r="D24" s="111">
        <f>ROUND($D$3*E24/$E$3,2)</f>
        <v>0</v>
      </c>
      <c r="E24" s="134">
        <f>SUM(F24:G24)</f>
        <v>0</v>
      </c>
      <c r="F24" s="140"/>
      <c r="G24" s="1367"/>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225</v>
      </c>
      <c r="C25" s="139"/>
      <c r="D25" s="111">
        <f t="shared" si="1"/>
        <v>0</v>
      </c>
      <c r="E25" s="134">
        <f t="shared" si="2"/>
        <v>0</v>
      </c>
      <c r="F25" s="140"/>
      <c r="G25" s="1367"/>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225</v>
      </c>
      <c r="C26" s="142"/>
      <c r="D26" s="111">
        <f t="shared" si="1"/>
        <v>0</v>
      </c>
      <c r="E26" s="134">
        <f t="shared" si="2"/>
        <v>0</v>
      </c>
      <c r="F26" s="140"/>
      <c r="G26" s="1367"/>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214</v>
      </c>
      <c r="D27" s="134">
        <f>SUM(D19:D26)</f>
        <v>105421.08</v>
      </c>
      <c r="E27" s="143">
        <f>IF(SUM(E19:E26)='数据-基础表'!BA5,SUM(E19:E26),IF(F27="地上面积有误","面积有误","地下面积有误"))</f>
        <v>231926.37</v>
      </c>
      <c r="F27" s="134">
        <f>IF(SUM(F19:F26)=E8,SUM(F19:F26),"地上面积有误")</f>
        <v>231926.37</v>
      </c>
      <c r="G27" s="112">
        <f>SUM(G19:G26)</f>
        <v>0</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105421.08</v>
      </c>
      <c r="S27" s="274">
        <f>IF(SUM(S19:S26)=$E$3,SUM(S19:S26),SUM(S19:S26)&amp;"误差"&amp;ROUND(SUM(S19:S26)-E3,2))</f>
        <v>231926.37</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8"/>
      <c r="B31" s="1369" t="s">
        <v>228</v>
      </c>
      <c r="C31" s="2329" t="s">
        <v>2323</v>
      </c>
      <c r="D31" s="1370">
        <f>D27+D30</f>
        <v>105421.08</v>
      </c>
      <c r="E31" s="1370">
        <f>E27+E30</f>
        <v>231926.37</v>
      </c>
      <c r="F31" s="1371">
        <f>F27+F30</f>
        <v>231926.37</v>
      </c>
      <c r="G31" s="1372">
        <f>G27+G30</f>
        <v>0</v>
      </c>
      <c r="H31" s="1983"/>
      <c r="I31" s="1983"/>
      <c r="J31" s="1983"/>
      <c r="K31" s="1983"/>
      <c r="L31" s="1983"/>
    </row>
    <row r="32" spans="1:19">
      <c r="A32" s="1983"/>
      <c r="B32" s="2362" t="s">
        <v>2322</v>
      </c>
      <c r="C32" s="2671"/>
      <c r="D32" s="1200"/>
      <c r="E32" s="1200">
        <f>SUMIF(C19:C26,"*住宅*",E19:E26)</f>
        <v>224968.58</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W17" sqref="W1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9.6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233</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234</v>
      </c>
      <c r="B2" s="2337">
        <f>项目基本情况!D3</f>
        <v>43076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2325</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2833</v>
      </c>
      <c r="O5" s="163" t="s">
        <v>245</v>
      </c>
      <c r="P5" s="165" t="s">
        <v>246</v>
      </c>
      <c r="Q5" s="166" t="s">
        <v>247</v>
      </c>
      <c r="R5" s="167" t="s">
        <v>248</v>
      </c>
      <c r="S5" s="2644" t="s">
        <v>2575</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2324</v>
      </c>
      <c r="AI5" s="171" t="s">
        <v>2293</v>
      </c>
      <c r="AJ5" s="171" t="s">
        <v>257</v>
      </c>
      <c r="AK5" s="159" t="s">
        <v>258</v>
      </c>
      <c r="AL5" s="159" t="s">
        <v>259</v>
      </c>
      <c r="AM5" s="172" t="s">
        <v>260</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住宅用房</v>
      </c>
      <c r="B6" s="2336" t="str">
        <f>IF(A6=0,"","经营性")</f>
        <v>经营性</v>
      </c>
      <c r="C6" s="173" t="s">
        <v>922</v>
      </c>
      <c r="D6" s="2307">
        <f>SUMIF(项目基本情况!D$15:I$15,C6,项目基本情况!D$18:I$18)</f>
        <v>70</v>
      </c>
      <c r="E6" s="2308">
        <f>IF(B6="","",SUMIF(项目基本情况!D$15:I$15,C6,项目基本情况!D$17:I$17))</f>
        <v>68521</v>
      </c>
      <c r="F6" s="174">
        <f>SUMIF(项目基本情况!D$15:I$15,C6,项目基本情况!D$19:I$19)</f>
        <v>69.709999999999994</v>
      </c>
      <c r="G6" s="175">
        <f>IF(ISERROR(ROUND(POWER(1+H6,D6-F6)*(POWER(1+H6,F6)-1)/(POWER(1+H6,D6)-1),3)),0,ROUND(POWER(1+H6,D6-F6)*(POWER(1+H6,F6)-1)/(POWER(1+H6,D6)-1),3))</f>
        <v>0.999</v>
      </c>
      <c r="H6" s="3051">
        <v>4.4999999999999998E-2</v>
      </c>
      <c r="I6" s="3051">
        <v>0.05</v>
      </c>
      <c r="J6" s="176">
        <v>0.08</v>
      </c>
      <c r="K6" s="179">
        <f>SUMIF('数据-汇总表'!C$19:C$33,'数据-取费表'!A6,'数据-汇总表'!E$19:E$33)</f>
        <v>224968.58</v>
      </c>
      <c r="L6" s="3052">
        <v>1500</v>
      </c>
      <c r="M6" s="177">
        <f t="shared" ref="M6:M14" si="0">ROUND(K6*L6/10000,0)</f>
        <v>33745</v>
      </c>
      <c r="N6" s="3053">
        <v>0</v>
      </c>
      <c r="O6" s="177">
        <f>IF($N$5="成新度","——",ROUND(M6*N6,0))</f>
        <v>0</v>
      </c>
      <c r="P6" s="178">
        <f>IF($N$5="成新度","——",M6-O6)</f>
        <v>33745</v>
      </c>
      <c r="Q6" s="3054">
        <v>0.1</v>
      </c>
      <c r="R6" s="179">
        <f>SUMIF('数据-汇总表'!C$19:C$33,A6,'数据-汇总表'!R$19:R$33)</f>
        <v>102258.45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5"/>
      <c r="AN6" s="2415"/>
      <c r="AO6" s="1999"/>
      <c r="AP6" s="1203">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3" t="s">
        <v>2994</v>
      </c>
      <c r="D7" s="2307">
        <f>SUMIF(项目基本情况!D$15:I$15,C7,项目基本情况!D$18:I$18)</f>
        <v>40</v>
      </c>
      <c r="E7" s="2308">
        <f>IF(B7="","",SUMIF(项目基本情况!D$15:I$15,C7,项目基本情况!D$17:I$17))</f>
        <v>57564</v>
      </c>
      <c r="F7" s="174">
        <f>SUMIF(项目基本情况!D$15:I$15,C7,项目基本情况!D$19:I$19)</f>
        <v>39.69</v>
      </c>
      <c r="G7" s="175">
        <f t="shared" ref="G7:G11" si="2">IF(ISERROR(ROUND(POWER(1+H7,D7-F7)*(POWER(1+H7,F7)-1)/(POWER(1+H7,D7)-1),3)),0,ROUND(POWER(1+H7,D7-F7)*(POWER(1+H7,F7)-1)/(POWER(1+H7,D7)-1),3))</f>
        <v>0.997</v>
      </c>
      <c r="H7" s="3051">
        <v>0.05</v>
      </c>
      <c r="I7" s="3051">
        <v>5.5E-2</v>
      </c>
      <c r="J7" s="176">
        <v>0.08</v>
      </c>
      <c r="K7" s="179">
        <f>SUMIF('数据-汇总表'!C$19:C$33,'数据-取费表'!A7,'数据-汇总表'!E$19:E$33)</f>
        <v>6957.79</v>
      </c>
      <c r="L7" s="3052">
        <v>1700</v>
      </c>
      <c r="M7" s="177">
        <f t="shared" si="0"/>
        <v>1183</v>
      </c>
      <c r="N7" s="3053">
        <v>0</v>
      </c>
      <c r="O7" s="177">
        <f t="shared" ref="O7:O14" si="3">IF($N$5="成新度","——",ROUND(M7*N7,0))</f>
        <v>0</v>
      </c>
      <c r="P7" s="178">
        <f t="shared" ref="P7:P14" si="4">IF($N$5="成新度","——",M7-O7)</f>
        <v>1183</v>
      </c>
      <c r="Q7" s="3054">
        <v>0.15</v>
      </c>
      <c r="R7" s="179">
        <f>SUMIF('数据-汇总表'!C$19:C$33,A7,'数据-汇总表'!R$19:R$33)</f>
        <v>3162.63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0.02</v>
      </c>
      <c r="W7" s="181">
        <v>0.15</v>
      </c>
      <c r="X7" s="2320"/>
      <c r="Y7" s="182"/>
      <c r="Z7" s="183"/>
      <c r="AA7" s="176"/>
      <c r="AB7" s="176"/>
      <c r="AC7" s="2323"/>
      <c r="AD7" s="184"/>
      <c r="AE7" s="971">
        <f t="shared" ref="AE7:AE13" ca="1" si="6">IF(AN7="",0,SUMIF(INDIRECT("'"&amp;AN7&amp;"'"&amp;"!E:E"),$AE$5,INDIRECT("'"&amp;AN7&amp;"'"&amp;"!F:F")))</f>
        <v>38.19</v>
      </c>
      <c r="AF7" s="141"/>
      <c r="AG7" s="1212">
        <f t="shared" ref="AG7:AG13" si="7">IF(AF7="",0,AE7-AF7)</f>
        <v>0</v>
      </c>
      <c r="AH7" s="3163">
        <f>K7</f>
        <v>6957.79</v>
      </c>
      <c r="AI7" s="187">
        <v>365</v>
      </c>
      <c r="AJ7" s="188"/>
      <c r="AK7" s="189">
        <v>1.4999999999999999E-2</v>
      </c>
      <c r="AL7" s="190">
        <v>1.5E-3</v>
      </c>
      <c r="AM7" s="2413">
        <v>0.01</v>
      </c>
      <c r="AN7" s="2415" t="s">
        <v>3008</v>
      </c>
      <c r="AO7" s="1999"/>
      <c r="AP7" s="1203">
        <f t="shared" ref="AP7:AP13" si="8">ROUND(1-1/(1+H7)^F7,3)</f>
        <v>0.85599999999999998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3163"/>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3051"/>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261</v>
      </c>
      <c r="B16" s="199"/>
      <c r="C16" s="200"/>
      <c r="D16" s="201"/>
      <c r="E16" s="199"/>
      <c r="F16" s="199"/>
      <c r="G16" s="202">
        <f>ROUND(SUMPRODUCT(G6:G13,K6:K13)/SUMPRODUCT((G6:G13&gt;0)*(K6:K13)),3)</f>
        <v>0.999</v>
      </c>
      <c r="H16" s="203">
        <f>ROUND(SUMPRODUCT(H6:H13,K6:K13)/SUMPRODUCT((H6:H13&gt;0)*(K6:K13)),3)</f>
        <v>4.4999999999999998E-2</v>
      </c>
      <c r="I16" s="204"/>
      <c r="J16" s="204"/>
      <c r="K16" s="205">
        <f>SUM(K6:K15)</f>
        <v>231926.37</v>
      </c>
      <c r="L16" s="206">
        <f>ROUND(M16*10000/SUM(K6:K14),0)</f>
        <v>1506</v>
      </c>
      <c r="M16" s="206">
        <f>SUM(M6:M14)</f>
        <v>34928</v>
      </c>
      <c r="N16" s="207">
        <f>ROUND(SUMPRODUCT(M6:M14,N6:N14)/M16,3)</f>
        <v>0</v>
      </c>
      <c r="O16" s="206">
        <f>SUM(O6:O14)</f>
        <v>0</v>
      </c>
      <c r="P16" s="206">
        <f>SUM(P6:P14)</f>
        <v>34928</v>
      </c>
      <c r="Q16" s="208">
        <f>ROUND(SUMPRODUCT(Q6:Q13,K6:K13)/SUMPRODUCT((Q6:Q13&gt;0)*(K6:K13)),2)</f>
        <v>0.1</v>
      </c>
      <c r="R16" s="2310">
        <f>SUM(R6:R13)</f>
        <v>105421.08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0.95099999999999996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1.5</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3181">
        <v>135</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3182">
        <v>135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272</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273</v>
      </c>
      <c r="B31" s="229">
        <f>B30-B32</f>
        <v>70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274</v>
      </c>
      <c r="B32" s="1376">
        <v>80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277</v>
      </c>
      <c r="B33" s="1377">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278</v>
      </c>
      <c r="B34" s="232">
        <v>0.03</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275</v>
      </c>
      <c r="B35" s="228">
        <f>B30</f>
        <v>150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276</v>
      </c>
      <c r="B36" s="233">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279</v>
      </c>
      <c r="B37" s="235">
        <v>0.01</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280</v>
      </c>
      <c r="B38" s="232">
        <v>0.01</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2459</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282</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283</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284</v>
      </c>
      <c r="B44" s="241">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285</v>
      </c>
      <c r="B45" s="239">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286</v>
      </c>
      <c r="B46" s="239">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287</v>
      </c>
      <c r="B47" s="243"/>
      <c r="C47" s="3100"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288</v>
      </c>
      <c r="B48" s="245">
        <v>0.03</v>
      </c>
      <c r="C48" s="3101"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289</v>
      </c>
      <c r="B49" s="239">
        <v>5.0000000000000001E-4</v>
      </c>
      <c r="C49" s="3101"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290</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291</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292</v>
      </c>
      <c r="B52" s="249">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293</v>
      </c>
      <c r="B53" s="250" t="s">
        <v>1409</v>
      </c>
      <c r="C53" s="3102" t="s">
        <v>2907</v>
      </c>
      <c r="D53" s="3103"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2909</v>
      </c>
      <c r="B54" s="3179"/>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2910</v>
      </c>
      <c r="B55" s="186"/>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2911</v>
      </c>
      <c r="B56" s="186"/>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2912</v>
      </c>
      <c r="B57" s="186"/>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2913</v>
      </c>
      <c r="B58" s="186">
        <v>12</v>
      </c>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2914</v>
      </c>
      <c r="B59" s="186">
        <v>8</v>
      </c>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2915</v>
      </c>
      <c r="B60" s="186">
        <v>6</v>
      </c>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2916</v>
      </c>
      <c r="B61" s="186">
        <v>4</v>
      </c>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2918</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2" t="s">
        <v>1663</v>
      </c>
      <c r="B1" s="3273"/>
      <c r="C1" s="3273"/>
      <c r="D1" s="3273"/>
      <c r="E1" s="3273"/>
      <c r="F1" s="3273"/>
      <c r="G1" s="3273"/>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166" t="s">
        <v>3113</v>
      </c>
      <c r="D3" s="2008"/>
      <c r="E3" s="1228" t="s">
        <v>1666</v>
      </c>
      <c r="F3" s="1229" t="s">
        <v>1654</v>
      </c>
      <c r="G3" s="3108" t="s">
        <v>2923</v>
      </c>
      <c r="H3" s="2007"/>
      <c r="I3" s="2007"/>
      <c r="J3" s="2007"/>
      <c r="K3" s="2007"/>
      <c r="L3" s="2007"/>
      <c r="M3" s="2007"/>
      <c r="N3" s="2007"/>
      <c r="O3" s="2007"/>
      <c r="P3" s="2007"/>
      <c r="Q3" s="2007"/>
      <c r="R3" s="2007"/>
    </row>
    <row r="4" spans="1:18" ht="40.5">
      <c r="A4" s="1228"/>
      <c r="B4" s="1230" t="s">
        <v>1667</v>
      </c>
      <c r="C4" s="3171" t="s">
        <v>3114</v>
      </c>
      <c r="D4" s="2008"/>
      <c r="E4" s="1231"/>
      <c r="F4" s="1232" t="s">
        <v>1668</v>
      </c>
      <c r="G4" s="3107" t="s">
        <v>2920</v>
      </c>
      <c r="H4" s="2007"/>
      <c r="I4" s="2007"/>
      <c r="J4" s="2007"/>
      <c r="K4" s="2007"/>
      <c r="L4" s="2007"/>
      <c r="M4" s="2007"/>
      <c r="N4" s="2007"/>
      <c r="O4" s="2007"/>
      <c r="P4" s="2007"/>
      <c r="Q4" s="2007"/>
      <c r="R4" s="2007"/>
    </row>
    <row r="5" spans="1:18" ht="27">
      <c r="A5" s="1228"/>
      <c r="B5" s="1230" t="s">
        <v>1669</v>
      </c>
      <c r="C5" s="3167"/>
      <c r="D5" s="2008"/>
      <c r="E5" s="1231"/>
      <c r="F5" s="1230" t="s">
        <v>2549</v>
      </c>
      <c r="G5" s="3107" t="s">
        <v>2921</v>
      </c>
      <c r="H5" s="2007"/>
      <c r="I5" s="2007"/>
      <c r="J5" s="2007"/>
      <c r="K5" s="2007"/>
      <c r="L5" s="2007"/>
      <c r="M5" s="2007"/>
      <c r="N5" s="2007"/>
      <c r="O5" s="2007"/>
      <c r="P5" s="2007"/>
      <c r="Q5" s="2007"/>
      <c r="R5" s="2007"/>
    </row>
    <row r="6" spans="1:18" ht="67.5">
      <c r="A6" s="1228"/>
      <c r="B6" s="1230" t="s">
        <v>1655</v>
      </c>
      <c r="C6" s="3168" t="s">
        <v>3125</v>
      </c>
      <c r="D6" s="2008"/>
      <c r="E6" s="1231"/>
      <c r="F6" s="1230" t="s">
        <v>2550</v>
      </c>
      <c r="G6" s="3107" t="s">
        <v>2919</v>
      </c>
      <c r="H6" s="2007"/>
      <c r="I6" s="2007"/>
      <c r="J6" s="2007"/>
      <c r="K6" s="2007"/>
      <c r="L6" s="2007"/>
      <c r="M6" s="2007"/>
      <c r="N6" s="2007"/>
      <c r="O6" s="2007"/>
      <c r="P6" s="2007"/>
      <c r="Q6" s="2007"/>
      <c r="R6" s="2007"/>
    </row>
    <row r="7" spans="1:18" ht="41.25" thickBot="1">
      <c r="A7" s="1228"/>
      <c r="B7" s="1230" t="s">
        <v>2549</v>
      </c>
      <c r="C7" s="3168" t="s">
        <v>3038</v>
      </c>
      <c r="D7" s="2009"/>
      <c r="E7" s="1233"/>
      <c r="F7" s="1234" t="s">
        <v>1670</v>
      </c>
      <c r="G7" s="3109" t="s">
        <v>2922</v>
      </c>
      <c r="H7" s="2007"/>
      <c r="I7" s="2007"/>
      <c r="J7" s="2007"/>
      <c r="K7" s="2007"/>
      <c r="L7" s="2007"/>
      <c r="M7" s="2007"/>
      <c r="N7" s="2007"/>
      <c r="O7" s="2007"/>
      <c r="P7" s="2007"/>
      <c r="Q7" s="2007"/>
      <c r="R7" s="2007"/>
    </row>
    <row r="8" spans="1:18" ht="27">
      <c r="A8" s="1228"/>
      <c r="B8" s="1230" t="s">
        <v>2550</v>
      </c>
      <c r="C8" s="3168" t="s">
        <v>3115</v>
      </c>
      <c r="D8" s="2009"/>
      <c r="E8" s="2009"/>
      <c r="F8" s="1552"/>
      <c r="G8" s="1552"/>
      <c r="H8" s="2007"/>
      <c r="I8" s="2007"/>
      <c r="J8" s="2007"/>
      <c r="K8" s="2007"/>
      <c r="L8" s="2007"/>
      <c r="M8" s="2007"/>
      <c r="N8" s="2007"/>
      <c r="O8" s="2007"/>
      <c r="P8" s="2007"/>
      <c r="Q8" s="2007"/>
      <c r="R8" s="2007"/>
    </row>
    <row r="9" spans="1:18" ht="40.5">
      <c r="A9" s="1228"/>
      <c r="B9" s="1230" t="s">
        <v>1656</v>
      </c>
      <c r="C9" s="3167" t="s">
        <v>3116</v>
      </c>
      <c r="D9" s="2008"/>
      <c r="E9" s="2009"/>
      <c r="F9" s="1552"/>
      <c r="G9" s="1552"/>
      <c r="H9" s="2007"/>
      <c r="I9" s="2007"/>
      <c r="J9" s="2007"/>
      <c r="K9" s="2007"/>
      <c r="L9" s="2007"/>
      <c r="M9" s="2007"/>
      <c r="N9" s="2007"/>
      <c r="O9" s="2007"/>
      <c r="P9" s="2007"/>
      <c r="Q9" s="2007"/>
      <c r="R9" s="2007"/>
    </row>
    <row r="10" spans="1:18" s="2015" customFormat="1" ht="14.25" thickBot="1">
      <c r="A10" s="1235"/>
      <c r="B10" s="1236" t="s">
        <v>1671</v>
      </c>
      <c r="C10" s="3169" t="s">
        <v>3117</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3"/>
      <c r="E13" s="2601"/>
      <c r="F13" s="2601"/>
      <c r="G13" s="2601"/>
    </row>
    <row r="14" spans="1:18" ht="14.25" thickBot="1">
      <c r="A14" s="1237"/>
      <c r="B14" s="1238"/>
      <c r="C14" s="1239" t="s">
        <v>1664</v>
      </c>
      <c r="D14" s="2008"/>
      <c r="E14" s="1240"/>
      <c r="F14" s="1240"/>
      <c r="G14" s="1222" t="s">
        <v>1665</v>
      </c>
    </row>
    <row r="15" spans="1:18" ht="54">
      <c r="A15" s="2611" t="s">
        <v>1657</v>
      </c>
      <c r="B15" s="1241" t="s">
        <v>1653</v>
      </c>
      <c r="C15" s="1242" t="str">
        <f>C3</f>
        <v>估价对象周边居住用地比例较低、周边1公里有大汉汉园等项目、综合评价居住社区成熟度较差</v>
      </c>
      <c r="D15" s="2008"/>
      <c r="E15" s="2608" t="s">
        <v>1658</v>
      </c>
      <c r="F15" s="1241" t="s">
        <v>1673</v>
      </c>
      <c r="G15" s="1243" t="str">
        <f>G3</f>
        <v>估价对象位于XX开发区，园区建设成熟度XX，产业集聚程度XX</v>
      </c>
    </row>
    <row r="16" spans="1:18" ht="40.5">
      <c r="A16" s="2612"/>
      <c r="B16" s="1244" t="s">
        <v>1667</v>
      </c>
      <c r="C16" s="1245" t="str">
        <f>C4</f>
        <v>估价对象周边商业氛围成熟度较差，人流量一般，，商业繁华度较差</v>
      </c>
      <c r="D16" s="2008"/>
      <c r="E16" s="2609"/>
      <c r="F16" s="1246" t="s">
        <v>1668</v>
      </c>
      <c r="G16" s="1004" t="str">
        <f>G4</f>
        <v>估价对象周边道路状况、公共交通通达情况、停车便捷程度，综合评价交通便捷度较好</v>
      </c>
    </row>
    <row r="17" spans="1:7" ht="14.25">
      <c r="A17" s="2612"/>
      <c r="B17" s="1244" t="s">
        <v>1669</v>
      </c>
      <c r="C17" s="1245">
        <f>C5</f>
        <v>0</v>
      </c>
      <c r="D17" s="2009"/>
      <c r="E17" s="2609"/>
      <c r="F17" s="1246" t="s">
        <v>1674</v>
      </c>
      <c r="G17" s="2819"/>
    </row>
    <row r="18" spans="1:7" ht="67.5">
      <c r="A18" s="2612"/>
      <c r="B18" s="1246" t="s">
        <v>1655</v>
      </c>
      <c r="C18" s="1004" t="str">
        <f>C6</f>
        <v>估价对象周边1公里有357、355路等公交车经过，公共交通通达情况一般、停车便捷程度较好，综合评价交通便捷度较差</v>
      </c>
      <c r="D18" s="2009"/>
      <c r="E18" s="2609"/>
      <c r="F18" s="1246" t="s">
        <v>1670</v>
      </c>
      <c r="G18" s="1004" t="str">
        <f>G7</f>
        <v>该园区内是否有污染型企业，绿化情况，卫生条件，整体环境状况判断</v>
      </c>
    </row>
    <row r="19" spans="1:7" ht="27">
      <c r="A19" s="2612"/>
      <c r="B19" s="1246" t="s">
        <v>1659</v>
      </c>
      <c r="C19" s="3170" t="s">
        <v>3036</v>
      </c>
      <c r="D19" s="2008"/>
      <c r="E19" s="2609"/>
      <c r="F19" s="1230" t="s">
        <v>2549</v>
      </c>
      <c r="G19" s="1004" t="str">
        <f>G5</f>
        <v>估价对象所在区域公共配套设施齐备情况</v>
      </c>
    </row>
    <row r="20" spans="1:7" ht="40.5">
      <c r="A20" s="2612"/>
      <c r="B20" s="1246" t="s">
        <v>1660</v>
      </c>
      <c r="C20" s="1245" t="str">
        <f>C9</f>
        <v>周边2公里内有长沙医学院、观音岩水库，区域自然环境较好</v>
      </c>
      <c r="D20" s="2009"/>
      <c r="E20" s="2609"/>
      <c r="F20" s="1230" t="s">
        <v>2550</v>
      </c>
      <c r="G20" s="1004" t="str">
        <f>G6</f>
        <v>估价对象所在区域基础设施水平</v>
      </c>
    </row>
    <row r="21" spans="1:7" ht="27">
      <c r="A21" s="2612"/>
      <c r="B21" s="1230" t="s">
        <v>2549</v>
      </c>
      <c r="C21" s="1004" t="str">
        <f>C7</f>
        <v>估价对象所在区域公共配套设施齐备情况一般</v>
      </c>
      <c r="D21" s="2008"/>
      <c r="E21" s="2609"/>
      <c r="F21" s="1246" t="s">
        <v>1661</v>
      </c>
      <c r="G21" s="3110"/>
    </row>
    <row r="22" spans="1:7" ht="27">
      <c r="A22" s="2612"/>
      <c r="B22" s="1230" t="s">
        <v>2550</v>
      </c>
      <c r="C22" s="1004" t="str">
        <f>C8</f>
        <v>估价对象所在区域基础设施水平-六通</v>
      </c>
      <c r="D22" s="2008"/>
      <c r="E22" s="2609"/>
      <c r="F22" s="1246" t="s">
        <v>1671</v>
      </c>
      <c r="G22" s="2819"/>
    </row>
    <row r="23" spans="1:7" ht="15" thickBot="1">
      <c r="A23" s="2612"/>
      <c r="B23" s="1246" t="s">
        <v>1661</v>
      </c>
      <c r="C23" s="3110" t="s">
        <v>3037</v>
      </c>
      <c r="E23" s="2610"/>
      <c r="F23" s="1247" t="s">
        <v>1675</v>
      </c>
      <c r="G23" s="3111"/>
    </row>
    <row r="24" spans="1:7" ht="14.25" thickBot="1">
      <c r="A24" s="2613"/>
      <c r="B24" s="1247" t="s">
        <v>1662</v>
      </c>
      <c r="C24" s="1248" t="str">
        <f>C10</f>
        <v>快速路——三环线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1" t="s">
        <v>2849</v>
      </c>
      <c r="B1" s="3071">
        <f>SUM(B14:B23)</f>
        <v>231926.37</v>
      </c>
      <c r="C1" s="3072"/>
      <c r="D1" s="3072"/>
      <c r="E1" s="3072"/>
      <c r="F1" s="3072"/>
    </row>
    <row r="2" spans="1:9" ht="16.5">
      <c r="A2" s="3071" t="s">
        <v>2850</v>
      </c>
      <c r="B2" s="3071">
        <f>SUM(C14:C23)</f>
        <v>105421.08</v>
      </c>
      <c r="C2" s="3072"/>
      <c r="D2" s="3072"/>
      <c r="E2" s="3072"/>
      <c r="F2" s="3072"/>
    </row>
    <row r="3" spans="1:9" ht="16.5">
      <c r="A3" s="3071" t="s">
        <v>2851</v>
      </c>
      <c r="B3" s="3073">
        <f>项目基本情况!D3</f>
        <v>43076</v>
      </c>
      <c r="C3" s="3072"/>
      <c r="D3" s="3072"/>
      <c r="E3" s="3072"/>
      <c r="F3" s="3072"/>
    </row>
    <row r="4" spans="1:9" ht="33">
      <c r="A4" s="3071" t="s">
        <v>2852</v>
      </c>
      <c r="B4" s="3071" t="s">
        <v>2853</v>
      </c>
      <c r="C4" s="3071" t="s">
        <v>2854</v>
      </c>
      <c r="D4" s="3071" t="s">
        <v>2855</v>
      </c>
      <c r="E4" s="3072"/>
      <c r="F4" s="3072"/>
    </row>
    <row r="5" spans="1:9" ht="16.5">
      <c r="A5" s="3071" t="s">
        <v>2856</v>
      </c>
      <c r="B5" s="3071">
        <f ca="1">SUM(D14:D23)</f>
        <v>93246</v>
      </c>
      <c r="C5" s="3071">
        <f ca="1">ROUND(B5*10000/$B$1,0)</f>
        <v>4021</v>
      </c>
      <c r="D5" s="3071">
        <f ca="1">ROUND(B5*10000/$B$2,0)</f>
        <v>8845</v>
      </c>
      <c r="E5" s="3072"/>
      <c r="F5" s="3072"/>
    </row>
    <row r="6" spans="1:9" ht="16.5">
      <c r="A6" s="3071" t="s">
        <v>2857</v>
      </c>
      <c r="B6" s="3071">
        <f ca="1">SUM(G14:G23)</f>
        <v>93246</v>
      </c>
      <c r="C6" s="3071">
        <f t="shared" ref="C6:C8" ca="1" si="0">ROUND(B6*10000/$B$1,0)</f>
        <v>4021</v>
      </c>
      <c r="D6" s="3071">
        <f t="shared" ref="D6:D8" ca="1" si="1">ROUND(B6*10000/$B$2,0)</f>
        <v>8845</v>
      </c>
      <c r="E6" s="3072"/>
      <c r="F6" s="3072"/>
    </row>
    <row r="7" spans="1:9" ht="16.5">
      <c r="A7" s="3071" t="s">
        <v>2858</v>
      </c>
      <c r="B7" s="3071">
        <f>SUM(H14:H23)</f>
        <v>0</v>
      </c>
      <c r="C7" s="3071">
        <f t="shared" si="0"/>
        <v>0</v>
      </c>
      <c r="D7" s="3071">
        <f t="shared" si="1"/>
        <v>0</v>
      </c>
      <c r="E7" s="3072"/>
      <c r="F7" s="3072"/>
    </row>
    <row r="8" spans="1:9" ht="16.5">
      <c r="A8" s="3071" t="s">
        <v>2859</v>
      </c>
      <c r="B8" s="3071">
        <f>SUM(I14:I23)</f>
        <v>0</v>
      </c>
      <c r="C8" s="3071">
        <f t="shared" si="0"/>
        <v>0</v>
      </c>
      <c r="D8" s="3071">
        <f t="shared" si="1"/>
        <v>0</v>
      </c>
      <c r="E8" s="3072"/>
      <c r="F8" s="3072"/>
    </row>
    <row r="9" spans="1:9" ht="16.5">
      <c r="A9" s="3071" t="s">
        <v>2860</v>
      </c>
      <c r="B9" s="3074"/>
      <c r="C9" s="3072"/>
      <c r="D9" s="3072"/>
      <c r="E9" s="3072"/>
      <c r="F9" s="3072"/>
    </row>
    <row r="10" spans="1:9" ht="16.5">
      <c r="A10" s="3071" t="s">
        <v>2861</v>
      </c>
      <c r="B10" s="3074"/>
      <c r="C10" s="3072"/>
      <c r="D10" s="3072"/>
      <c r="E10" s="3072"/>
      <c r="F10" s="3072"/>
    </row>
    <row r="11" spans="1:9" ht="16.5">
      <c r="A11" s="3071" t="s">
        <v>2878</v>
      </c>
      <c r="B11" s="3074"/>
      <c r="C11" s="3072"/>
      <c r="D11" s="3072"/>
      <c r="E11" s="3072"/>
      <c r="F11" s="3072"/>
    </row>
    <row r="12" spans="1:9" ht="16.5">
      <c r="A12" s="3072"/>
      <c r="B12" s="3072"/>
      <c r="C12" s="3072"/>
      <c r="D12" s="3072"/>
      <c r="E12" s="3072"/>
      <c r="F12" s="3072"/>
    </row>
    <row r="13" spans="1:9" ht="33">
      <c r="A13" s="3077" t="s">
        <v>2877</v>
      </c>
      <c r="B13" s="3075" t="s">
        <v>2849</v>
      </c>
      <c r="C13" s="3075" t="s">
        <v>2850</v>
      </c>
      <c r="D13" s="3075" t="s">
        <v>2862</v>
      </c>
      <c r="E13" s="3071" t="s">
        <v>2876</v>
      </c>
      <c r="F13" s="3071" t="s">
        <v>2855</v>
      </c>
      <c r="G13" s="3075" t="s">
        <v>2863</v>
      </c>
      <c r="H13" s="3075" t="s">
        <v>2864</v>
      </c>
      <c r="I13" s="3075" t="s">
        <v>2865</v>
      </c>
    </row>
    <row r="14" spans="1:9" ht="16.5">
      <c r="A14" s="3078" t="s">
        <v>2875</v>
      </c>
      <c r="B14" s="3075">
        <f>'数据-汇总表'!E3</f>
        <v>231926.37</v>
      </c>
      <c r="C14" s="3075">
        <f>'数据-汇总表'!D3</f>
        <v>105421.08</v>
      </c>
      <c r="D14" s="3075">
        <f ca="1">结果表!C42</f>
        <v>93246</v>
      </c>
      <c r="E14" s="3075">
        <f ca="1">ROUND(D14*10000/B14,0)</f>
        <v>4021</v>
      </c>
      <c r="F14" s="3075">
        <f ca="1">ROUND(D14*10000/C14,0)</f>
        <v>8845</v>
      </c>
      <c r="G14" s="3075">
        <f ca="1">结果表!C44</f>
        <v>93246</v>
      </c>
      <c r="H14" s="3075" t="str">
        <f>结果表!C45</f>
        <v>——</v>
      </c>
      <c r="I14" s="3075" t="str">
        <f>结果表!C46</f>
        <v>——</v>
      </c>
    </row>
    <row r="15" spans="1:9" ht="16.5">
      <c r="A15" s="3078" t="s">
        <v>2866</v>
      </c>
      <c r="B15" s="3079"/>
      <c r="C15" s="3079"/>
      <c r="D15" s="3079"/>
      <c r="E15" s="3075" t="e">
        <f t="shared" ref="E15:E23" si="2">ROUND(D15*10000/B15,0)</f>
        <v>#DIV/0!</v>
      </c>
      <c r="F15" s="3075" t="e">
        <f t="shared" ref="F15:F23" si="3">ROUND(D15*10000/C15,0)</f>
        <v>#DIV/0!</v>
      </c>
      <c r="G15" s="3076"/>
      <c r="H15" s="3076"/>
      <c r="I15" s="3079"/>
    </row>
    <row r="16" spans="1:9" ht="16.5">
      <c r="A16" s="3078" t="s">
        <v>2867</v>
      </c>
      <c r="B16" s="3079"/>
      <c r="C16" s="3079"/>
      <c r="D16" s="3079"/>
      <c r="E16" s="3075" t="e">
        <f t="shared" si="2"/>
        <v>#DIV/0!</v>
      </c>
      <c r="F16" s="3075" t="e">
        <f t="shared" si="3"/>
        <v>#DIV/0!</v>
      </c>
      <c r="G16" s="3076"/>
      <c r="H16" s="3076"/>
      <c r="I16" s="3079"/>
    </row>
    <row r="17" spans="1:9" ht="16.5">
      <c r="A17" s="3078" t="s">
        <v>2868</v>
      </c>
      <c r="B17" s="3079"/>
      <c r="C17" s="3079"/>
      <c r="D17" s="3079"/>
      <c r="E17" s="3075" t="e">
        <f t="shared" si="2"/>
        <v>#DIV/0!</v>
      </c>
      <c r="F17" s="3075" t="e">
        <f t="shared" si="3"/>
        <v>#DIV/0!</v>
      </c>
      <c r="G17" s="3076"/>
      <c r="H17" s="3076"/>
      <c r="I17" s="3079"/>
    </row>
    <row r="18" spans="1:9" ht="16.5">
      <c r="A18" s="3078" t="s">
        <v>2869</v>
      </c>
      <c r="B18" s="3079"/>
      <c r="C18" s="3079"/>
      <c r="D18" s="3079"/>
      <c r="E18" s="3075" t="e">
        <f t="shared" si="2"/>
        <v>#DIV/0!</v>
      </c>
      <c r="F18" s="3075" t="e">
        <f t="shared" si="3"/>
        <v>#DIV/0!</v>
      </c>
      <c r="G18" s="3079"/>
      <c r="H18" s="3079"/>
      <c r="I18" s="3079"/>
    </row>
    <row r="19" spans="1:9" ht="16.5">
      <c r="A19" s="3078" t="s">
        <v>2870</v>
      </c>
      <c r="B19" s="3079"/>
      <c r="C19" s="3079"/>
      <c r="D19" s="3079"/>
      <c r="E19" s="3075" t="e">
        <f t="shared" si="2"/>
        <v>#DIV/0!</v>
      </c>
      <c r="F19" s="3075" t="e">
        <f t="shared" si="3"/>
        <v>#DIV/0!</v>
      </c>
      <c r="G19" s="3079"/>
      <c r="H19" s="3079"/>
      <c r="I19" s="3079"/>
    </row>
    <row r="20" spans="1:9" ht="16.5">
      <c r="A20" s="3078" t="s">
        <v>2871</v>
      </c>
      <c r="B20" s="3079"/>
      <c r="C20" s="3079"/>
      <c r="D20" s="3079"/>
      <c r="E20" s="3075" t="e">
        <f t="shared" si="2"/>
        <v>#DIV/0!</v>
      </c>
      <c r="F20" s="3075" t="e">
        <f t="shared" si="3"/>
        <v>#DIV/0!</v>
      </c>
      <c r="G20" s="3079"/>
      <c r="H20" s="3079"/>
      <c r="I20" s="3079"/>
    </row>
    <row r="21" spans="1:9" ht="16.5">
      <c r="A21" s="3078" t="s">
        <v>2872</v>
      </c>
      <c r="B21" s="3079"/>
      <c r="C21" s="3079"/>
      <c r="D21" s="3079"/>
      <c r="E21" s="3075" t="e">
        <f t="shared" si="2"/>
        <v>#DIV/0!</v>
      </c>
      <c r="F21" s="3075" t="e">
        <f t="shared" si="3"/>
        <v>#DIV/0!</v>
      </c>
      <c r="G21" s="3079"/>
      <c r="H21" s="3079"/>
      <c r="I21" s="3079"/>
    </row>
    <row r="22" spans="1:9" ht="16.5">
      <c r="A22" s="3078" t="s">
        <v>2873</v>
      </c>
      <c r="B22" s="3079"/>
      <c r="C22" s="3079"/>
      <c r="D22" s="3079"/>
      <c r="E22" s="3075" t="e">
        <f t="shared" si="2"/>
        <v>#DIV/0!</v>
      </c>
      <c r="F22" s="3075" t="e">
        <f t="shared" si="3"/>
        <v>#DIV/0!</v>
      </c>
      <c r="G22" s="3079"/>
      <c r="H22" s="3079"/>
      <c r="I22" s="3079"/>
    </row>
    <row r="23" spans="1:9" ht="16.5">
      <c r="A23" s="3078" t="s">
        <v>2874</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N19" sqref="N1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2056</v>
      </c>
      <c r="B1" s="1776"/>
      <c r="C1" s="1804" t="s">
        <v>2057</v>
      </c>
      <c r="D1" s="1805" t="s">
        <v>3076</v>
      </c>
      <c r="E1" s="1804" t="s">
        <v>2058</v>
      </c>
      <c r="F1" s="1806" t="s">
        <v>3075</v>
      </c>
      <c r="G1" s="313"/>
      <c r="H1" s="313"/>
      <c r="I1" s="313"/>
      <c r="J1" s="2028"/>
      <c r="K1" s="2028"/>
      <c r="L1" s="2028"/>
      <c r="M1" s="2028"/>
      <c r="N1" s="2028"/>
      <c r="O1" s="2028"/>
      <c r="P1" s="2028"/>
      <c r="Q1" s="2028"/>
      <c r="R1" s="2028"/>
      <c r="S1" s="2028"/>
      <c r="T1" s="2028"/>
      <c r="U1" s="2028"/>
      <c r="V1" s="2028"/>
    </row>
    <row r="2" spans="1:22" ht="21.75" customHeight="1" thickBot="1">
      <c r="A2" s="3310" t="str">
        <f>项目基本情况!K2</f>
        <v>湖南省长沙市望城区金山桥街道出让国有建设用地使用权</v>
      </c>
      <c r="B2" s="3311"/>
      <c r="C2" s="3312"/>
      <c r="D2" s="3312"/>
      <c r="E2" s="3312"/>
      <c r="F2" s="3312"/>
      <c r="G2" s="3311"/>
      <c r="H2" s="3311"/>
      <c r="I2" s="3313"/>
      <c r="J2" s="2029"/>
      <c r="K2" s="2028"/>
      <c r="L2" s="2028"/>
      <c r="M2" s="2028"/>
      <c r="N2" s="2028"/>
      <c r="O2" s="2028"/>
      <c r="P2" s="2028"/>
      <c r="Q2" s="2028"/>
      <c r="R2" s="2028"/>
      <c r="S2" s="2028"/>
      <c r="T2" s="2028"/>
      <c r="U2" s="2028"/>
      <c r="V2" s="2028"/>
    </row>
    <row r="3" spans="1:22" ht="14.25">
      <c r="A3" s="3303" t="s">
        <v>297</v>
      </c>
      <c r="B3" s="3304"/>
      <c r="C3" s="3304"/>
      <c r="D3" s="3304"/>
      <c r="E3" s="3304"/>
      <c r="F3" s="3304"/>
      <c r="G3" s="3304"/>
      <c r="H3" s="3304"/>
      <c r="I3" s="3304"/>
      <c r="J3" s="2029"/>
      <c r="K3" s="2028"/>
      <c r="L3" s="2028"/>
      <c r="M3" s="2028"/>
      <c r="N3" s="2028"/>
      <c r="O3" s="2028"/>
      <c r="P3" s="2028"/>
      <c r="Q3" s="2028"/>
      <c r="R3" s="2028"/>
      <c r="S3" s="2028"/>
      <c r="T3" s="2028"/>
      <c r="U3" s="2028"/>
      <c r="V3" s="2028"/>
    </row>
    <row r="4" spans="1:22" ht="14.25">
      <c r="A4" s="257" t="s">
        <v>298</v>
      </c>
      <c r="B4" s="258" t="s">
        <v>299</v>
      </c>
      <c r="C4" s="259" t="s">
        <v>3047</v>
      </c>
      <c r="D4" s="259" t="s">
        <v>3073</v>
      </c>
      <c r="E4" s="3275" t="s">
        <v>300</v>
      </c>
      <c r="F4" s="3276"/>
      <c r="G4" s="3276"/>
      <c r="H4" s="3276"/>
      <c r="I4" s="3305"/>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74" t="s">
        <v>301</v>
      </c>
      <c r="B5" s="3300">
        <v>25</v>
      </c>
      <c r="C5" s="3298"/>
      <c r="D5" s="3302"/>
      <c r="E5" s="260" t="s">
        <v>302</v>
      </c>
      <c r="F5" s="261"/>
      <c r="G5" s="261"/>
      <c r="H5" s="261"/>
      <c r="I5" s="262"/>
      <c r="J5" s="2029"/>
      <c r="K5" s="2028"/>
      <c r="L5" s="2028"/>
      <c r="M5" s="2028"/>
      <c r="N5" s="2028"/>
      <c r="O5" s="2028"/>
      <c r="P5" s="2028"/>
      <c r="Q5" s="2028"/>
      <c r="R5" s="2028"/>
      <c r="S5" s="2028"/>
      <c r="T5" s="2028"/>
      <c r="U5" s="2028"/>
      <c r="V5" s="2028"/>
    </row>
    <row r="6" spans="1:22" ht="14.25">
      <c r="A6" s="3274"/>
      <c r="B6" s="3300"/>
      <c r="C6" s="3301"/>
      <c r="D6" s="3302"/>
      <c r="E6" s="260" t="s">
        <v>303</v>
      </c>
      <c r="F6" s="261"/>
      <c r="G6" s="261"/>
      <c r="H6" s="261"/>
      <c r="I6" s="262"/>
      <c r="J6" s="2029"/>
      <c r="K6" s="2028"/>
      <c r="L6" s="2028"/>
      <c r="M6" s="2028"/>
      <c r="N6" s="2028"/>
      <c r="O6" s="2028"/>
      <c r="P6" s="2028"/>
      <c r="Q6" s="2028"/>
      <c r="R6" s="2028"/>
      <c r="S6" s="2028"/>
      <c r="T6" s="2028"/>
      <c r="U6" s="2028"/>
      <c r="V6" s="2028"/>
    </row>
    <row r="7" spans="1:22" ht="14.25">
      <c r="A7" s="3274"/>
      <c r="B7" s="3300"/>
      <c r="C7" s="3299"/>
      <c r="D7" s="3302"/>
      <c r="E7" s="260" t="s">
        <v>304</v>
      </c>
      <c r="F7" s="261"/>
      <c r="G7" s="261"/>
      <c r="H7" s="261"/>
      <c r="I7" s="262"/>
      <c r="J7" s="2029"/>
      <c r="K7" s="2028"/>
      <c r="L7" s="2028"/>
      <c r="M7" s="2028"/>
      <c r="N7" s="2028"/>
      <c r="O7" s="2028"/>
      <c r="P7" s="2028"/>
      <c r="Q7" s="2028"/>
      <c r="R7" s="2028"/>
      <c r="S7" s="2028"/>
      <c r="T7" s="2028"/>
      <c r="U7" s="2028"/>
      <c r="V7" s="2028"/>
    </row>
    <row r="8" spans="1:22" ht="14.25">
      <c r="A8" s="3274" t="s">
        <v>305</v>
      </c>
      <c r="B8" s="3300">
        <v>15</v>
      </c>
      <c r="C8" s="3298"/>
      <c r="D8" s="3302"/>
      <c r="E8" s="260" t="s">
        <v>306</v>
      </c>
      <c r="F8" s="261"/>
      <c r="G8" s="261"/>
      <c r="H8" s="261"/>
      <c r="I8" s="262"/>
      <c r="J8" s="2029"/>
      <c r="K8" s="2028"/>
      <c r="L8" s="2028"/>
      <c r="M8" s="2028"/>
      <c r="N8" s="2028"/>
      <c r="O8" s="2028"/>
      <c r="P8" s="2028"/>
      <c r="Q8" s="2028"/>
      <c r="R8" s="2028"/>
      <c r="S8" s="2028"/>
      <c r="T8" s="2028"/>
      <c r="U8" s="2028"/>
      <c r="V8" s="2028"/>
    </row>
    <row r="9" spans="1:22" ht="14.25">
      <c r="A9" s="3274"/>
      <c r="B9" s="3300"/>
      <c r="C9" s="3299"/>
      <c r="D9" s="3302"/>
      <c r="E9" s="260" t="s">
        <v>307</v>
      </c>
      <c r="F9" s="261"/>
      <c r="G9" s="261"/>
      <c r="H9" s="261"/>
      <c r="I9" s="262"/>
      <c r="J9" s="2029"/>
      <c r="K9" s="2028"/>
      <c r="L9" s="2028"/>
      <c r="M9" s="2028"/>
      <c r="N9" s="2028"/>
      <c r="O9" s="2028"/>
      <c r="P9" s="2028"/>
      <c r="Q9" s="2028"/>
      <c r="R9" s="2028"/>
      <c r="S9" s="2028"/>
      <c r="T9" s="2028"/>
      <c r="U9" s="2028"/>
      <c r="V9" s="2028"/>
    </row>
    <row r="10" spans="1:22" ht="14.25">
      <c r="A10" s="3274" t="s">
        <v>308</v>
      </c>
      <c r="B10" s="3300">
        <v>15</v>
      </c>
      <c r="C10" s="3298"/>
      <c r="D10" s="3302"/>
      <c r="E10" s="260" t="s">
        <v>309</v>
      </c>
      <c r="F10" s="261"/>
      <c r="G10" s="261"/>
      <c r="H10" s="261"/>
      <c r="I10" s="262"/>
      <c r="J10" s="2029"/>
      <c r="K10" s="2028"/>
      <c r="L10" s="2028"/>
      <c r="M10" s="2028"/>
      <c r="N10" s="2028"/>
      <c r="O10" s="2028"/>
      <c r="P10" s="2028"/>
      <c r="Q10" s="2028"/>
      <c r="R10" s="2028"/>
      <c r="S10" s="2028"/>
      <c r="T10" s="2028"/>
      <c r="U10" s="2028"/>
      <c r="V10" s="2028"/>
    </row>
    <row r="11" spans="1:22" ht="14.25">
      <c r="A11" s="3274"/>
      <c r="B11" s="3300"/>
      <c r="C11" s="3299"/>
      <c r="D11" s="3302"/>
      <c r="E11" s="260" t="s">
        <v>310</v>
      </c>
      <c r="F11" s="261"/>
      <c r="G11" s="261"/>
      <c r="H11" s="261"/>
      <c r="I11" s="262"/>
      <c r="J11" s="2029"/>
      <c r="K11" s="2028"/>
      <c r="L11" s="2028"/>
      <c r="M11" s="2028"/>
      <c r="N11" s="2028"/>
      <c r="O11" s="2028"/>
      <c r="P11" s="2028"/>
      <c r="Q11" s="2028"/>
      <c r="R11" s="2028"/>
      <c r="S11" s="2028"/>
      <c r="T11" s="2028"/>
      <c r="U11" s="2028"/>
      <c r="V11" s="2028"/>
    </row>
    <row r="12" spans="1:22" ht="14.25">
      <c r="A12" s="3274" t="s">
        <v>311</v>
      </c>
      <c r="B12" s="3300">
        <v>15</v>
      </c>
      <c r="C12" s="3298"/>
      <c r="D12" s="3302"/>
      <c r="E12" s="260" t="s">
        <v>312</v>
      </c>
      <c r="F12" s="261"/>
      <c r="G12" s="261"/>
      <c r="H12" s="261"/>
      <c r="I12" s="262"/>
      <c r="J12" s="2029"/>
      <c r="K12" s="2028"/>
      <c r="L12" s="2028"/>
      <c r="M12" s="2028"/>
      <c r="N12" s="2028"/>
      <c r="O12" s="2028"/>
      <c r="P12" s="2028"/>
      <c r="Q12" s="2028"/>
      <c r="R12" s="2028"/>
      <c r="S12" s="2028"/>
      <c r="T12" s="2028"/>
      <c r="U12" s="2028"/>
      <c r="V12" s="2028"/>
    </row>
    <row r="13" spans="1:22" ht="14.25">
      <c r="A13" s="3274"/>
      <c r="B13" s="3300"/>
      <c r="C13" s="3299"/>
      <c r="D13" s="3302"/>
      <c r="E13" s="260" t="s">
        <v>313</v>
      </c>
      <c r="F13" s="261"/>
      <c r="G13" s="261"/>
      <c r="H13" s="261"/>
      <c r="I13" s="262"/>
      <c r="J13" s="2029"/>
      <c r="K13" s="2028"/>
      <c r="L13" s="2028"/>
      <c r="M13" s="2028"/>
      <c r="N13" s="2028"/>
      <c r="O13" s="2028"/>
      <c r="P13" s="2028"/>
      <c r="Q13" s="2028"/>
      <c r="R13" s="2028"/>
      <c r="S13" s="2028"/>
      <c r="T13" s="2028"/>
      <c r="U13" s="2028"/>
      <c r="V13" s="2028"/>
    </row>
    <row r="14" spans="1:22" ht="14.25">
      <c r="A14" s="3274" t="s">
        <v>314</v>
      </c>
      <c r="B14" s="3300">
        <v>30</v>
      </c>
      <c r="C14" s="3298">
        <v>5</v>
      </c>
      <c r="D14" s="3302">
        <v>5</v>
      </c>
      <c r="E14" s="260" t="s">
        <v>315</v>
      </c>
      <c r="F14" s="261"/>
      <c r="G14" s="261"/>
      <c r="H14" s="261"/>
      <c r="I14" s="262"/>
      <c r="J14" s="2029"/>
      <c r="K14" s="2028"/>
      <c r="L14" s="2028"/>
      <c r="M14" s="2028"/>
      <c r="N14" s="2028"/>
      <c r="O14" s="2028"/>
      <c r="P14" s="2028"/>
      <c r="Q14" s="2028"/>
      <c r="R14" s="2028"/>
      <c r="S14" s="2028"/>
      <c r="T14" s="2028"/>
      <c r="U14" s="2028"/>
      <c r="V14" s="2028"/>
    </row>
    <row r="15" spans="1:22" ht="14.25">
      <c r="A15" s="3274"/>
      <c r="B15" s="3300"/>
      <c r="C15" s="3301"/>
      <c r="D15" s="3302"/>
      <c r="E15" s="260" t="s">
        <v>316</v>
      </c>
      <c r="F15" s="261"/>
      <c r="G15" s="261"/>
      <c r="H15" s="261"/>
      <c r="I15" s="262"/>
      <c r="J15" s="2029"/>
      <c r="K15" s="2028"/>
      <c r="L15" s="2028"/>
      <c r="M15" s="2028"/>
      <c r="N15" s="2028"/>
      <c r="O15" s="2028"/>
      <c r="P15" s="2028"/>
      <c r="Q15" s="2028"/>
      <c r="R15" s="2028"/>
      <c r="S15" s="2028"/>
      <c r="T15" s="2028"/>
      <c r="U15" s="2028"/>
      <c r="V15" s="2028"/>
    </row>
    <row r="16" spans="1:22" ht="14.25">
      <c r="A16" s="3274"/>
      <c r="B16" s="3300"/>
      <c r="C16" s="3299"/>
      <c r="D16" s="3302"/>
      <c r="E16" s="260" t="s">
        <v>317</v>
      </c>
      <c r="F16" s="261"/>
      <c r="G16" s="261"/>
      <c r="H16" s="261"/>
      <c r="I16" s="262"/>
      <c r="J16" s="2029"/>
      <c r="K16" s="2028"/>
      <c r="L16" s="2028"/>
      <c r="M16" s="2028"/>
      <c r="N16" s="2028"/>
      <c r="O16" s="2028"/>
      <c r="P16" s="2028"/>
      <c r="Q16" s="2028"/>
      <c r="R16" s="2028"/>
      <c r="S16" s="2028"/>
      <c r="T16" s="2028"/>
      <c r="U16" s="2028"/>
      <c r="V16" s="2028"/>
    </row>
    <row r="17" spans="1:26" ht="15">
      <c r="A17" s="263" t="s">
        <v>318</v>
      </c>
      <c r="B17" s="144"/>
      <c r="C17" s="264">
        <f>SUM(C5:C16)</f>
        <v>5</v>
      </c>
      <c r="D17" s="264">
        <f>SUM(D5:D16)</f>
        <v>5</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319</v>
      </c>
      <c r="B18" s="105"/>
      <c r="C18" s="266">
        <f>ROUND(C17/SUM(C17:D17),2)</f>
        <v>0.5</v>
      </c>
      <c r="D18" s="266">
        <f>1-C18</f>
        <v>0.5</v>
      </c>
      <c r="E18" s="313"/>
      <c r="F18" s="313"/>
      <c r="G18" s="313"/>
      <c r="H18" s="313"/>
      <c r="I18" s="313"/>
      <c r="J18" s="2028"/>
      <c r="K18" s="2028"/>
      <c r="L18" s="2028"/>
      <c r="M18" s="2028"/>
      <c r="N18" s="2028"/>
      <c r="O18" s="2028"/>
      <c r="P18" s="2028"/>
      <c r="Q18" s="2028"/>
      <c r="R18" s="2028"/>
      <c r="S18" s="2028"/>
      <c r="T18" s="2028"/>
      <c r="U18" s="2028"/>
      <c r="V18" s="2028"/>
    </row>
    <row r="19" spans="1:26" ht="15">
      <c r="A19" s="267" t="s">
        <v>320</v>
      </c>
      <c r="B19" s="268" t="s">
        <v>321</v>
      </c>
      <c r="C19" s="269">
        <f ca="1">SUMIF(INDIRECT("'"&amp;C4&amp;"'"&amp;"!A:A"),结果表!B19,INDIRECT("'"&amp;C4&amp;"'"&amp;"!B:B"))</f>
        <v>95159</v>
      </c>
      <c r="D19" s="270">
        <f ca="1">SUMIF(INDIRECT("'"&amp;D4&amp;"'"&amp;"!A:A"),结果表!B19,INDIRECT("'"&amp;D4&amp;"'"&amp;"!B:B"))</f>
        <v>91332</v>
      </c>
      <c r="E19" s="267" t="s">
        <v>322</v>
      </c>
      <c r="F19" s="268" t="s">
        <v>321</v>
      </c>
      <c r="G19" s="271">
        <f ca="1">ROUND(C19*$C$18+D19*$D$18,0)</f>
        <v>93246</v>
      </c>
      <c r="H19" s="272" t="s">
        <v>323</v>
      </c>
      <c r="I19" s="313"/>
      <c r="J19" s="2028"/>
      <c r="K19" s="2028"/>
      <c r="L19" s="2028"/>
      <c r="M19" s="2028"/>
      <c r="N19" s="2028"/>
      <c r="O19" s="2028"/>
      <c r="P19" s="2028"/>
      <c r="Q19" s="2028"/>
      <c r="R19" s="2028"/>
      <c r="S19" s="2028"/>
      <c r="T19" s="2028"/>
      <c r="U19" s="2028"/>
      <c r="V19" s="2028"/>
    </row>
    <row r="20" spans="1:26" ht="15">
      <c r="A20" s="273"/>
      <c r="B20" s="274" t="s">
        <v>324</v>
      </c>
      <c r="C20" s="275">
        <f ca="1">SUMIF(INDIRECT("'"&amp;C4&amp;"'"&amp;"!A:A"),结果表!B20,INDIRECT("'"&amp;C4&amp;"'"&amp;"!B:B"))</f>
        <v>4103</v>
      </c>
      <c r="D20" s="276">
        <f ca="1">SUMIF(INDIRECT("'"&amp;D4&amp;"'"&amp;"!A:A"),结果表!B20,INDIRECT("'"&amp;D4&amp;"'"&amp;"!B:B"))</f>
        <v>3938</v>
      </c>
      <c r="E20" s="273"/>
      <c r="F20" s="274" t="s">
        <v>324</v>
      </c>
      <c r="G20" s="277">
        <f ca="1">ROUND(C20*$C$18+D20*$D$18,0)</f>
        <v>4021</v>
      </c>
      <c r="H20" s="278" t="s">
        <v>325</v>
      </c>
      <c r="I20" s="313"/>
      <c r="J20" s="2028"/>
      <c r="K20" s="2028">
        <v>89555</v>
      </c>
      <c r="L20" s="2028"/>
      <c r="M20" s="2028"/>
      <c r="N20" s="2028"/>
      <c r="O20" s="2028"/>
      <c r="P20" s="2028"/>
      <c r="Q20" s="2028"/>
      <c r="R20" s="2028"/>
      <c r="S20" s="2028"/>
      <c r="T20" s="2028"/>
      <c r="U20" s="2028"/>
      <c r="V20" s="2028"/>
    </row>
    <row r="21" spans="1:26" ht="15" customHeight="1">
      <c r="A21" s="273"/>
      <c r="B21" s="279" t="s">
        <v>326</v>
      </c>
      <c r="C21" s="280">
        <f ca="1">SUMIF(INDIRECT("'"&amp;C4&amp;"'"&amp;"!A:A"),结果表!B21,INDIRECT("'"&amp;C4&amp;"'"&amp;"!B:B"))</f>
        <v>9027</v>
      </c>
      <c r="D21" s="151">
        <f ca="1">SUMIF(INDIRECT("'"&amp;D4&amp;"'"&amp;"!A:A"),结果表!B21,INDIRECT("'"&amp;D4&amp;"'"&amp;"!B:B"))</f>
        <v>8664</v>
      </c>
      <c r="E21" s="273"/>
      <c r="F21" s="279" t="s">
        <v>326</v>
      </c>
      <c r="G21" s="281">
        <f ca="1">ROUND(C21*$C$18+D21*$D$18,0)</f>
        <v>8846</v>
      </c>
      <c r="H21" s="1250" t="s">
        <v>325</v>
      </c>
      <c r="I21" s="313"/>
      <c r="J21" s="2028"/>
      <c r="K21" s="3183">
        <f ca="1">(G19-K20)/K20</f>
        <v>4.121489587404388E-2</v>
      </c>
      <c r="L21" s="2028"/>
      <c r="M21" s="2028"/>
      <c r="N21" s="2028"/>
      <c r="O21" s="2028"/>
      <c r="P21" s="2028"/>
      <c r="Q21" s="2028"/>
      <c r="R21" s="2028"/>
      <c r="S21" s="2028"/>
      <c r="T21" s="2028"/>
      <c r="U21" s="2028"/>
      <c r="V21" s="2028"/>
    </row>
    <row r="22" spans="1:26" ht="15.75" thickBot="1">
      <c r="A22" s="126" t="s">
        <v>327</v>
      </c>
      <c r="B22" s="1251"/>
      <c r="C22" s="1252"/>
      <c r="D22" s="282">
        <f ca="1">IF(C19&lt;D19,D19/C19-1,C19/D19-1)</f>
        <v>4.190207156308845E-2</v>
      </c>
      <c r="E22" s="283"/>
      <c r="F22" s="284"/>
      <c r="G22" s="285">
        <f ca="1">ROUND(G19/('数据-汇总表'!D3/666.67),0)</f>
        <v>590</v>
      </c>
      <c r="H22" s="286" t="s">
        <v>328</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280" t="s">
        <v>329</v>
      </c>
      <c r="B24" s="268" t="s">
        <v>321</v>
      </c>
      <c r="C24" s="287">
        <f>IF(B30=0,0,D30)</f>
        <v>0</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281"/>
      <c r="B25" s="1320" t="s">
        <v>330</v>
      </c>
      <c r="C25" s="289">
        <f>IF(B30=0,0,C30)</f>
        <v>0</v>
      </c>
      <c r="D25" s="290"/>
      <c r="E25" s="313"/>
      <c r="F25" s="313"/>
      <c r="G25" s="313"/>
      <c r="H25" s="313"/>
      <c r="I25" s="313"/>
      <c r="J25" s="2028"/>
      <c r="K25" s="1254" t="str">
        <f ca="1">项目基本情况!B16&amp;"国有建设用地使用权价格："&amp;O38&amp;"万元"</f>
        <v>出让国有建设用地使用权价格：93246万元</v>
      </c>
      <c r="L25" s="1255"/>
      <c r="M25" s="1255"/>
      <c r="N25" s="1255"/>
      <c r="O25" s="1256"/>
      <c r="P25" s="2028"/>
      <c r="Q25" s="2028"/>
      <c r="R25" s="2028"/>
      <c r="S25" s="2028"/>
      <c r="T25" s="2028"/>
      <c r="U25" s="2028"/>
      <c r="V25" s="2028"/>
    </row>
    <row r="26" spans="1:26" s="1253" customFormat="1" ht="18">
      <c r="A26" s="292" t="s">
        <v>331</v>
      </c>
      <c r="B26" s="293" t="s">
        <v>332</v>
      </c>
      <c r="C26" s="293" t="s">
        <v>333</v>
      </c>
      <c r="D26" s="294" t="s">
        <v>334</v>
      </c>
      <c r="E26" s="313"/>
      <c r="F26" s="313"/>
      <c r="G26" s="313"/>
      <c r="H26" s="313"/>
      <c r="I26" s="313"/>
      <c r="J26" s="2028"/>
      <c r="K26" s="1257" t="str">
        <f ca="1">"大写金额：人民币"&amp;NUMBERSTRING(INT(O38*10000),2)&amp;"元整"</f>
        <v>大写金额：人民币玖亿叁仟贰佰肆拾陆万元整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3"/>
      <c r="F27" s="313"/>
      <c r="G27" s="313"/>
      <c r="H27" s="313"/>
      <c r="I27" s="313"/>
      <c r="J27" s="2028"/>
      <c r="K27" s="1257" t="str">
        <f ca="1">"单位面积地价："&amp;M38&amp;"元/平方米"</f>
        <v>单位面积地价：8845元/平方米</v>
      </c>
      <c r="L27" s="1251"/>
      <c r="M27" s="1251"/>
      <c r="N27" s="1251"/>
      <c r="O27" s="1250"/>
      <c r="P27" s="2028"/>
      <c r="Q27" s="2028"/>
      <c r="R27" s="2028"/>
      <c r="S27" s="2028"/>
      <c r="T27" s="2028"/>
      <c r="U27" s="2028"/>
      <c r="V27" s="2028"/>
    </row>
    <row r="28" spans="1:26" ht="18.75" hidden="1" customHeight="1">
      <c r="A28" s="292"/>
      <c r="B28" s="293"/>
      <c r="C28" s="293"/>
      <c r="D28" s="294"/>
      <c r="E28" s="313"/>
      <c r="F28" s="313"/>
      <c r="G28" s="313"/>
      <c r="H28" s="313"/>
      <c r="I28" s="313"/>
      <c r="J28" s="2028"/>
      <c r="K28" s="1257" t="str">
        <f ca="1">"楼面地价："&amp;N38&amp;"元/平方米"</f>
        <v>楼面地价：4021元/平方米</v>
      </c>
      <c r="L28" s="1251"/>
      <c r="M28" s="1251"/>
      <c r="N28" s="1251"/>
      <c r="O28" s="1250"/>
      <c r="P28" s="2028"/>
      <c r="V28" s="2028"/>
    </row>
    <row r="29" spans="1:26" ht="18" hidden="1">
      <c r="A29" s="292"/>
      <c r="B29" s="293"/>
      <c r="C29" s="293"/>
      <c r="D29" s="294"/>
      <c r="E29" s="313"/>
      <c r="F29" s="313"/>
      <c r="G29" s="313"/>
      <c r="H29" s="313"/>
      <c r="I29" s="313"/>
      <c r="J29" s="2028"/>
      <c r="K29" s="1257" t="str">
        <f ca="1">IF(OR(项目基本情况!E8="抵押价格",项目基本情况!E8="已注销及未注销"),"抵押价格："&amp;O39&amp;"万元","——")</f>
        <v>抵押价格：93246万元</v>
      </c>
      <c r="L29" s="1251"/>
      <c r="M29" s="1251"/>
      <c r="N29" s="1251"/>
      <c r="O29" s="1250"/>
      <c r="P29" s="2028"/>
      <c r="V29" s="2028"/>
    </row>
    <row r="30" spans="1:26" ht="18.75" thickBot="1">
      <c r="A30" s="295" t="s">
        <v>335</v>
      </c>
      <c r="B30" s="296">
        <f>SUM(B27:B29)</f>
        <v>0</v>
      </c>
      <c r="C30" s="296" t="e">
        <f>ROUND(D30*10000/B30,0)</f>
        <v>#DIV/0!</v>
      </c>
      <c r="D30" s="297">
        <f>SUM(D27:D29)</f>
        <v>0</v>
      </c>
      <c r="E30" s="313"/>
      <c r="F30" s="313"/>
      <c r="G30" s="313"/>
      <c r="H30" s="313"/>
      <c r="I30" s="313"/>
      <c r="J30" s="2028"/>
      <c r="K30" s="1257" t="str">
        <f ca="1">IF(K29="——","——","大写金额：人民币"&amp;NUMBERSTRING(INT(O39*10000),2)&amp;"元整")</f>
        <v>大写金额：人民币玖亿叁仟贰佰肆拾陆万元整</v>
      </c>
      <c r="L30" s="1251"/>
      <c r="M30" s="1251"/>
      <c r="N30" s="1251"/>
      <c r="O30" s="1250"/>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336</v>
      </c>
      <c r="B32" s="1380" t="s">
        <v>1688</v>
      </c>
      <c r="C32" s="1381">
        <f ca="1">G19-C24</f>
        <v>93246</v>
      </c>
      <c r="D32" s="1382" t="s">
        <v>1689</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339</v>
      </c>
      <c r="B33" s="1383" t="s">
        <v>1690</v>
      </c>
      <c r="C33" s="263">
        <f ca="1">ROUND(C32*10000/'数据-汇总表'!E3,0)</f>
        <v>4021</v>
      </c>
      <c r="D33" s="1384" t="s">
        <v>1691</v>
      </c>
      <c r="E33" s="3280" t="s">
        <v>337</v>
      </c>
      <c r="F33" s="298" t="s">
        <v>338</v>
      </c>
      <c r="G33" s="299"/>
      <c r="H33" s="979"/>
      <c r="I33" s="1258"/>
      <c r="J33" s="2028"/>
      <c r="K33" s="1257" t="str">
        <f>IF(项目基本情况!E9="——","——","抵押净值："&amp;C46&amp;"万元")</f>
        <v>抵押净值：——万元</v>
      </c>
      <c r="L33" s="1251"/>
      <c r="M33" s="1251"/>
      <c r="N33" s="1251"/>
      <c r="O33" s="1250"/>
      <c r="P33" s="2028"/>
      <c r="V33" s="2028"/>
    </row>
    <row r="34" spans="1:26" s="1253" customFormat="1" ht="18.75" thickBot="1">
      <c r="A34" s="302"/>
      <c r="B34" s="1385" t="s">
        <v>1692</v>
      </c>
      <c r="C34" s="263">
        <f ca="1">ROUND(C32*10000/'数据-汇总表'!D3,0)</f>
        <v>8845</v>
      </c>
      <c r="D34" s="1386" t="s">
        <v>1691</v>
      </c>
      <c r="E34" s="3321"/>
      <c r="F34" s="127" t="s">
        <v>340</v>
      </c>
      <c r="G34" s="301"/>
      <c r="H34" s="105"/>
      <c r="I34" s="313"/>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590</v>
      </c>
      <c r="D35" s="1389" t="s">
        <v>1693</v>
      </c>
      <c r="E35" s="3322"/>
      <c r="F35" s="303" t="s">
        <v>341</v>
      </c>
      <c r="G35" s="981"/>
      <c r="H35" s="980" t="s">
        <v>342</v>
      </c>
      <c r="I35" s="313"/>
      <c r="J35" s="2028"/>
      <c r="K35" s="3295" t="s">
        <v>349</v>
      </c>
      <c r="L35" s="3295" t="s">
        <v>350</v>
      </c>
      <c r="M35" s="1263" t="s">
        <v>351</v>
      </c>
      <c r="N35" s="3295" t="s">
        <v>352</v>
      </c>
      <c r="O35" s="3295" t="s">
        <v>353</v>
      </c>
      <c r="P35" s="2028"/>
      <c r="V35" s="2028"/>
    </row>
    <row r="36" spans="1:26" ht="16.5" customHeight="1">
      <c r="A36" s="305" t="s">
        <v>343</v>
      </c>
      <c r="B36" s="306" t="s">
        <v>332</v>
      </c>
      <c r="C36" s="307" t="s">
        <v>344</v>
      </c>
      <c r="D36" s="307" t="s">
        <v>345</v>
      </c>
      <c r="E36" s="308" t="s">
        <v>346</v>
      </c>
      <c r="F36" s="313"/>
      <c r="G36" s="313"/>
      <c r="H36" s="313"/>
      <c r="I36" s="313"/>
      <c r="J36" s="2030"/>
      <c r="K36" s="3296"/>
      <c r="L36" s="3296"/>
      <c r="M36" s="1265" t="s">
        <v>354</v>
      </c>
      <c r="N36" s="3296"/>
      <c r="O36" s="3296"/>
      <c r="P36" s="2028"/>
      <c r="V36" s="2028"/>
    </row>
    <row r="37" spans="1:26" ht="16.5" customHeight="1" thickBot="1">
      <c r="A37" s="1259" t="s">
        <v>347</v>
      </c>
      <c r="B37" s="309"/>
      <c r="C37" s="293"/>
      <c r="D37" s="293"/>
      <c r="E37" s="294"/>
      <c r="F37" s="313"/>
      <c r="G37" s="313"/>
      <c r="H37" s="313"/>
      <c r="I37" s="313"/>
      <c r="J37" s="2030"/>
      <c r="K37" s="3297"/>
      <c r="L37" s="3297"/>
      <c r="M37" s="1266"/>
      <c r="N37" s="3297"/>
      <c r="O37" s="3297"/>
      <c r="P37" s="2028"/>
      <c r="V37" s="2028"/>
    </row>
    <row r="38" spans="1:26" ht="16.5" customHeight="1" thickBot="1">
      <c r="A38" s="1259" t="s">
        <v>348</v>
      </c>
      <c r="B38" s="309"/>
      <c r="C38" s="293"/>
      <c r="D38" s="293"/>
      <c r="E38" s="294"/>
      <c r="F38" s="313"/>
      <c r="G38" s="313"/>
      <c r="H38" s="313"/>
      <c r="I38" s="313"/>
      <c r="J38" s="2030"/>
      <c r="K38" s="1267">
        <f>'数据-汇总表'!D3</f>
        <v>105421.08</v>
      </c>
      <c r="L38" s="1268">
        <f>'数据-汇总表'!E3</f>
        <v>231926.37</v>
      </c>
      <c r="M38" s="1268">
        <f ca="1">C34</f>
        <v>8845</v>
      </c>
      <c r="N38" s="1268">
        <f ca="1">C33</f>
        <v>4021</v>
      </c>
      <c r="O38" s="1269">
        <f ca="1">C32</f>
        <v>93246</v>
      </c>
      <c r="P38" s="2028"/>
      <c r="V38" s="2028"/>
    </row>
    <row r="39" spans="1:26" ht="16.5" customHeight="1" thickBot="1">
      <c r="A39" s="1264"/>
      <c r="B39" s="310"/>
      <c r="C39" s="311"/>
      <c r="D39" s="311"/>
      <c r="E39" s="312"/>
      <c r="F39" s="313"/>
      <c r="G39" s="313"/>
      <c r="H39" s="313"/>
      <c r="I39" s="313"/>
      <c r="J39" s="2030"/>
      <c r="K39" s="3340" t="str">
        <f>MID(A44,3,LEN(A44)-2)</f>
        <v>抵押价格</v>
      </c>
      <c r="L39" s="3341"/>
      <c r="M39" s="3341"/>
      <c r="N39" s="3342"/>
      <c r="O39" s="1391">
        <f ca="1">C44</f>
        <v>93246</v>
      </c>
      <c r="P39" s="2028"/>
      <c r="V39" s="2028"/>
    </row>
    <row r="40" spans="1:26" ht="19.5" thickBot="1">
      <c r="A40" s="104" t="s">
        <v>872</v>
      </c>
      <c r="B40" s="313"/>
      <c r="C40" s="313"/>
      <c r="D40" s="313"/>
      <c r="E40" s="313"/>
      <c r="F40" s="313"/>
      <c r="G40" s="313"/>
      <c r="H40" s="313"/>
      <c r="I40" s="313"/>
      <c r="J40" s="2030"/>
      <c r="K40" s="3340" t="str">
        <f t="shared" ref="K40:K41" si="0">MID(A45,3,LEN(A45)-2)</f>
        <v/>
      </c>
      <c r="L40" s="3341"/>
      <c r="M40" s="3341"/>
      <c r="N40" s="3342"/>
      <c r="O40" s="1391" t="str">
        <f>C45</f>
        <v>——</v>
      </c>
      <c r="P40" s="2028"/>
      <c r="V40" s="2028"/>
    </row>
    <row r="41" spans="1:26" ht="16.5" thickBot="1">
      <c r="A41" s="314" t="s">
        <v>355</v>
      </c>
      <c r="B41" s="315"/>
      <c r="C41" s="316" t="s">
        <v>356</v>
      </c>
      <c r="D41" s="317" t="s">
        <v>357</v>
      </c>
      <c r="E41" s="317" t="s">
        <v>358</v>
      </c>
      <c r="F41" s="318" t="s">
        <v>359</v>
      </c>
      <c r="G41" s="313"/>
      <c r="H41" s="313"/>
      <c r="I41" s="313"/>
      <c r="J41" s="2030"/>
      <c r="K41" s="3340" t="str">
        <f t="shared" si="0"/>
        <v/>
      </c>
      <c r="L41" s="3341"/>
      <c r="M41" s="3341"/>
      <c r="N41" s="3342"/>
      <c r="O41" s="1391" t="str">
        <f>C46</f>
        <v>——</v>
      </c>
      <c r="P41" s="2028"/>
      <c r="V41" s="2028"/>
    </row>
    <row r="42" spans="1:26" ht="29.25">
      <c r="A42" s="3282" t="s">
        <v>2068</v>
      </c>
      <c r="B42" s="3283"/>
      <c r="C42" s="263">
        <f ca="1">C32</f>
        <v>93246</v>
      </c>
      <c r="D42" s="319">
        <f ca="1">C33</f>
        <v>4021</v>
      </c>
      <c r="E42" s="319">
        <f ca="1">C34</f>
        <v>8845</v>
      </c>
      <c r="F42" s="320">
        <f ca="1">C35</f>
        <v>590</v>
      </c>
      <c r="G42" s="313"/>
      <c r="H42" s="313"/>
      <c r="I42" s="321"/>
      <c r="J42" s="2030"/>
      <c r="K42" s="1270" t="s">
        <v>360</v>
      </c>
      <c r="L42" s="2047" t="s">
        <v>361</v>
      </c>
      <c r="M42" s="1271" t="s">
        <v>362</v>
      </c>
      <c r="N42" s="2048" t="s">
        <v>363</v>
      </c>
      <c r="O42" s="2049" t="s">
        <v>364</v>
      </c>
      <c r="P42" s="2028"/>
      <c r="V42" s="2028"/>
    </row>
    <row r="43" spans="1:26" ht="30">
      <c r="A43" s="3293" t="s">
        <v>2735</v>
      </c>
      <c r="B43" s="3294"/>
      <c r="C43" s="263">
        <f>IF(H33="正常操作",G33+G34+G35,G34+G35)</f>
        <v>0</v>
      </c>
      <c r="D43" s="319" t="s">
        <v>43</v>
      </c>
      <c r="E43" s="319" t="s">
        <v>44</v>
      </c>
      <c r="F43" s="320" t="s">
        <v>44</v>
      </c>
      <c r="G43" s="2892" t="s">
        <v>951</v>
      </c>
      <c r="H43" s="313"/>
      <c r="I43" s="321"/>
      <c r="J43" s="2030"/>
      <c r="K43" s="1272" t="str">
        <f>C4</f>
        <v>比较法-住宅、综合</v>
      </c>
      <c r="L43" s="1273">
        <f ca="1">IF(L42="估价结果/万元",C19,C20)</f>
        <v>95159</v>
      </c>
      <c r="M43" s="1274">
        <f>C18</f>
        <v>0.5</v>
      </c>
      <c r="N43" s="1275">
        <f ca="1">IF(N42="测算结果/万元",G19,G20)</f>
        <v>93246</v>
      </c>
      <c r="O43" s="1276">
        <f ca="1">IF(O42="最终结果/万元",C32,C33)</f>
        <v>93246</v>
      </c>
      <c r="P43" s="2028"/>
      <c r="V43" s="2028"/>
    </row>
    <row r="44" spans="1:26" ht="30.75" thickBot="1">
      <c r="A44" s="3282" t="str">
        <f>IF(OR(项目基本情况!E8="抵押价格",项目基本情况!E8="已注销及未注销"),"3.抵押价格","——")</f>
        <v>3.抵押价格</v>
      </c>
      <c r="B44" s="3283"/>
      <c r="C44" s="263">
        <f ca="1">IF(A44="——","——",C42-C43)</f>
        <v>93246</v>
      </c>
      <c r="D44" s="319">
        <f ca="1">ROUND(C44*10000/'数据-汇总表'!E3,0)</f>
        <v>4021</v>
      </c>
      <c r="E44" s="319">
        <f ca="1">ROUND(C44*10000/'数据-汇总表'!D3,0)</f>
        <v>8845</v>
      </c>
      <c r="F44" s="320">
        <f ca="1">ROUND(C44/('数据-汇总表'!D3/666.67),0)</f>
        <v>590</v>
      </c>
      <c r="G44" s="313"/>
      <c r="H44" s="313"/>
      <c r="I44" s="321"/>
      <c r="J44" s="2030"/>
      <c r="K44" s="1277" t="str">
        <f>D4</f>
        <v>剩余法-待开发</v>
      </c>
      <c r="L44" s="1278">
        <f ca="1">IF(L42="估价结果/万元",D19,D20)</f>
        <v>91332</v>
      </c>
      <c r="M44" s="1279">
        <f>D18</f>
        <v>0.5</v>
      </c>
      <c r="N44" s="1280"/>
      <c r="O44" s="1281"/>
      <c r="P44" s="2028"/>
      <c r="V44" s="2028"/>
    </row>
    <row r="45" spans="1:26" ht="15">
      <c r="A45" s="3288" t="str">
        <f>IF(项目基本情况!E8="已注销及未注销","4.抵押担保权已注销时的抵押价格",IF(项目基本情况!E8="已注销","3.抵押担保权已注销时的抵押价格","——"))</f>
        <v>——</v>
      </c>
      <c r="B45" s="3289"/>
      <c r="C45" s="1803"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284" t="str">
        <f>IF(项目基本情况!E9="抵押净值",IF(A45="——","4.抵押净值","5.抵押净值"),"——")</f>
        <v>——</v>
      </c>
      <c r="B46" s="3285"/>
      <c r="C46" s="322" t="str">
        <f>IF(A46="——","——",O79)</f>
        <v>——</v>
      </c>
      <c r="D46" s="319" t="e">
        <f>ROUND(C46*10000/'数据-汇总表'!E3,0)</f>
        <v>#VALUE!</v>
      </c>
      <c r="E46" s="319" t="e">
        <f>ROUND(C46*10000/'数据-汇总表'!D3,0)</f>
        <v>#VALUE!</v>
      </c>
      <c r="F46" s="320" t="e">
        <f>ROUND(C46/('数据-汇总表'!D3/666.67),0)</f>
        <v>#VALUE!</v>
      </c>
      <c r="G46" s="313"/>
      <c r="H46" s="313"/>
      <c r="I46" s="321"/>
      <c r="J46" s="2030"/>
      <c r="K46" s="2028"/>
      <c r="L46" s="2028"/>
      <c r="M46" s="2028"/>
      <c r="N46" s="2028"/>
      <c r="O46" s="2028"/>
      <c r="P46" s="2028"/>
      <c r="Q46" s="2028"/>
      <c r="R46" s="2028"/>
      <c r="S46" s="2028"/>
      <c r="T46" s="2028"/>
      <c r="U46" s="2028"/>
      <c r="V46" s="2028"/>
    </row>
    <row r="47" spans="1:26" ht="15.75">
      <c r="A47" s="323" t="s">
        <v>365</v>
      </c>
      <c r="B47" s="1282"/>
      <c r="C47" s="324" t="s">
        <v>366</v>
      </c>
      <c r="D47" s="325"/>
      <c r="E47" s="325"/>
      <c r="F47" s="325"/>
      <c r="G47" s="326"/>
      <c r="H47" s="327"/>
      <c r="I47" s="328"/>
      <c r="J47" s="2030"/>
      <c r="K47" s="313"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9">
        <v>1</v>
      </c>
      <c r="B48" s="330"/>
      <c r="C48" s="330"/>
      <c r="D48" s="325"/>
      <c r="E48" s="325"/>
      <c r="F48" s="325"/>
      <c r="G48" s="325"/>
      <c r="H48" s="331"/>
      <c r="I48" s="332"/>
      <c r="J48" s="2030"/>
      <c r="K48" s="2028"/>
      <c r="L48" s="2028"/>
      <c r="M48" s="2028"/>
      <c r="N48" s="2028"/>
      <c r="O48" s="2028"/>
      <c r="P48" s="2028"/>
      <c r="Q48" s="2028"/>
      <c r="R48" s="2028"/>
      <c r="S48" s="2028"/>
      <c r="T48" s="2028"/>
      <c r="U48" s="2028"/>
      <c r="V48" s="2028"/>
    </row>
    <row r="49" spans="1:22" ht="12.75">
      <c r="A49" s="329">
        <v>2</v>
      </c>
      <c r="B49" s="330"/>
      <c r="C49" s="330"/>
      <c r="D49" s="325"/>
      <c r="E49" s="325"/>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367</v>
      </c>
      <c r="G53" s="339"/>
      <c r="H53" s="339"/>
      <c r="I53" s="340" t="s">
        <v>368</v>
      </c>
      <c r="J53" s="2031"/>
      <c r="K53" s="2028"/>
      <c r="L53" s="2028"/>
      <c r="M53" s="2028"/>
      <c r="N53" s="2028"/>
      <c r="O53" s="2028"/>
      <c r="P53" s="2028"/>
      <c r="Q53" s="2028"/>
      <c r="R53" s="2028"/>
      <c r="S53" s="2028"/>
      <c r="T53" s="2028"/>
      <c r="U53" s="2028"/>
      <c r="V53" s="2028"/>
    </row>
    <row r="54" spans="1:22" ht="12.75">
      <c r="A54" s="256"/>
      <c r="B54" s="341" t="s">
        <v>369</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370</v>
      </c>
      <c r="J56" s="2031"/>
      <c r="K56" s="2028"/>
      <c r="L56" s="2028"/>
      <c r="M56" s="2028"/>
      <c r="N56" s="2028"/>
      <c r="O56" s="2028"/>
      <c r="P56" s="2028"/>
      <c r="Q56" s="2028"/>
      <c r="R56" s="2028"/>
      <c r="S56" s="2028"/>
      <c r="T56" s="2028"/>
      <c r="U56" s="2028"/>
      <c r="V56" s="2028"/>
    </row>
    <row r="57" spans="1:22" ht="12.75">
      <c r="A57" s="256"/>
      <c r="B57" s="341" t="s">
        <v>371</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370</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9" t="s">
        <v>373</v>
      </c>
      <c r="B63" s="3330"/>
      <c r="C63" s="3331"/>
      <c r="D63" s="343">
        <f ca="1">ROUND(C42*F63,0)</f>
        <v>93246</v>
      </c>
      <c r="E63" s="304" t="s">
        <v>374</v>
      </c>
      <c r="F63" s="344">
        <v>1</v>
      </c>
      <c r="G63" s="345" t="s">
        <v>375</v>
      </c>
      <c r="H63" s="313"/>
      <c r="I63" s="313"/>
      <c r="J63" s="2028"/>
      <c r="K63" s="2028"/>
      <c r="L63" s="2028"/>
      <c r="M63" s="2028"/>
      <c r="N63" s="2028"/>
      <c r="O63" s="2028"/>
      <c r="P63" s="313"/>
      <c r="Q63" s="2028"/>
      <c r="R63" s="2028"/>
      <c r="S63" s="2028"/>
      <c r="T63" s="2028"/>
      <c r="U63" s="2028"/>
      <c r="V63" s="2028"/>
    </row>
    <row r="64" spans="1:22" ht="14.25" customHeight="1">
      <c r="A64" s="3290" t="s">
        <v>377</v>
      </c>
      <c r="B64" s="3291"/>
      <c r="C64" s="3291"/>
      <c r="D64" s="3291"/>
      <c r="E64" s="3291"/>
      <c r="F64" s="3291"/>
      <c r="G64" s="3292"/>
      <c r="H64" s="1287"/>
      <c r="I64" s="947"/>
      <c r="J64" s="1990"/>
      <c r="K64" s="1560" t="s">
        <v>376</v>
      </c>
      <c r="L64" s="11"/>
      <c r="M64" s="11"/>
      <c r="N64" s="11"/>
      <c r="O64" s="11"/>
      <c r="P64" s="313"/>
      <c r="Q64" s="2028"/>
      <c r="R64" s="2028"/>
      <c r="S64" s="2028"/>
      <c r="T64" s="2028"/>
      <c r="U64" s="2028"/>
      <c r="V64" s="2028"/>
    </row>
    <row r="65" spans="1:22" ht="12" customHeight="1">
      <c r="A65" s="346" t="s">
        <v>379</v>
      </c>
      <c r="B65" s="347"/>
      <c r="C65" s="348"/>
      <c r="D65" s="349" t="s">
        <v>380</v>
      </c>
      <c r="E65" s="53" t="s">
        <v>381</v>
      </c>
      <c r="F65" s="350" t="s">
        <v>382</v>
      </c>
      <c r="G65" s="351" t="s">
        <v>383</v>
      </c>
      <c r="H65" s="1287"/>
      <c r="I65" s="947"/>
      <c r="J65" s="1990"/>
      <c r="K65" s="1288"/>
      <c r="L65" s="1289"/>
      <c r="M65" s="1289"/>
      <c r="N65" s="1321" t="s">
        <v>378</v>
      </c>
      <c r="O65" s="1322"/>
      <c r="P65" s="1323"/>
      <c r="Q65" s="2028"/>
      <c r="R65" s="2028"/>
      <c r="S65" s="2028"/>
      <c r="T65" s="2028"/>
      <c r="U65" s="2028"/>
      <c r="V65" s="2028"/>
    </row>
    <row r="66" spans="1:22" ht="25.5">
      <c r="A66" s="3286" t="s">
        <v>385</v>
      </c>
      <c r="B66" s="3287"/>
      <c r="C66" s="3287"/>
      <c r="D66" s="260">
        <f ca="1">IF(H66="情况1",0,IF(H66="情况2",D70,IF(H66="情况3",D71,IF(H66="情况4",D72))))</f>
        <v>4973</v>
      </c>
      <c r="E66" s="992" t="str">
        <f>IF(H66="情况4","(销售额-原购置价)×税（费）率","销售额×税（费）率")</f>
        <v>销售额×税（费）率</v>
      </c>
      <c r="F66" s="352">
        <f>IF(H66="情况1","免征",'数据-取费表'!B41)</f>
        <v>5.6000000000000001E-2</v>
      </c>
      <c r="G66" s="353" t="s">
        <v>386</v>
      </c>
      <c r="H66" s="191" t="s">
        <v>387</v>
      </c>
      <c r="I66" s="1287"/>
      <c r="J66" s="2034"/>
      <c r="K66" s="1290">
        <v>1</v>
      </c>
      <c r="L66" s="3344" t="s">
        <v>384</v>
      </c>
      <c r="M66" s="3345"/>
      <c r="N66" s="2482"/>
      <c r="O66" s="2483"/>
      <c r="P66" s="2484"/>
      <c r="Q66" s="2028"/>
      <c r="R66" s="2028"/>
      <c r="S66" s="2028"/>
      <c r="T66" s="2028"/>
      <c r="U66" s="2028"/>
      <c r="V66" s="2028"/>
    </row>
    <row r="67" spans="1:22" ht="25.5" customHeight="1">
      <c r="A67" s="354" t="s">
        <v>389</v>
      </c>
      <c r="B67" s="3277" t="s">
        <v>390</v>
      </c>
      <c r="C67" s="3277"/>
      <c r="D67" s="355">
        <v>0</v>
      </c>
      <c r="E67" s="41" t="s">
        <v>391</v>
      </c>
      <c r="F67" s="62" t="s">
        <v>21</v>
      </c>
      <c r="G67" s="3332"/>
      <c r="H67" s="313"/>
      <c r="I67" s="1291"/>
      <c r="J67" s="2035"/>
      <c r="K67" s="1976">
        <v>2</v>
      </c>
      <c r="L67" s="3343" t="s">
        <v>388</v>
      </c>
      <c r="M67" s="3343"/>
      <c r="N67" s="1324">
        <f>'数据-取费表'!B2</f>
        <v>43076</v>
      </c>
      <c r="O67" s="1324"/>
      <c r="P67" s="1324"/>
      <c r="Q67" s="2028"/>
      <c r="R67" s="2028"/>
      <c r="S67" s="2028"/>
      <c r="T67" s="2028"/>
      <c r="U67" s="2028"/>
      <c r="V67" s="2028"/>
    </row>
    <row r="68" spans="1:22" ht="25.5" customHeight="1">
      <c r="A68" s="356"/>
      <c r="B68" s="3277" t="s">
        <v>393</v>
      </c>
      <c r="C68" s="3277"/>
      <c r="D68" s="357"/>
      <c r="E68" s="77"/>
      <c r="F68" s="358"/>
      <c r="G68" s="3333"/>
      <c r="H68" s="313"/>
      <c r="I68" s="1291"/>
      <c r="J68" s="2035"/>
      <c r="K68" s="1976">
        <v>3</v>
      </c>
      <c r="L68" s="3343" t="s">
        <v>392</v>
      </c>
      <c r="M68" s="3343"/>
      <c r="N68" s="1292">
        <f ca="1">C42</f>
        <v>93246</v>
      </c>
      <c r="O68" s="1292"/>
      <c r="P68" s="1292"/>
      <c r="Q68" s="2028"/>
      <c r="R68" s="2028"/>
      <c r="S68" s="2028"/>
      <c r="T68" s="2028"/>
      <c r="U68" s="2028"/>
      <c r="V68" s="2028"/>
    </row>
    <row r="69" spans="1:22" ht="12" customHeight="1">
      <c r="A69" s="359"/>
      <c r="B69" s="3277" t="s">
        <v>394</v>
      </c>
      <c r="C69" s="3277"/>
      <c r="D69" s="360"/>
      <c r="E69" s="73"/>
      <c r="F69" s="358"/>
      <c r="G69" s="3334"/>
      <c r="H69" s="313"/>
      <c r="I69" s="1291"/>
      <c r="J69" s="2035"/>
      <c r="K69" s="1293">
        <v>4</v>
      </c>
      <c r="L69" s="3348" t="s">
        <v>2888</v>
      </c>
      <c r="M69" s="3349"/>
      <c r="N69" s="1294">
        <f ca="1">C44</f>
        <v>93246</v>
      </c>
      <c r="O69" s="1294"/>
      <c r="P69" s="1294"/>
      <c r="Q69" s="2028"/>
      <c r="R69" s="2028"/>
      <c r="S69" s="2028"/>
      <c r="T69" s="2028"/>
      <c r="U69" s="2028"/>
      <c r="V69" s="2028"/>
    </row>
    <row r="70" spans="1:22" ht="24" customHeight="1">
      <c r="A70" s="361" t="s">
        <v>395</v>
      </c>
      <c r="B70" s="3277" t="s">
        <v>396</v>
      </c>
      <c r="C70" s="3277"/>
      <c r="D70" s="360">
        <f ca="1">ROUND(D63*'数据-取费表'!B41/(1+'数据-取费表'!C42),0)</f>
        <v>4973</v>
      </c>
      <c r="E70" s="17" t="s">
        <v>397</v>
      </c>
      <c r="F70" s="362">
        <f>'数据-取费表'!B41</f>
        <v>5.6000000000000001E-2</v>
      </c>
      <c r="G70" s="363"/>
      <c r="H70" s="313"/>
      <c r="I70" s="1291"/>
      <c r="J70" s="2035"/>
      <c r="K70" s="3088"/>
      <c r="L70" s="3089"/>
      <c r="M70" s="3089"/>
      <c r="N70" s="3090" t="s">
        <v>2893</v>
      </c>
      <c r="O70" s="3089"/>
      <c r="P70" s="3091"/>
      <c r="Q70" s="2028"/>
      <c r="R70" s="2028"/>
      <c r="S70" s="2028"/>
      <c r="T70" s="2028"/>
      <c r="U70" s="2028"/>
      <c r="V70" s="2028"/>
    </row>
    <row r="71" spans="1:22" ht="12" customHeight="1">
      <c r="A71" s="361" t="s">
        <v>403</v>
      </c>
      <c r="B71" s="3278" t="s">
        <v>404</v>
      </c>
      <c r="C71" s="3279"/>
      <c r="D71" s="360">
        <f ca="1">ROUND(D63*'数据-取费表'!B41/(1+'数据-取费表'!C42),0)</f>
        <v>4973</v>
      </c>
      <c r="E71" s="17" t="s">
        <v>397</v>
      </c>
      <c r="F71" s="362">
        <f>'数据-取费表'!B41</f>
        <v>5.6000000000000001E-2</v>
      </c>
      <c r="G71" s="363"/>
      <c r="H71" s="313"/>
      <c r="I71" s="1291"/>
      <c r="J71" s="2035"/>
      <c r="K71" s="3087" t="s">
        <v>398</v>
      </c>
      <c r="L71" s="3350" t="s">
        <v>399</v>
      </c>
      <c r="M71" s="3350"/>
      <c r="N71" s="3087" t="s">
        <v>400</v>
      </c>
      <c r="O71" s="3087" t="s">
        <v>401</v>
      </c>
      <c r="P71" s="3087" t="s">
        <v>402</v>
      </c>
      <c r="Q71" s="2028"/>
      <c r="R71" s="2028"/>
      <c r="S71" s="2028"/>
      <c r="T71" s="2028"/>
      <c r="U71" s="2028"/>
      <c r="V71" s="2028"/>
    </row>
    <row r="72" spans="1:22" ht="12" customHeight="1">
      <c r="A72" s="361" t="s">
        <v>406</v>
      </c>
      <c r="B72" s="3278" t="s">
        <v>407</v>
      </c>
      <c r="C72" s="3279"/>
      <c r="D72" s="360">
        <f ca="1">C86</f>
        <v>4861</v>
      </c>
      <c r="E72" s="73" t="s">
        <v>408</v>
      </c>
      <c r="F72" s="362">
        <f>'数据-取费表'!B41</f>
        <v>5.6000000000000001E-2</v>
      </c>
      <c r="G72" s="363"/>
      <c r="H72" s="1297"/>
      <c r="I72" s="1291"/>
      <c r="J72" s="2035"/>
      <c r="K72" s="1976">
        <v>1</v>
      </c>
      <c r="L72" s="3325" t="s">
        <v>405</v>
      </c>
      <c r="M72" s="3325"/>
      <c r="N72" s="1295">
        <f ca="1">D66</f>
        <v>4973</v>
      </c>
      <c r="O72" s="1859" t="str">
        <f>E66</f>
        <v>销售额×税（费）率</v>
      </c>
      <c r="P72" s="1296">
        <f>F66</f>
        <v>5.6000000000000001E-2</v>
      </c>
      <c r="Q72" s="2028"/>
      <c r="R72" s="2028"/>
      <c r="S72" s="2028"/>
      <c r="T72" s="2028"/>
      <c r="U72" s="2028"/>
      <c r="V72" s="2028"/>
    </row>
    <row r="73" spans="1:22" ht="24" customHeight="1">
      <c r="A73" s="3319" t="s">
        <v>410</v>
      </c>
      <c r="B73" s="3287"/>
      <c r="C73" s="3287"/>
      <c r="D73" s="364">
        <f>IF(H73="个人住宅",0,ROUND(D63*I73,0))</f>
        <v>0</v>
      </c>
      <c r="E73" s="17" t="s">
        <v>411</v>
      </c>
      <c r="F73" s="362" t="str">
        <f>IF(H73="正常",I73,"免征")</f>
        <v>免征</v>
      </c>
      <c r="G73" s="363"/>
      <c r="H73" s="191" t="s">
        <v>2457</v>
      </c>
      <c r="I73" s="362">
        <f>'数据-取费表'!B49</f>
        <v>5.0000000000000001E-4</v>
      </c>
      <c r="J73" s="2035"/>
      <c r="K73" s="1976">
        <v>2</v>
      </c>
      <c r="L73" s="3325" t="s">
        <v>409</v>
      </c>
      <c r="M73" s="3325"/>
      <c r="N73" s="1295">
        <f t="shared" ref="N73:P74" si="1">D73</f>
        <v>0</v>
      </c>
      <c r="O73" s="1859" t="str">
        <f t="shared" si="1"/>
        <v>销售额×税（费）率</v>
      </c>
      <c r="P73" s="1296" t="str">
        <f t="shared" si="1"/>
        <v>免征</v>
      </c>
      <c r="Q73" s="2028"/>
      <c r="R73" s="2028"/>
      <c r="S73" s="2028"/>
      <c r="T73" s="2028"/>
      <c r="U73" s="2028"/>
      <c r="V73" s="2028"/>
    </row>
    <row r="74" spans="1:22" ht="24.75">
      <c r="A74" s="3319" t="s">
        <v>414</v>
      </c>
      <c r="B74" s="3287"/>
      <c r="C74" s="3287"/>
      <c r="D74" s="364">
        <f ca="1">IF(H74="个人住宅",D75,D76)</f>
        <v>7240</v>
      </c>
      <c r="E74" s="17" t="s">
        <v>415</v>
      </c>
      <c r="F74" s="362" t="str">
        <f>IF(H74="正常",F76,"免征")</f>
        <v>——</v>
      </c>
      <c r="G74" s="982" t="s">
        <v>416</v>
      </c>
      <c r="H74" s="365" t="s">
        <v>412</v>
      </c>
      <c r="I74" s="42"/>
      <c r="J74" s="2035"/>
      <c r="K74" s="1976">
        <v>3</v>
      </c>
      <c r="L74" s="3325" t="s">
        <v>413</v>
      </c>
      <c r="M74" s="3325"/>
      <c r="N74" s="1295">
        <f t="shared" ca="1" si="1"/>
        <v>7240</v>
      </c>
      <c r="O74" s="1859" t="str">
        <f t="shared" si="1"/>
        <v>增值额×税（费）率</v>
      </c>
      <c r="P74" s="1298" t="str">
        <f t="shared" si="1"/>
        <v>——</v>
      </c>
      <c r="Q74" s="2028"/>
      <c r="R74" s="2028"/>
      <c r="S74" s="2028"/>
      <c r="T74" s="2028"/>
      <c r="U74" s="2028"/>
      <c r="V74" s="2028"/>
    </row>
    <row r="75" spans="1:22" ht="24">
      <c r="A75" s="361" t="s">
        <v>417</v>
      </c>
      <c r="B75" s="3275" t="s">
        <v>418</v>
      </c>
      <c r="C75" s="3305"/>
      <c r="D75" s="366">
        <v>0</v>
      </c>
      <c r="E75" s="41" t="s">
        <v>419</v>
      </c>
      <c r="F75" s="367"/>
      <c r="G75" s="363"/>
      <c r="H75" s="42"/>
      <c r="I75" s="42"/>
      <c r="J75" s="2035"/>
      <c r="K75" s="3080">
        <f>IF(H77="非个人房产","",4)</f>
        <v>4</v>
      </c>
      <c r="L75" s="3325" t="str">
        <f>IF(H77="非个人房产","——","个人所得税")</f>
        <v>个人所得税</v>
      </c>
      <c r="M75" s="3325"/>
      <c r="N75" s="1299">
        <f ca="1">D77</f>
        <v>932</v>
      </c>
      <c r="O75" s="1872" t="str">
        <f>E77</f>
        <v>销售额×税（费）率</v>
      </c>
      <c r="P75" s="1300">
        <f>F77</f>
        <v>0.01</v>
      </c>
      <c r="Q75" s="2028"/>
      <c r="R75" s="2028"/>
      <c r="S75" s="2028"/>
      <c r="T75" s="2028"/>
      <c r="U75" s="2028"/>
      <c r="V75" s="2028"/>
    </row>
    <row r="76" spans="1:22" ht="24.75">
      <c r="A76" s="361" t="s">
        <v>395</v>
      </c>
      <c r="B76" s="3275" t="s">
        <v>421</v>
      </c>
      <c r="C76" s="3276"/>
      <c r="D76" s="364">
        <f ca="1">IF(H76="转让取得",C99,C115)</f>
        <v>7240</v>
      </c>
      <c r="E76" s="17" t="s">
        <v>422</v>
      </c>
      <c r="F76" s="53" t="s">
        <v>21</v>
      </c>
      <c r="G76" s="363"/>
      <c r="H76" s="365" t="s">
        <v>423</v>
      </c>
      <c r="I76" s="42"/>
      <c r="J76" s="2035"/>
      <c r="K76" s="3080" t="str">
        <f>IF(项目基本情况!K6="上海银行",IF(K75="",4,K75+1),"")</f>
        <v/>
      </c>
      <c r="L76" s="3336" t="str">
        <f>IF(项目基本情况!K6="上海银行","其他处置费用","")</f>
        <v/>
      </c>
      <c r="M76" s="3337"/>
      <c r="N76" s="1295" t="str">
        <f>IF(项目基本情况!K6="上海银行",N89,"")</f>
        <v/>
      </c>
      <c r="O76" s="3338" t="str">
        <f>IF(项目基本情况!K6="上海银行","包含处置中涉及的律师、诉讼、拍卖、评估等费用","")</f>
        <v/>
      </c>
      <c r="P76" s="3339"/>
      <c r="Q76" s="2028"/>
      <c r="R76" s="2028"/>
      <c r="S76" s="2028"/>
      <c r="T76" s="2028"/>
      <c r="U76" s="2028"/>
      <c r="V76" s="2028"/>
    </row>
    <row r="77" spans="1:22" ht="26.25" thickBot="1">
      <c r="A77" s="3327" t="s">
        <v>425</v>
      </c>
      <c r="B77" s="3328"/>
      <c r="C77" s="3328"/>
      <c r="D77" s="368">
        <f ca="1">IF(H77="非个人房产","——",IF(H77="个人住宅",0,ROUND(D63*I77,0)))</f>
        <v>932</v>
      </c>
      <c r="E77" s="369" t="str">
        <f>IF(H77="非个人房产","——","销售额×税（费）率")</f>
        <v>销售额×税（费）率</v>
      </c>
      <c r="F77" s="370">
        <f>IF(H77="非个人房产","——",IF(H77="个人住宅","免征",I77))</f>
        <v>0.01</v>
      </c>
      <c r="G77" s="983" t="s">
        <v>416</v>
      </c>
      <c r="H77" s="365" t="s">
        <v>2889</v>
      </c>
      <c r="I77" s="371">
        <v>0.01</v>
      </c>
      <c r="J77" s="2035"/>
      <c r="K77" s="3326">
        <f>IF(AND(K75="",K76=""),4,IF(项目基本情况!K6="上海银行",K76+1,K75+1))</f>
        <v>5</v>
      </c>
      <c r="L77" s="3325" t="s">
        <v>2890</v>
      </c>
      <c r="M77" s="3086" t="s">
        <v>420</v>
      </c>
      <c r="N77" s="1301"/>
      <c r="O77" s="1302">
        <f ca="1">SUMIF(N72:N76,"&lt;9e307")</f>
        <v>13145</v>
      </c>
      <c r="P77" s="1303"/>
      <c r="Q77" s="3084">
        <f ca="1">O77/N69</f>
        <v>0.14097119447483003</v>
      </c>
      <c r="R77" s="2028"/>
      <c r="S77" s="2028"/>
      <c r="T77" s="2028"/>
      <c r="U77" s="2028"/>
      <c r="V77" s="2028"/>
    </row>
    <row r="78" spans="1:22" ht="12" customHeight="1">
      <c r="A78" s="1304"/>
      <c r="B78" s="313"/>
      <c r="C78" s="313"/>
      <c r="D78" s="313"/>
      <c r="E78" s="42"/>
      <c r="F78" s="42"/>
      <c r="G78" s="42"/>
      <c r="H78" s="1002"/>
      <c r="I78" s="313"/>
      <c r="J78" s="2035"/>
      <c r="K78" s="3326"/>
      <c r="L78" s="3325"/>
      <c r="M78" s="3086" t="s">
        <v>424</v>
      </c>
      <c r="N78" s="1301"/>
      <c r="O78" s="1302" t="str">
        <f ca="1">NUMBERSTRING(INT(O77*10000),2)&amp;"元整"</f>
        <v>壹亿叁仟壹佰肆拾伍万元整</v>
      </c>
      <c r="P78" s="1303"/>
      <c r="Q78" s="2028"/>
      <c r="R78" s="2028"/>
      <c r="S78" s="2028"/>
      <c r="T78" s="2028"/>
      <c r="U78" s="2028"/>
      <c r="V78" s="2028"/>
    </row>
    <row r="79" spans="1:22" ht="13.5" thickBot="1">
      <c r="A79" s="3320" t="s">
        <v>426</v>
      </c>
      <c r="B79" s="3320"/>
      <c r="C79" s="3320"/>
      <c r="D79" s="3320"/>
      <c r="E79" s="3320"/>
      <c r="F79" s="42"/>
      <c r="G79" s="42"/>
      <c r="H79" s="1002"/>
      <c r="I79" s="313"/>
      <c r="J79" s="2035"/>
      <c r="K79" s="3346">
        <f>K77+1</f>
        <v>6</v>
      </c>
      <c r="L79" s="3325" t="s">
        <v>2891</v>
      </c>
      <c r="M79" s="3086" t="s">
        <v>420</v>
      </c>
      <c r="N79" s="1301"/>
      <c r="O79" s="1302">
        <f ca="1">N69-O77</f>
        <v>80101</v>
      </c>
      <c r="P79" s="1303"/>
      <c r="Q79" s="2028"/>
      <c r="R79" s="2028"/>
      <c r="S79" s="2028"/>
      <c r="T79" s="2028"/>
      <c r="U79" s="2028"/>
      <c r="V79" s="2028"/>
    </row>
    <row r="80" spans="1:22" ht="25.5">
      <c r="A80" s="3315" t="s">
        <v>427</v>
      </c>
      <c r="B80" s="3316"/>
      <c r="C80" s="993"/>
      <c r="D80" s="993" t="s">
        <v>428</v>
      </c>
      <c r="E80" s="372" t="s">
        <v>429</v>
      </c>
      <c r="F80" s="42"/>
      <c r="G80" s="42"/>
      <c r="H80" s="1002"/>
      <c r="I80" s="313"/>
      <c r="J80" s="2028"/>
      <c r="K80" s="3347"/>
      <c r="L80" s="3325"/>
      <c r="M80" s="3086" t="s">
        <v>424</v>
      </c>
      <c r="N80" s="1301"/>
      <c r="O80" s="1302" t="str">
        <f ca="1">NUMBERSTRING(INT(O79*10000),2)&amp;"元整"</f>
        <v>捌亿零壹佰零壹万元整</v>
      </c>
      <c r="P80" s="1303"/>
      <c r="Q80" s="2028"/>
      <c r="R80" s="2028"/>
      <c r="S80" s="2028"/>
      <c r="T80" s="2028"/>
      <c r="U80" s="2028"/>
      <c r="V80" s="2028"/>
    </row>
    <row r="81" spans="1:26" ht="13.5" thickBot="1">
      <c r="A81" s="383" t="s">
        <v>1823</v>
      </c>
      <c r="B81" s="373" t="s">
        <v>430</v>
      </c>
      <c r="C81" s="374">
        <f ca="1">ROUND((C82+C83)/(1+'数据-取费表'!C42),0)</f>
        <v>88806</v>
      </c>
      <c r="D81" s="375"/>
      <c r="E81" s="376"/>
      <c r="F81" s="42"/>
      <c r="G81" s="42"/>
      <c r="H81" s="1002"/>
      <c r="I81" s="313"/>
      <c r="J81" s="2028"/>
      <c r="K81" s="3080">
        <f>K79+1</f>
        <v>7</v>
      </c>
      <c r="L81" s="3323" t="s">
        <v>2892</v>
      </c>
      <c r="M81" s="3324"/>
      <c r="N81" s="1305"/>
      <c r="O81" s="1306">
        <f ca="1">ROUND(O79*10000/'数据-汇总表'!E3,0)</f>
        <v>3454</v>
      </c>
      <c r="P81" s="1307"/>
      <c r="Q81" s="2028"/>
      <c r="R81" s="2028"/>
      <c r="S81" s="2028"/>
      <c r="T81" s="2028"/>
      <c r="U81" s="2028"/>
      <c r="V81" s="2028"/>
    </row>
    <row r="82" spans="1:26" ht="13.5" thickTop="1">
      <c r="A82" s="377" t="s">
        <v>1824</v>
      </c>
      <c r="B82" s="378" t="s">
        <v>431</v>
      </c>
      <c r="C82" s="379">
        <f ca="1">D63</f>
        <v>93246</v>
      </c>
      <c r="D82" s="380" t="s">
        <v>19</v>
      </c>
      <c r="E82" s="381"/>
      <c r="F82" s="42"/>
      <c r="G82" s="42"/>
      <c r="H82" s="1002"/>
      <c r="I82" s="313"/>
      <c r="J82" s="2028"/>
      <c r="K82" s="2028"/>
      <c r="L82" s="2028"/>
      <c r="M82" s="2028"/>
      <c r="N82" s="2028"/>
      <c r="O82" s="2028"/>
      <c r="P82" s="2028"/>
      <c r="Q82" s="2028"/>
      <c r="R82" s="2028"/>
      <c r="S82" s="2028"/>
      <c r="T82" s="2028"/>
      <c r="U82" s="2028"/>
      <c r="V82" s="2028"/>
    </row>
    <row r="83" spans="1:26" ht="12.75">
      <c r="A83" s="377" t="s">
        <v>1825</v>
      </c>
      <c r="B83" s="378" t="s">
        <v>432</v>
      </c>
      <c r="C83" s="382">
        <v>0</v>
      </c>
      <c r="D83" s="380"/>
      <c r="E83" s="381"/>
      <c r="F83" s="42"/>
      <c r="G83" s="42"/>
      <c r="H83" s="1002"/>
      <c r="I83" s="313"/>
      <c r="J83" s="2028"/>
      <c r="K83" s="3335" t="s">
        <v>2879</v>
      </c>
      <c r="L83" s="3092" t="s">
        <v>2880</v>
      </c>
      <c r="M83" s="3082">
        <f ca="1">IF(N69&gt;10000,N69*0.5%,IF(AND(N69&gt;1000,N69&lt;=10000),N69*1%,IF(AND(N69&gt;100,N69&lt;=1000),N69*3%,IF(AND(N69&gt;10,N69&lt;=100),N69*5%,N69*8%))))</f>
        <v>466.23</v>
      </c>
      <c r="N83" s="53">
        <f ca="1">ROUND(M83,1)</f>
        <v>466.2</v>
      </c>
      <c r="O83" s="3085"/>
      <c r="P83" s="2028"/>
      <c r="Q83" s="2028"/>
      <c r="R83" s="2028"/>
      <c r="S83" s="2028"/>
      <c r="T83" s="2028"/>
      <c r="U83" s="2028"/>
      <c r="V83" s="2028"/>
    </row>
    <row r="84" spans="1:26" ht="12.75">
      <c r="A84" s="383" t="s">
        <v>1826</v>
      </c>
      <c r="B84" s="384" t="s">
        <v>433</v>
      </c>
      <c r="C84" s="385">
        <v>2000</v>
      </c>
      <c r="D84" s="386" t="s">
        <v>19</v>
      </c>
      <c r="E84" s="3124" t="s">
        <v>2942</v>
      </c>
      <c r="F84" s="42"/>
      <c r="G84" s="42"/>
      <c r="H84" s="1002"/>
      <c r="I84" s="313"/>
      <c r="J84" s="2028"/>
      <c r="K84" s="3335"/>
      <c r="L84" s="3092" t="s">
        <v>2881</v>
      </c>
      <c r="M84" s="3082">
        <f ca="1">IF(N69&gt;2000,N69*0.5%,IF(AND(N69&gt;1000,N69&lt;=2000),N69*0.6%,IF(AND(N69&gt;500,N69&lt;=1000),N69*0.7%,IF(AND(N69&gt;200,N69&lt;=500),N69*0.8%,IF(AND(N69&gt;100,N69&lt;=200),N69*0.9%,IF(AND(N69&gt;50,N69&lt;=100),N69*1%,IF(AND(N69&gt;20,N69&lt;=50),N69*1.5%,IF(AND(N69&gt;10,N69&lt;=20),N69*2%,IF(AND(N69&gt;1,N69&lt;=10),N69*2.5%)))))))))</f>
        <v>466.23</v>
      </c>
      <c r="N84" s="53">
        <f t="shared" ref="N84:N85" ca="1" si="2">ROUND(M84,1)</f>
        <v>466.2</v>
      </c>
      <c r="O84" s="2028" t="s">
        <v>2882</v>
      </c>
      <c r="P84" s="2028"/>
      <c r="Q84" s="2028"/>
      <c r="R84" s="2028"/>
      <c r="S84" s="2028"/>
      <c r="T84" s="2028"/>
      <c r="U84" s="2028"/>
      <c r="V84" s="2028"/>
    </row>
    <row r="85" spans="1:26" ht="12.75">
      <c r="A85" s="383" t="s">
        <v>1827</v>
      </c>
      <c r="B85" s="384" t="s">
        <v>434</v>
      </c>
      <c r="C85" s="387">
        <f ca="1">C81-C84</f>
        <v>86806</v>
      </c>
      <c r="D85" s="380" t="s">
        <v>19</v>
      </c>
      <c r="E85" s="381"/>
      <c r="F85" s="42"/>
      <c r="G85" s="42"/>
      <c r="H85" s="1002"/>
      <c r="I85" s="313"/>
      <c r="J85" s="2028"/>
      <c r="K85" s="3335"/>
      <c r="L85" s="3092" t="s">
        <v>2883</v>
      </c>
      <c r="M85" s="3082">
        <f ca="1">IF(N69&gt;1000,N69*0.1%,IF(AND(N69&gt;500,N69&lt;=1000),N69*0.5%,IF(AND(N69&gt;50,N69&lt;=500),N69*1%,IF(AND(N69&gt;1,N69&lt;=50),N69*1.5%))))</f>
        <v>93.245999999999995</v>
      </c>
      <c r="N85" s="53">
        <f t="shared" ca="1" si="2"/>
        <v>93.2</v>
      </c>
      <c r="O85" s="2028" t="s">
        <v>2882</v>
      </c>
      <c r="P85" s="2028"/>
      <c r="Q85" s="2028"/>
      <c r="R85" s="2028"/>
      <c r="S85" s="2028"/>
      <c r="T85" s="2028"/>
      <c r="U85" s="2028"/>
      <c r="V85" s="2028"/>
    </row>
    <row r="86" spans="1:26" ht="13.5" thickBot="1">
      <c r="A86" s="388" t="s">
        <v>1828</v>
      </c>
      <c r="B86" s="389" t="s">
        <v>435</v>
      </c>
      <c r="C86" s="390">
        <f ca="1">IF(C85&lt;=0,0,ROUND(C85*D86,0))</f>
        <v>4861</v>
      </c>
      <c r="D86" s="391">
        <f>'数据-取费表'!B41</f>
        <v>5.6000000000000001E-2</v>
      </c>
      <c r="E86" s="392"/>
      <c r="F86" s="42"/>
      <c r="G86" s="42"/>
      <c r="H86" s="1002"/>
      <c r="I86" s="313"/>
      <c r="J86" s="2028"/>
      <c r="K86" s="3335"/>
      <c r="L86" s="3092" t="s">
        <v>2884</v>
      </c>
      <c r="M86" s="3082">
        <f ca="1">N69*0.5%</f>
        <v>466.23</v>
      </c>
      <c r="N86" s="53">
        <f ca="1">IF(M86&gt;0.5,0.5,ROUND(M86,0))</f>
        <v>0.5</v>
      </c>
      <c r="O86" s="2028" t="s">
        <v>2885</v>
      </c>
      <c r="P86" s="2028"/>
      <c r="Q86" s="2028"/>
      <c r="R86" s="2028"/>
      <c r="S86" s="2028"/>
      <c r="T86" s="2028"/>
      <c r="U86" s="2028"/>
      <c r="V86" s="2028"/>
    </row>
    <row r="87" spans="1:26" s="1253" customFormat="1" ht="14.25" customHeight="1">
      <c r="A87" s="1308"/>
      <c r="B87" s="1309"/>
      <c r="C87" s="1310"/>
      <c r="D87" s="1311"/>
      <c r="E87" s="1312"/>
      <c r="F87" s="42"/>
      <c r="G87" s="42"/>
      <c r="H87" s="1002"/>
      <c r="I87" s="313"/>
      <c r="J87" s="2028"/>
      <c r="K87" s="3335"/>
      <c r="L87" s="3092" t="s">
        <v>2886</v>
      </c>
      <c r="M87" s="3082">
        <f ca="1">IF(N69&gt;=10000,(8.25+(N69-10000)*0.01%),IF(AND(N69&gt;=8000,N69&lt;10000),(7.85+(N69-8000)*0.02%),IF(AND(N69&gt;=5000,N69&lt;8000),(6.65+(N69-5000)*0.04%),IF(AND(N69&gt;=2000,N69&lt;5000),(4.25+(PN69-2000)*0.08%),IF(AND(N69&gt;=1000,N69&lt;2000),(2.75+(N69-1000)*0.15%),IF(AND(N69&gt;=100,N69&lt;1000),(0.5+(N69-100)*0.25%),IF(AND(N69&gt;0,N69&lt;100),N69*0.5%)))))))</f>
        <v>16.5746</v>
      </c>
      <c r="N87" s="53">
        <f ca="1">ROUND(M87*0.9,1)</f>
        <v>14.9</v>
      </c>
      <c r="O87" s="3085"/>
      <c r="P87" s="313"/>
      <c r="Q87" s="2028"/>
      <c r="R87" s="2028"/>
      <c r="S87" s="2028"/>
      <c r="T87" s="2028"/>
      <c r="U87" s="2028"/>
      <c r="V87" s="2028"/>
      <c r="W87" s="291"/>
      <c r="X87" s="291"/>
      <c r="Y87" s="291"/>
      <c r="Z87" s="291"/>
    </row>
    <row r="88" spans="1:26" s="1313" customFormat="1" ht="15" thickBot="1">
      <c r="A88" s="3317" t="s">
        <v>436</v>
      </c>
      <c r="B88" s="3318"/>
      <c r="C88" s="3318"/>
      <c r="D88" s="3318"/>
      <c r="E88" s="3318"/>
      <c r="F88" s="3318"/>
      <c r="G88" s="3318"/>
      <c r="H88" s="3318"/>
      <c r="I88" s="1314"/>
      <c r="J88" s="2036"/>
      <c r="K88" s="3335"/>
      <c r="L88" s="3092" t="s">
        <v>2887</v>
      </c>
      <c r="M88" s="3082">
        <f ca="1">IF(N69&gt;10000,N69*0.5%,IF(AND(N69&gt;5000,N69&lt;=10000),N69*1%,IF(AND(N69&gt;1000,N69&lt;=5000),N69*2%,IF(AND(N69&gt;200,N69&lt;=1000),N69*3%,N69*5%))))</f>
        <v>466.23</v>
      </c>
      <c r="N88" s="53">
        <f ca="1">ROUND(M88,1)</f>
        <v>466.2</v>
      </c>
      <c r="O88" s="3085"/>
      <c r="P88" s="11"/>
      <c r="Q88" s="2033"/>
      <c r="R88" s="2033"/>
      <c r="S88" s="2033"/>
      <c r="T88" s="2033"/>
      <c r="U88" s="2033"/>
      <c r="V88" s="2033"/>
      <c r="W88" s="2037"/>
      <c r="X88" s="2037"/>
      <c r="Y88" s="2037"/>
      <c r="Z88" s="2037"/>
    </row>
    <row r="89" spans="1:26" s="1313" customFormat="1" ht="14.25">
      <c r="A89" s="3315" t="s">
        <v>427</v>
      </c>
      <c r="B89" s="3316"/>
      <c r="C89" s="993"/>
      <c r="D89" s="993" t="s">
        <v>428</v>
      </c>
      <c r="E89" s="393" t="s">
        <v>437</v>
      </c>
      <c r="F89" s="394"/>
      <c r="G89" s="394"/>
      <c r="H89" s="395"/>
      <c r="I89" s="1315"/>
      <c r="J89" s="2038"/>
      <c r="K89" s="3335"/>
      <c r="L89" s="3092" t="s">
        <v>27</v>
      </c>
      <c r="M89" s="3083"/>
      <c r="N89" s="53">
        <f ca="1">ROUND(SUM(N83:N88),0)</f>
        <v>1507</v>
      </c>
      <c r="O89" s="3093">
        <f ca="1">N89/N69</f>
        <v>1.6161551165733652E-2</v>
      </c>
      <c r="P89" s="2033"/>
      <c r="Q89" s="2033"/>
      <c r="R89" s="2033"/>
      <c r="S89" s="2033"/>
      <c r="T89" s="2033"/>
      <c r="U89" s="2033"/>
      <c r="V89" s="2033"/>
      <c r="W89" s="2037"/>
      <c r="X89" s="2037"/>
      <c r="Y89" s="2037"/>
      <c r="Z89" s="2037"/>
    </row>
    <row r="90" spans="1:26" s="1313" customFormat="1" ht="14.25">
      <c r="A90" s="383" t="s">
        <v>1823</v>
      </c>
      <c r="B90" s="384" t="s">
        <v>438</v>
      </c>
      <c r="C90" s="387">
        <f ca="1">ROUND(D63/(1+'数据-取费表'!C42),0)</f>
        <v>88806</v>
      </c>
      <c r="D90" s="380" t="s">
        <v>19</v>
      </c>
      <c r="E90" s="990"/>
      <c r="F90" s="989"/>
      <c r="G90" s="989"/>
      <c r="H90" s="396"/>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3" t="s">
        <v>1829</v>
      </c>
      <c r="B91" s="350" t="s">
        <v>439</v>
      </c>
      <c r="C91" s="387">
        <f ca="1">C92+C96</f>
        <v>3094</v>
      </c>
      <c r="D91" s="380" t="s">
        <v>19</v>
      </c>
      <c r="E91" s="990"/>
      <c r="F91" s="989"/>
      <c r="G91" s="989"/>
      <c r="H91" s="396"/>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7" t="s">
        <v>1830</v>
      </c>
      <c r="B92" s="378" t="s">
        <v>440</v>
      </c>
      <c r="C92" s="380">
        <f>ROUND(IF(G95="2016年5月1日后购买",C93/(1+'数据-取费表'!C30)+C94+C95,C93+C94+C95),0)</f>
        <v>2561</v>
      </c>
      <c r="D92" s="380" t="s">
        <v>19</v>
      </c>
      <c r="E92" s="990"/>
      <c r="F92" s="989"/>
      <c r="G92" s="989"/>
      <c r="H92" s="396"/>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7" t="s">
        <v>1831</v>
      </c>
      <c r="B93" s="378" t="s">
        <v>441</v>
      </c>
      <c r="C93" s="398">
        <v>2000</v>
      </c>
      <c r="D93" s="380" t="s">
        <v>19</v>
      </c>
      <c r="E93" s="399" t="s">
        <v>442</v>
      </c>
      <c r="F93" s="400" t="s">
        <v>443</v>
      </c>
      <c r="G93" s="399" t="s">
        <v>444</v>
      </c>
      <c r="H93" s="401">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7" t="s">
        <v>1832</v>
      </c>
      <c r="B94" s="402" t="s">
        <v>445</v>
      </c>
      <c r="C94" s="380">
        <f>IF(F93="购房发票",ROUND(C93*H93*5%,0),0)</f>
        <v>500</v>
      </c>
      <c r="D94" s="403">
        <v>0.05</v>
      </c>
      <c r="E94" s="3278" t="s">
        <v>446</v>
      </c>
      <c r="F94" s="3277"/>
      <c r="G94" s="3277"/>
      <c r="H94" s="331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7" t="s">
        <v>1833</v>
      </c>
      <c r="B95" s="378" t="s">
        <v>447</v>
      </c>
      <c r="C95" s="380">
        <f>ROUND(IF(G95="个人买卖住房",0,IF(G95="2016年5月1日前购买",C93*D95,C93*D95/(1+'数据-取费表'!C42))),0)</f>
        <v>61</v>
      </c>
      <c r="D95" s="404">
        <f>'数据-取费表'!B48+'数据-取费表'!B49</f>
        <v>3.0499999999999999E-2</v>
      </c>
      <c r="E95" s="26" t="s">
        <v>448</v>
      </c>
      <c r="F95" s="405"/>
      <c r="G95" s="406"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7" t="s">
        <v>1834</v>
      </c>
      <c r="B96" s="378" t="s">
        <v>449</v>
      </c>
      <c r="C96" s="407">
        <f ca="1">ROUND(D63*D96/(1+'数据-取费表'!C42),0)</f>
        <v>533</v>
      </c>
      <c r="D96" s="408">
        <f>'数据-取费表'!B43</f>
        <v>6.000000000000001E-3</v>
      </c>
      <c r="E96" s="3306" t="s">
        <v>2429</v>
      </c>
      <c r="F96" s="3307"/>
      <c r="G96" s="3307"/>
      <c r="H96" s="3308"/>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4" t="s">
        <v>450</v>
      </c>
      <c r="C97" s="387">
        <f ca="1">C90-C91</f>
        <v>85712</v>
      </c>
      <c r="D97" s="380" t="s">
        <v>19</v>
      </c>
      <c r="E97" s="990"/>
      <c r="F97" s="989"/>
      <c r="G97" s="989"/>
      <c r="H97" s="396"/>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4" t="s">
        <v>451</v>
      </c>
      <c r="C98" s="409">
        <f ca="1">IF(C97&lt;=0,0,C97/C91)</f>
        <v>27.702650290885586</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9" t="s">
        <v>452</v>
      </c>
      <c r="C99" s="410">
        <f ca="1">ROUND(IF(C97&lt;=0,0,IF(C98&gt;=200%,C97*60%-C91*35%,IF(C98&gt;=100%,C97*50%-C91*15%,IF(C98&gt;=50%,C97*40%-C91*5%,IF(C98&lt;50%,C97*30%,0))))),0)</f>
        <v>50344</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17" t="s">
        <v>453</v>
      </c>
      <c r="B101" s="3318"/>
      <c r="C101" s="3318"/>
      <c r="D101" s="3318"/>
      <c r="E101" s="3318"/>
      <c r="F101" s="3318"/>
      <c r="G101" s="3318"/>
      <c r="H101" s="3318"/>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15" t="s">
        <v>427</v>
      </c>
      <c r="B102" s="3316"/>
      <c r="C102" s="993"/>
      <c r="D102" s="993" t="s">
        <v>428</v>
      </c>
      <c r="E102" s="393" t="s">
        <v>437</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3" t="s">
        <v>1823</v>
      </c>
      <c r="B103" s="384" t="s">
        <v>438</v>
      </c>
      <c r="C103" s="387">
        <f ca="1">ROUND(D63/(1+'数据-取费表'!C42),0)</f>
        <v>88806</v>
      </c>
      <c r="D103" s="380" t="s">
        <v>19</v>
      </c>
      <c r="E103" s="990"/>
      <c r="F103" s="989"/>
      <c r="G103" s="989"/>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3" t="s">
        <v>1829</v>
      </c>
      <c r="B104" s="350" t="s">
        <v>439</v>
      </c>
      <c r="C104" s="387">
        <f ca="1">IF(H106="仅含出让金",C105+C108+C109+C110+C111+C112,C105+C109+C110+C111+C112)</f>
        <v>64673</v>
      </c>
      <c r="D104" s="417"/>
      <c r="E104" s="990"/>
      <c r="F104" s="989"/>
      <c r="G104" s="989"/>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7" t="s">
        <v>1830</v>
      </c>
      <c r="B105" s="378" t="s">
        <v>454</v>
      </c>
      <c r="C105" s="407">
        <f>C106+C107</f>
        <v>309</v>
      </c>
      <c r="D105" s="408"/>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7" t="s">
        <v>1831</v>
      </c>
      <c r="B106" s="378" t="s">
        <v>455</v>
      </c>
      <c r="C106" s="418">
        <v>300</v>
      </c>
      <c r="D106" s="408"/>
      <c r="E106" s="419" t="s">
        <v>456</v>
      </c>
      <c r="F106" s="985"/>
      <c r="G106" s="420" t="s">
        <v>457</v>
      </c>
      <c r="H106" s="421"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7" t="s">
        <v>1832</v>
      </c>
      <c r="B107" s="378" t="s">
        <v>447</v>
      </c>
      <c r="C107" s="407">
        <f>ROUND(C106*D107,0)</f>
        <v>9</v>
      </c>
      <c r="D107" s="408">
        <f>'数据-取费表'!B48+'数据-取费表'!B49</f>
        <v>3.0499999999999999E-2</v>
      </c>
      <c r="E107" s="419"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7" t="s">
        <v>1834</v>
      </c>
      <c r="B108" s="378" t="s">
        <v>459</v>
      </c>
      <c r="C108" s="418"/>
      <c r="D108" s="408"/>
      <c r="E108" s="419"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8" t="s">
        <v>460</v>
      </c>
      <c r="C109" s="407">
        <f>IF(H109="——",IF(F1="现房",'剩余法-现房'!C18,'剩余法-待开发'!C18),I109)</f>
        <v>58000</v>
      </c>
      <c r="D109" s="408"/>
      <c r="E109" s="3309" t="s">
        <v>461</v>
      </c>
      <c r="F109" s="3307"/>
      <c r="G109" s="3307"/>
      <c r="H109" s="1941" t="s">
        <v>2280</v>
      </c>
      <c r="I109" s="1942">
        <v>58000</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8" t="s">
        <v>462</v>
      </c>
      <c r="C110" s="407">
        <f>ROUND((C105+C108+C109)*D110,0)</f>
        <v>5831</v>
      </c>
      <c r="D110" s="408">
        <v>0.1</v>
      </c>
      <c r="E110" s="3309" t="s">
        <v>463</v>
      </c>
      <c r="F110" s="3307"/>
      <c r="G110" s="3307"/>
      <c r="H110" s="3308"/>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8" t="s">
        <v>449</v>
      </c>
      <c r="C111" s="407">
        <f ca="1">ROUND(D63*D111/(1+'数据-取费表'!C42),0)</f>
        <v>533</v>
      </c>
      <c r="D111" s="408">
        <f>'数据-取费表'!B43</f>
        <v>6.000000000000001E-3</v>
      </c>
      <c r="E111" s="3306" t="s">
        <v>2429</v>
      </c>
      <c r="F111" s="3307"/>
      <c r="G111" s="3307"/>
      <c r="H111" s="3308"/>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8" t="s">
        <v>464</v>
      </c>
      <c r="C112" s="407">
        <f>ROUND(C108*D112,0)</f>
        <v>0</v>
      </c>
      <c r="D112" s="408">
        <v>0.2</v>
      </c>
      <c r="E112" s="3309" t="s">
        <v>2454</v>
      </c>
      <c r="F112" s="3307"/>
      <c r="G112" s="3307"/>
      <c r="H112" s="3308"/>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4" t="s">
        <v>450</v>
      </c>
      <c r="C113" s="387">
        <f ca="1">ROUND(C103-C104,0)</f>
        <v>24133</v>
      </c>
      <c r="D113" s="380" t="s">
        <v>19</v>
      </c>
      <c r="E113" s="990"/>
      <c r="F113" s="989"/>
      <c r="G113" s="989"/>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4" t="s">
        <v>451</v>
      </c>
      <c r="C114" s="409">
        <f ca="1">IF(C113&lt;=0,0,C113/C104)</f>
        <v>0.37315417562197517</v>
      </c>
      <c r="D114" s="380"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9" t="s">
        <v>452</v>
      </c>
      <c r="C115" s="410">
        <f ca="1">ROUND(IF(C113&lt;=0,0,IF(C114&gt;=200%,C113*60%-C104*35%,IF(C114&gt;=100%,C113*50%-C104*15%,IF(C114&gt;=50%,C113*40%-C104*5%,IF(C114&lt;50%,C113*30%,0))))),0)</f>
        <v>7240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4" zoomScale="80" zoomScaleNormal="95" zoomScaleSheetLayoutView="80" workbookViewId="0">
      <selection activeCell="M34" sqref="M34"/>
    </sheetView>
  </sheetViews>
  <sheetFormatPr defaultRowHeight="14.25"/>
  <cols>
    <col min="1" max="1" width="15.625" style="1336" customWidth="1"/>
    <col min="2" max="2" width="15.75" style="1336" customWidth="1"/>
    <col min="3" max="3" width="20.7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516</v>
      </c>
      <c r="B1" s="505"/>
      <c r="C1" s="506" t="s">
        <v>517</v>
      </c>
      <c r="D1" s="507" t="s">
        <v>518</v>
      </c>
      <c r="E1" s="508"/>
      <c r="F1" s="430"/>
      <c r="G1" s="508"/>
      <c r="H1" s="508"/>
      <c r="I1" s="508"/>
      <c r="J1" s="508"/>
      <c r="K1" s="509"/>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5" t="s">
        <v>466</v>
      </c>
      <c r="B2" s="510">
        <f>F68</f>
        <v>95159</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2">
        <f>ROUND(B2*10000/'数据-汇总表'!E3,0)</f>
        <v>4103</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30" s="1335" customFormat="1" ht="28.5" customHeight="1">
      <c r="A4" s="513" t="s">
        <v>520</v>
      </c>
      <c r="B4" s="429">
        <f>IF(B48="单位面积地价",C50,ROUND(B2*10000/'数据-汇总表'!D3,0))</f>
        <v>9027</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30" s="1335" customFormat="1" ht="28.5" customHeight="1" thickBot="1">
      <c r="A5" s="431"/>
      <c r="B5" s="432">
        <f>ROUND(B2/('数据-汇总表'!D3/666.67),0)</f>
        <v>602</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30"/>
    </row>
    <row r="6" spans="1:30" ht="20.25">
      <c r="A6" s="514" t="s">
        <v>521</v>
      </c>
      <c r="B6" s="515"/>
      <c r="C6" s="3360" t="s">
        <v>522</v>
      </c>
      <c r="D6" s="3361"/>
      <c r="E6" s="3360" t="s">
        <v>523</v>
      </c>
      <c r="F6" s="3361"/>
      <c r="G6" s="3360" t="s">
        <v>524</v>
      </c>
      <c r="H6" s="3361"/>
      <c r="I6" s="3360" t="s">
        <v>525</v>
      </c>
      <c r="J6" s="3361"/>
      <c r="K6" s="516" t="s">
        <v>526</v>
      </c>
      <c r="L6" s="2133"/>
      <c r="M6" s="2132"/>
      <c r="N6" s="2132"/>
      <c r="O6" s="2134"/>
      <c r="P6" s="3362" t="s">
        <v>527</v>
      </c>
      <c r="Q6" s="3363"/>
      <c r="R6" s="3368" t="s">
        <v>523</v>
      </c>
      <c r="S6" s="3369"/>
      <c r="T6" s="3368" t="s">
        <v>524</v>
      </c>
      <c r="U6" s="3369"/>
      <c r="V6" s="3355" t="s">
        <v>525</v>
      </c>
      <c r="W6" s="3355"/>
      <c r="X6" s="1566"/>
      <c r="Y6" s="3368" t="s">
        <v>527</v>
      </c>
      <c r="Z6" s="3369"/>
      <c r="AA6" s="3357" t="s">
        <v>523</v>
      </c>
      <c r="AB6" s="3358" t="s">
        <v>524</v>
      </c>
      <c r="AC6" s="3357" t="s">
        <v>525</v>
      </c>
    </row>
    <row r="7" spans="1:30" ht="42.75" customHeight="1">
      <c r="A7" s="517"/>
      <c r="B7" s="518"/>
      <c r="C7" s="3376" t="s">
        <v>2929</v>
      </c>
      <c r="D7" s="3377"/>
      <c r="E7" s="3376" t="str">
        <f>土地案例!A2</f>
        <v>岳麓区梅浦联络线以东、秀峰路南延线以南(梅溪湖J-44地块)</v>
      </c>
      <c r="F7" s="3377"/>
      <c r="G7" s="3376" t="str">
        <f>土地案例!A3</f>
        <v>金山桥街道金山桥社区</v>
      </c>
      <c r="H7" s="3377"/>
      <c r="I7" s="3376" t="str">
        <f>土地案例!A4</f>
        <v>&amp;amp;#160;金山桥街道</v>
      </c>
      <c r="J7" s="3377"/>
      <c r="K7" s="516"/>
      <c r="L7" s="2133"/>
      <c r="M7" s="2132"/>
      <c r="N7" s="2132"/>
      <c r="O7" s="2134"/>
      <c r="P7" s="3364"/>
      <c r="Q7" s="3365"/>
      <c r="R7" s="3370"/>
      <c r="S7" s="3371"/>
      <c r="T7" s="3370"/>
      <c r="U7" s="3371"/>
      <c r="V7" s="3355"/>
      <c r="W7" s="3355"/>
      <c r="X7" s="1566"/>
      <c r="Y7" s="3370"/>
      <c r="Z7" s="3371"/>
      <c r="AA7" s="3358"/>
      <c r="AB7" s="3358"/>
      <c r="AC7" s="3358"/>
    </row>
    <row r="8" spans="1:30" ht="21" thickBot="1">
      <c r="A8" s="517"/>
      <c r="B8" s="518"/>
      <c r="C8" s="3378" t="s">
        <v>2933</v>
      </c>
      <c r="D8" s="3379"/>
      <c r="E8" s="3378" t="s">
        <v>2933</v>
      </c>
      <c r="F8" s="3379"/>
      <c r="G8" s="3374" t="s">
        <v>2933</v>
      </c>
      <c r="H8" s="3375"/>
      <c r="I8" s="3374" t="s">
        <v>2933</v>
      </c>
      <c r="J8" s="3375"/>
      <c r="K8" s="516" t="s">
        <v>528</v>
      </c>
      <c r="L8" s="2133"/>
      <c r="M8" s="2132"/>
      <c r="N8" s="2132"/>
      <c r="O8" s="2134"/>
      <c r="P8" s="3366"/>
      <c r="Q8" s="3367"/>
      <c r="R8" s="3370"/>
      <c r="S8" s="3371"/>
      <c r="T8" s="3372"/>
      <c r="U8" s="3373"/>
      <c r="V8" s="3355"/>
      <c r="W8" s="3355"/>
      <c r="X8" s="1566"/>
      <c r="Y8" s="3372"/>
      <c r="Z8" s="3373"/>
      <c r="AA8" s="3359"/>
      <c r="AB8" s="3359"/>
      <c r="AC8" s="3359"/>
    </row>
    <row r="9" spans="1:30" s="1219" customFormat="1" ht="21" thickBot="1">
      <c r="A9" s="2938"/>
      <c r="B9" s="2945" t="s">
        <v>529</v>
      </c>
      <c r="C9" s="2937">
        <f>'数据-取费表'!B2</f>
        <v>43076</v>
      </c>
      <c r="D9" s="522">
        <v>100</v>
      </c>
      <c r="E9" s="523" t="str">
        <f>土地案例!I2</f>
        <v>2016-04-27</v>
      </c>
      <c r="F9" s="524">
        <f>SUMIF(72:72,YEAR(E9)&amp;"-"&amp;INT((MONTH(E9)+2)/3),73:73)</f>
        <v>98.8</v>
      </c>
      <c r="G9" s="525" t="str">
        <f>土地案例!I3</f>
        <v>2017-06-30</v>
      </c>
      <c r="H9" s="522">
        <f>SUMIF(72:72,YEAR(G9)&amp;"-"&amp;INT((MONTH(G9)+2)/3),73:73)</f>
        <v>99.6</v>
      </c>
      <c r="I9" s="525" t="str">
        <f>土地案例!I4</f>
        <v>2017-06-19</v>
      </c>
      <c r="J9" s="522">
        <f>SUMIF(72:72,YEAR(I9)&amp;"-"&amp;INT((MONTH(I9)+2)/3),73:73)</f>
        <v>99.6</v>
      </c>
      <c r="K9" s="526"/>
      <c r="L9" s="2135"/>
      <c r="M9" s="2132"/>
      <c r="N9" s="2132"/>
      <c r="O9" s="2136"/>
      <c r="P9" s="3385" t="s">
        <v>530</v>
      </c>
      <c r="Q9" s="3387"/>
      <c r="R9" s="1567" t="s">
        <v>8</v>
      </c>
      <c r="S9" s="1568">
        <f t="shared" ref="S9:S17" si="0">F9</f>
        <v>98.8</v>
      </c>
      <c r="T9" s="1567" t="s">
        <v>8</v>
      </c>
      <c r="U9" s="1568">
        <f t="shared" ref="U9:U17" si="1">H9</f>
        <v>99.6</v>
      </c>
      <c r="V9" s="1567" t="s">
        <v>8</v>
      </c>
      <c r="W9" s="1568">
        <f t="shared" ref="W9:W17" si="2">J9</f>
        <v>99.6</v>
      </c>
      <c r="X9" s="1569"/>
      <c r="Y9" s="3385" t="s">
        <v>530</v>
      </c>
      <c r="Z9" s="3386"/>
      <c r="AA9" s="1570">
        <f>D9/F9</f>
        <v>1.0121457489878543</v>
      </c>
      <c r="AB9" s="1570">
        <f>D9/H9</f>
        <v>1.0040160642570282</v>
      </c>
      <c r="AC9" s="1570">
        <f>D9/J9</f>
        <v>1.0040160642570282</v>
      </c>
    </row>
    <row r="10" spans="1:30" s="1219" customFormat="1" ht="21" thickBot="1">
      <c r="A10" s="2939"/>
      <c r="B10" s="2946" t="s">
        <v>531</v>
      </c>
      <c r="C10" s="856" t="s">
        <v>532</v>
      </c>
      <c r="D10" s="522">
        <v>100</v>
      </c>
      <c r="E10" s="527" t="s">
        <v>3039</v>
      </c>
      <c r="F10" s="524">
        <f>SUMIF(75:75,E10,76:76)-SUMIF(75:75,C10,76:76)+100</f>
        <v>100</v>
      </c>
      <c r="G10" s="527" t="s">
        <v>3039</v>
      </c>
      <c r="H10" s="522">
        <f>SUMIF(75:75,G10,76:76)-SUMIF(75:75,C10,76:76)+100</f>
        <v>100</v>
      </c>
      <c r="I10" s="527" t="s">
        <v>3039</v>
      </c>
      <c r="J10" s="522">
        <f>SUMIF(75:75,I10,76:76)-SUMIF(75:75,C10,76:76)+100</f>
        <v>100</v>
      </c>
      <c r="K10" s="526"/>
      <c r="L10" s="2135"/>
      <c r="M10" s="2132"/>
      <c r="N10" s="2132"/>
      <c r="O10" s="2136"/>
      <c r="P10" s="3385" t="s">
        <v>533</v>
      </c>
      <c r="Q10" s="3386"/>
      <c r="R10" s="1567" t="s">
        <v>8</v>
      </c>
      <c r="S10" s="1568">
        <f t="shared" si="0"/>
        <v>100</v>
      </c>
      <c r="T10" s="1567" t="s">
        <v>8</v>
      </c>
      <c r="U10" s="1568">
        <f t="shared" si="1"/>
        <v>100</v>
      </c>
      <c r="V10" s="1567" t="s">
        <v>8</v>
      </c>
      <c r="W10" s="1568">
        <f t="shared" si="2"/>
        <v>100</v>
      </c>
      <c r="X10" s="1569"/>
      <c r="Y10" s="3385" t="s">
        <v>533</v>
      </c>
      <c r="Z10" s="3386"/>
      <c r="AA10" s="1570">
        <f t="shared" ref="AA10:AA47" si="3">D10/F10</f>
        <v>1</v>
      </c>
      <c r="AB10" s="1570">
        <f t="shared" ref="AB10:AB47" si="4">D10/H10</f>
        <v>1</v>
      </c>
      <c r="AC10" s="1570">
        <f t="shared" ref="AC10:AC47" si="5">D10/J10</f>
        <v>1</v>
      </c>
    </row>
    <row r="11" spans="1:30" s="1219" customFormat="1" ht="20.25">
      <c r="A11" s="2940"/>
      <c r="B11" s="2947" t="s">
        <v>2761</v>
      </c>
      <c r="C11" s="2934" t="s">
        <v>3040</v>
      </c>
      <c r="D11" s="253">
        <v>100</v>
      </c>
      <c r="E11" s="528" t="s">
        <v>3041</v>
      </c>
      <c r="F11" s="253">
        <f>SUMIF(77:77,E11,78:78)-SUMIF(77:77,C11,78:78)+100</f>
        <v>99</v>
      </c>
      <c r="G11" s="528" t="s">
        <v>3040</v>
      </c>
      <c r="H11" s="253">
        <f>SUMIF(77:77,G11,78:78)-SUMIF(77:77,C11,78:78)+100</f>
        <v>100</v>
      </c>
      <c r="I11" s="528" t="s">
        <v>3040</v>
      </c>
      <c r="J11" s="253">
        <f>SUMIF(77:77,I11,78:78)-SUMIF(77:77,C11,78:78)+100</f>
        <v>100</v>
      </c>
      <c r="K11" s="526"/>
      <c r="L11" s="2135"/>
      <c r="M11" s="2132"/>
      <c r="N11" s="2132"/>
      <c r="O11" s="2137"/>
      <c r="P11" s="3354" t="s">
        <v>535</v>
      </c>
      <c r="Q11" s="1150" t="str">
        <f t="shared" ref="Q11:Q17" si="6">B11</f>
        <v>用途</v>
      </c>
      <c r="R11" s="1567" t="s">
        <v>8</v>
      </c>
      <c r="S11" s="1568">
        <f t="shared" si="0"/>
        <v>99</v>
      </c>
      <c r="T11" s="1567" t="s">
        <v>8</v>
      </c>
      <c r="U11" s="1568">
        <f t="shared" si="1"/>
        <v>100</v>
      </c>
      <c r="V11" s="1567" t="s">
        <v>8</v>
      </c>
      <c r="W11" s="1568">
        <f t="shared" si="2"/>
        <v>100</v>
      </c>
      <c r="X11" s="1569"/>
      <c r="Y11" s="3300" t="s">
        <v>536</v>
      </c>
      <c r="Z11" s="1149" t="str">
        <f t="shared" ref="Z11:Z17" si="7">Q11</f>
        <v>用途</v>
      </c>
      <c r="AA11" s="1570">
        <f t="shared" si="3"/>
        <v>1.0101010101010102</v>
      </c>
      <c r="AB11" s="1570">
        <f t="shared" si="4"/>
        <v>1</v>
      </c>
      <c r="AC11" s="1570">
        <f t="shared" si="5"/>
        <v>1</v>
      </c>
    </row>
    <row r="12" spans="1:30" s="1337" customFormat="1" ht="27">
      <c r="A12" s="2941"/>
      <c r="B12" s="2946" t="s">
        <v>2762</v>
      </c>
      <c r="C12" s="909" t="s">
        <v>3042</v>
      </c>
      <c r="D12" s="254">
        <v>100</v>
      </c>
      <c r="E12" s="909" t="s">
        <v>3077</v>
      </c>
      <c r="F12" s="254">
        <f>ROUND(100/'数据-取费表'!G16,0)</f>
        <v>100</v>
      </c>
      <c r="G12" s="909" t="s">
        <v>3077</v>
      </c>
      <c r="H12" s="254">
        <f>ROUND(100/'数据-取费表'!G16,0)</f>
        <v>100</v>
      </c>
      <c r="I12" s="909" t="s">
        <v>3042</v>
      </c>
      <c r="J12" s="254">
        <f>ROUND(100/'数据-取费表'!G16,0)</f>
        <v>100</v>
      </c>
      <c r="K12" s="531"/>
      <c r="L12" s="2138"/>
      <c r="M12" s="2132"/>
      <c r="N12" s="2132"/>
      <c r="O12" s="2139"/>
      <c r="P12" s="3354"/>
      <c r="Q12" s="1150" t="str">
        <f t="shared" si="6"/>
        <v>土地使用年限（年）</v>
      </c>
      <c r="R12" s="1567" t="s">
        <v>8</v>
      </c>
      <c r="S12" s="1568">
        <f t="shared" si="0"/>
        <v>100</v>
      </c>
      <c r="T12" s="1567" t="s">
        <v>8</v>
      </c>
      <c r="U12" s="1568">
        <f t="shared" si="1"/>
        <v>100</v>
      </c>
      <c r="V12" s="1567" t="s">
        <v>8</v>
      </c>
      <c r="W12" s="1568">
        <f t="shared" si="2"/>
        <v>100</v>
      </c>
      <c r="X12" s="1569"/>
      <c r="Y12" s="3300"/>
      <c r="Z12" s="1149" t="str">
        <f t="shared" si="7"/>
        <v>土地使用年限（年）</v>
      </c>
      <c r="AA12" s="1570">
        <f t="shared" si="3"/>
        <v>1</v>
      </c>
      <c r="AB12" s="1570">
        <f t="shared" si="4"/>
        <v>1</v>
      </c>
      <c r="AC12" s="1570">
        <f t="shared" si="5"/>
        <v>1</v>
      </c>
    </row>
    <row r="13" spans="1:30" ht="20.25">
      <c r="A13" s="2942"/>
      <c r="B13" s="2946" t="s">
        <v>2763</v>
      </c>
      <c r="C13" s="534">
        <f>'数据-汇总表'!I7</f>
        <v>2.2000000000000002</v>
      </c>
      <c r="D13" s="254">
        <v>100</v>
      </c>
      <c r="E13" s="533">
        <v>2.5</v>
      </c>
      <c r="F13" s="254">
        <f>LOOKUP(E13,82:82,83:83)-LOOKUP(C13,82:82,83:83)+100</f>
        <v>100</v>
      </c>
      <c r="G13" s="534">
        <v>2.2000000000000002</v>
      </c>
      <c r="H13" s="254">
        <f>LOOKUP(G13,82:82,83:83)-LOOKUP(C13,82:82,83:83)+100</f>
        <v>100</v>
      </c>
      <c r="I13" s="533">
        <v>3</v>
      </c>
      <c r="J13" s="254">
        <f>LOOKUP(I13,82:82,83:83)-LOOKUP(C13,82:82,83:83)+100</f>
        <v>98</v>
      </c>
      <c r="K13" s="535">
        <v>2</v>
      </c>
      <c r="L13" s="2140"/>
      <c r="M13" s="2132"/>
      <c r="N13" s="2132"/>
      <c r="O13" s="2141"/>
      <c r="P13" s="3354"/>
      <c r="Q13" s="1150" t="str">
        <f t="shared" si="6"/>
        <v>容积率</v>
      </c>
      <c r="R13" s="1567" t="s">
        <v>8</v>
      </c>
      <c r="S13" s="1568">
        <f t="shared" si="0"/>
        <v>100</v>
      </c>
      <c r="T13" s="1567" t="s">
        <v>8</v>
      </c>
      <c r="U13" s="1568">
        <f t="shared" si="1"/>
        <v>100</v>
      </c>
      <c r="V13" s="1567" t="s">
        <v>8</v>
      </c>
      <c r="W13" s="1568">
        <f t="shared" si="2"/>
        <v>98</v>
      </c>
      <c r="X13" s="1569"/>
      <c r="Y13" s="3300"/>
      <c r="Z13" s="1149" t="str">
        <f t="shared" si="7"/>
        <v>容积率</v>
      </c>
      <c r="AA13" s="1570">
        <f t="shared" si="3"/>
        <v>1</v>
      </c>
      <c r="AB13" s="1570">
        <f t="shared" si="4"/>
        <v>1</v>
      </c>
      <c r="AC13" s="1570">
        <f t="shared" si="5"/>
        <v>1.0204081632653061</v>
      </c>
    </row>
    <row r="14" spans="1:30" s="1219" customFormat="1" ht="21" thickBot="1">
      <c r="A14" s="2939"/>
      <c r="B14" s="2948" t="s">
        <v>2764</v>
      </c>
      <c r="C14" s="2935"/>
      <c r="D14" s="538">
        <v>100</v>
      </c>
      <c r="E14" s="1373"/>
      <c r="F14" s="254">
        <f>SUMIF(84:84,E14,85:85)-SUMIF(84:84,C14,85:85)+100</f>
        <v>100</v>
      </c>
      <c r="G14" s="1373"/>
      <c r="H14" s="254">
        <f>SUMIF(84:84,G14,85:85)-SUMIF(84:84,C14,85:85)+100</f>
        <v>100</v>
      </c>
      <c r="I14" s="1373"/>
      <c r="J14" s="254">
        <f>SUMIF(84:84,I14,85:85)-SUMIF(84:84,C14,85:85)+100</f>
        <v>100</v>
      </c>
      <c r="K14" s="531"/>
      <c r="L14" s="2135"/>
      <c r="M14" s="2132"/>
      <c r="N14" s="2132"/>
      <c r="O14" s="2137"/>
      <c r="P14" s="3354"/>
      <c r="Q14" s="1150" t="str">
        <f t="shared" si="6"/>
        <v>配建</v>
      </c>
      <c r="R14" s="1567" t="s">
        <v>8</v>
      </c>
      <c r="S14" s="1568">
        <f t="shared" si="0"/>
        <v>100</v>
      </c>
      <c r="T14" s="1567" t="s">
        <v>8</v>
      </c>
      <c r="U14" s="1568">
        <f t="shared" si="1"/>
        <v>100</v>
      </c>
      <c r="V14" s="1567" t="s">
        <v>8</v>
      </c>
      <c r="W14" s="1568">
        <f t="shared" si="2"/>
        <v>100</v>
      </c>
      <c r="X14" s="1569"/>
      <c r="Y14" s="3300"/>
      <c r="Z14" s="1149" t="str">
        <f t="shared" si="7"/>
        <v>配建</v>
      </c>
      <c r="AA14" s="1570">
        <f>D14/F14</f>
        <v>1</v>
      </c>
      <c r="AB14" s="1570">
        <f>D14/H14</f>
        <v>1</v>
      </c>
      <c r="AC14" s="1570">
        <f>D14/J14</f>
        <v>1</v>
      </c>
    </row>
    <row r="15" spans="1:30" ht="20.25" hidden="1">
      <c r="A15" s="2943"/>
      <c r="B15" s="2949"/>
      <c r="C15" s="911"/>
      <c r="D15" s="540">
        <v>100</v>
      </c>
      <c r="E15" s="541"/>
      <c r="F15" s="254">
        <f>SUMIF(86:86,E15,87:87)-SUMIF(86:86,C15,87:87)+100</f>
        <v>100</v>
      </c>
      <c r="G15" s="542"/>
      <c r="H15" s="540">
        <f>SUMIF(86:86,G15,87:87)-SUMIF(86:86,C15,87:87)+100</f>
        <v>100</v>
      </c>
      <c r="I15" s="542"/>
      <c r="J15" s="540">
        <f>SUMIF(86:86,I15,87:87)-SUMIF(86:86,C15,87:87)+100</f>
        <v>100</v>
      </c>
      <c r="K15" s="531"/>
      <c r="L15" s="2142"/>
      <c r="M15" s="2132"/>
      <c r="N15" s="2132"/>
      <c r="O15" s="2141"/>
      <c r="P15" s="3354"/>
      <c r="Q15" s="1150">
        <f t="shared" si="6"/>
        <v>0</v>
      </c>
      <c r="R15" s="1567" t="s">
        <v>8</v>
      </c>
      <c r="S15" s="1568">
        <f t="shared" si="0"/>
        <v>100</v>
      </c>
      <c r="T15" s="1567" t="s">
        <v>8</v>
      </c>
      <c r="U15" s="1568">
        <f t="shared" si="1"/>
        <v>100</v>
      </c>
      <c r="V15" s="1567" t="s">
        <v>8</v>
      </c>
      <c r="W15" s="1568">
        <f t="shared" si="2"/>
        <v>100</v>
      </c>
      <c r="X15" s="1569"/>
      <c r="Y15" s="3300"/>
      <c r="Z15" s="1149">
        <f t="shared" si="7"/>
        <v>0</v>
      </c>
      <c r="AA15" s="1570">
        <f>D15/F15</f>
        <v>1</v>
      </c>
      <c r="AB15" s="1570">
        <f>D15/H15</f>
        <v>1</v>
      </c>
      <c r="AC15" s="1570">
        <f>D15/J15</f>
        <v>1</v>
      </c>
    </row>
    <row r="16" spans="1:30" ht="21" hidden="1" thickBot="1">
      <c r="A16" s="2944"/>
      <c r="B16" s="2950"/>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54"/>
      <c r="Q16" s="1150">
        <f t="shared" si="6"/>
        <v>0</v>
      </c>
      <c r="R16" s="1567" t="s">
        <v>8</v>
      </c>
      <c r="S16" s="1568">
        <f t="shared" si="0"/>
        <v>100</v>
      </c>
      <c r="T16" s="1567" t="s">
        <v>8</v>
      </c>
      <c r="U16" s="1568">
        <f t="shared" si="1"/>
        <v>100</v>
      </c>
      <c r="V16" s="1567" t="s">
        <v>8</v>
      </c>
      <c r="W16" s="1568">
        <f t="shared" si="2"/>
        <v>100</v>
      </c>
      <c r="X16" s="1569"/>
      <c r="Y16" s="3300"/>
      <c r="Z16" s="1149">
        <f t="shared" si="7"/>
        <v>0</v>
      </c>
      <c r="AA16" s="1570">
        <f>D16/F16</f>
        <v>1</v>
      </c>
      <c r="AB16" s="1570">
        <f>D16/H16</f>
        <v>1</v>
      </c>
      <c r="AC16" s="1570">
        <f>D16/J16</f>
        <v>1</v>
      </c>
    </row>
    <row r="17" spans="1:29" ht="126" customHeight="1">
      <c r="A17" s="2936" t="s">
        <v>2759</v>
      </c>
      <c r="B17" s="578" t="s">
        <v>294</v>
      </c>
      <c r="C17" s="548" t="str">
        <f>估价对象房地状况!C15</f>
        <v>估价对象周边居住用地比例较低、周边1公里有大汉汉园等项目、综合评价居住社区成熟度较差</v>
      </c>
      <c r="D17" s="551">
        <v>100</v>
      </c>
      <c r="E17" s="3172" t="s">
        <v>3121</v>
      </c>
      <c r="F17" s="549">
        <f>SUMIF(90:90,E18,91:91)-SUMIF(90:90,C18,91:91)+100</f>
        <v>104</v>
      </c>
      <c r="G17" s="3172" t="s">
        <v>3123</v>
      </c>
      <c r="H17" s="549">
        <f>SUMIF(90:90,G18,91:91)-SUMIF(90:90,C18,91:91)+100</f>
        <v>104</v>
      </c>
      <c r="I17" s="3172" t="s">
        <v>3123</v>
      </c>
      <c r="J17" s="549">
        <f>SUMIF(90:90,I18,91:91)-SUMIF(90:90,C18,91:91)+100</f>
        <v>104</v>
      </c>
      <c r="K17" s="535">
        <v>2</v>
      </c>
      <c r="L17" s="2142"/>
      <c r="M17" s="2132"/>
      <c r="N17" s="2132"/>
      <c r="O17" s="2141"/>
      <c r="P17" s="3388" t="s">
        <v>540</v>
      </c>
      <c r="Q17" s="1571" t="str">
        <f t="shared" si="6"/>
        <v>居住社区成熟度</v>
      </c>
      <c r="R17" s="1572" t="s">
        <v>8</v>
      </c>
      <c r="S17" s="1573">
        <f t="shared" si="0"/>
        <v>104</v>
      </c>
      <c r="T17" s="1572" t="s">
        <v>8</v>
      </c>
      <c r="U17" s="1573">
        <f t="shared" si="1"/>
        <v>104</v>
      </c>
      <c r="V17" s="1572" t="s">
        <v>8</v>
      </c>
      <c r="W17" s="1573">
        <f t="shared" si="2"/>
        <v>104</v>
      </c>
      <c r="X17" s="1566"/>
      <c r="Y17" s="3388" t="s">
        <v>540</v>
      </c>
      <c r="Z17" s="1574" t="str">
        <f t="shared" si="7"/>
        <v>居住社区成熟度</v>
      </c>
      <c r="AA17" s="1575">
        <f t="shared" si="3"/>
        <v>0.96153846153846156</v>
      </c>
      <c r="AB17" s="1575">
        <f t="shared" si="4"/>
        <v>0.96153846153846156</v>
      </c>
      <c r="AC17" s="1575">
        <f t="shared" si="5"/>
        <v>0.96153846153846156</v>
      </c>
    </row>
    <row r="18" spans="1:29" ht="21" thickBot="1">
      <c r="A18" s="532"/>
      <c r="B18" s="553"/>
      <c r="C18" s="554" t="s">
        <v>3118</v>
      </c>
      <c r="D18" s="557"/>
      <c r="E18" s="558" t="s">
        <v>3044</v>
      </c>
      <c r="F18" s="555"/>
      <c r="G18" s="556" t="s">
        <v>3044</v>
      </c>
      <c r="H18" s="559"/>
      <c r="I18" s="558" t="s">
        <v>3044</v>
      </c>
      <c r="J18" s="555"/>
      <c r="K18" s="531"/>
      <c r="L18" s="2142"/>
      <c r="M18" s="2132"/>
      <c r="N18" s="2132"/>
      <c r="O18" s="2141"/>
      <c r="P18" s="3389"/>
      <c r="Q18" s="1571"/>
      <c r="R18" s="1572"/>
      <c r="S18" s="1573"/>
      <c r="T18" s="1572"/>
      <c r="U18" s="1573"/>
      <c r="V18" s="1572"/>
      <c r="W18" s="1573"/>
      <c r="X18" s="1566"/>
      <c r="Y18" s="3389"/>
      <c r="Z18" s="1574"/>
      <c r="AA18" s="1575">
        <v>1</v>
      </c>
      <c r="AB18" s="1575">
        <v>1</v>
      </c>
      <c r="AC18" s="1575">
        <v>1</v>
      </c>
    </row>
    <row r="19" spans="1:29" ht="42.75">
      <c r="A19" s="532"/>
      <c r="B19" s="560" t="s">
        <v>541</v>
      </c>
      <c r="C19" s="561" t="str">
        <f>估价对象房地状况!C16</f>
        <v>估价对象周边商业氛围成熟度较差，人流量一般，，商业繁华度较差</v>
      </c>
      <c r="D19" s="563">
        <v>100</v>
      </c>
      <c r="E19" s="3172" t="s">
        <v>3079</v>
      </c>
      <c r="F19" s="559">
        <f>SUMIF(92:92,E20,93:93)-SUMIF(92:92,C20,93:93)+100</f>
        <v>102</v>
      </c>
      <c r="G19" s="3172" t="s">
        <v>3079</v>
      </c>
      <c r="H19" s="565">
        <f>SUMIF(92:92,G20,93:93)-SUMIF(92:92,C20,93:93)+100</f>
        <v>102</v>
      </c>
      <c r="I19" s="3172" t="s">
        <v>3079</v>
      </c>
      <c r="J19" s="565">
        <f>SUMIF(92:92,I20,93:93)-SUMIF(92:92,C20,93:93)+100</f>
        <v>102</v>
      </c>
      <c r="K19" s="535">
        <v>2</v>
      </c>
      <c r="L19" s="2142"/>
      <c r="M19" s="2132"/>
      <c r="N19" s="2132"/>
      <c r="O19" s="2141"/>
      <c r="P19" s="3389"/>
      <c r="Q19" s="1571" t="str">
        <f>B19</f>
        <v>商业繁华度</v>
      </c>
      <c r="R19" s="1572" t="s">
        <v>8</v>
      </c>
      <c r="S19" s="1573">
        <f>F19</f>
        <v>102</v>
      </c>
      <c r="T19" s="1572" t="s">
        <v>8</v>
      </c>
      <c r="U19" s="1573">
        <f>H19</f>
        <v>102</v>
      </c>
      <c r="V19" s="1572" t="s">
        <v>8</v>
      </c>
      <c r="W19" s="1573">
        <f>J19</f>
        <v>102</v>
      </c>
      <c r="X19" s="1566"/>
      <c r="Y19" s="3389"/>
      <c r="Z19" s="1574" t="str">
        <f>Q19</f>
        <v>商业繁华度</v>
      </c>
      <c r="AA19" s="1575">
        <f t="shared" si="3"/>
        <v>0.98039215686274506</v>
      </c>
      <c r="AB19" s="1575">
        <f t="shared" si="4"/>
        <v>0.98039215686274506</v>
      </c>
      <c r="AC19" s="1575">
        <f t="shared" si="5"/>
        <v>0.98039215686274506</v>
      </c>
    </row>
    <row r="20" spans="1:29" ht="20.25">
      <c r="A20" s="532"/>
      <c r="B20" s="566"/>
      <c r="C20" s="567" t="s">
        <v>3118</v>
      </c>
      <c r="D20" s="563"/>
      <c r="E20" s="569" t="s">
        <v>3043</v>
      </c>
      <c r="F20" s="559"/>
      <c r="G20" s="569" t="s">
        <v>3043</v>
      </c>
      <c r="H20" s="555"/>
      <c r="I20" s="569" t="s">
        <v>3043</v>
      </c>
      <c r="J20" s="555"/>
      <c r="K20" s="531"/>
      <c r="L20" s="2142"/>
      <c r="M20" s="2132"/>
      <c r="N20" s="2132"/>
      <c r="O20" s="2141"/>
      <c r="P20" s="3389"/>
      <c r="Q20" s="1571"/>
      <c r="R20" s="1572"/>
      <c r="S20" s="1573"/>
      <c r="T20" s="1572"/>
      <c r="U20" s="1573"/>
      <c r="V20" s="1572"/>
      <c r="W20" s="1573"/>
      <c r="X20" s="1566"/>
      <c r="Y20" s="3389"/>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89"/>
      <c r="Q21" s="1571" t="str">
        <f>B21</f>
        <v>办公集聚程度</v>
      </c>
      <c r="R21" s="1572" t="s">
        <v>8</v>
      </c>
      <c r="S21" s="1573">
        <f>F21</f>
        <v>100</v>
      </c>
      <c r="T21" s="1572" t="s">
        <v>8</v>
      </c>
      <c r="U21" s="1573">
        <f>H21</f>
        <v>100</v>
      </c>
      <c r="V21" s="1572" t="s">
        <v>8</v>
      </c>
      <c r="W21" s="1573">
        <f>J21</f>
        <v>100</v>
      </c>
      <c r="X21" s="1566"/>
      <c r="Y21" s="3389"/>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389"/>
      <c r="Q22" s="1571"/>
      <c r="R22" s="1572"/>
      <c r="S22" s="1573"/>
      <c r="T22" s="1572"/>
      <c r="U22" s="1573"/>
      <c r="V22" s="1572"/>
      <c r="W22" s="1573"/>
      <c r="X22" s="1566"/>
      <c r="Y22" s="3389"/>
      <c r="Z22" s="1574"/>
      <c r="AA22" s="1575">
        <v>1</v>
      </c>
      <c r="AB22" s="1575">
        <v>1</v>
      </c>
      <c r="AC22" s="1575">
        <v>1</v>
      </c>
    </row>
    <row r="23" spans="1:29" ht="96">
      <c r="A23" s="532"/>
      <c r="B23" s="560" t="s">
        <v>543</v>
      </c>
      <c r="C23" s="573" t="str">
        <f>估价对象房地状况!C18</f>
        <v>估价对象周边1公里有357、355路等公交车经过，公共交通通达情况一般、停车便捷程度较好，综合评价交通便捷度较差</v>
      </c>
      <c r="D23" s="563">
        <v>100</v>
      </c>
      <c r="E23" s="564" t="s">
        <v>3126</v>
      </c>
      <c r="F23" s="565">
        <f>SUMIF(96:96,E24,97:97)-SUMIF(96:96,C24,97:97)+100</f>
        <v>101</v>
      </c>
      <c r="G23" s="564" t="s">
        <v>3124</v>
      </c>
      <c r="H23" s="559">
        <f>SUMIF(96:96,G24,97:97)-SUMIF(96:96,C24,97:97)+100</f>
        <v>101</v>
      </c>
      <c r="I23" s="564" t="s">
        <v>3124</v>
      </c>
      <c r="J23" s="559">
        <f>SUMIF(96:96,I24,97:97)-SUMIF(96:96,C24,97:97)+100</f>
        <v>101</v>
      </c>
      <c r="K23" s="535">
        <v>1</v>
      </c>
      <c r="L23" s="2142"/>
      <c r="M23" s="2132"/>
      <c r="N23" s="2132"/>
      <c r="O23" s="2141"/>
      <c r="P23" s="3389"/>
      <c r="Q23" s="1571" t="str">
        <f>B23</f>
        <v>交通便捷度</v>
      </c>
      <c r="R23" s="1572" t="s">
        <v>8</v>
      </c>
      <c r="S23" s="1573">
        <f>F23</f>
        <v>101</v>
      </c>
      <c r="T23" s="1572" t="s">
        <v>8</v>
      </c>
      <c r="U23" s="1573">
        <f>H23</f>
        <v>101</v>
      </c>
      <c r="V23" s="1572" t="s">
        <v>8</v>
      </c>
      <c r="W23" s="1573">
        <f>J23</f>
        <v>101</v>
      </c>
      <c r="X23" s="1566"/>
      <c r="Y23" s="3389"/>
      <c r="Z23" s="1574" t="str">
        <f>Q23</f>
        <v>交通便捷度</v>
      </c>
      <c r="AA23" s="1575">
        <f t="shared" si="3"/>
        <v>0.99009900990099009</v>
      </c>
      <c r="AB23" s="1575">
        <f t="shared" si="4"/>
        <v>0.99009900990099009</v>
      </c>
      <c r="AC23" s="1575">
        <f t="shared" si="5"/>
        <v>0.99009900990099009</v>
      </c>
    </row>
    <row r="24" spans="1:29" ht="20.25">
      <c r="A24" s="532"/>
      <c r="B24" s="578"/>
      <c r="C24" s="554" t="s">
        <v>3118</v>
      </c>
      <c r="D24" s="557"/>
      <c r="E24" s="558" t="s">
        <v>3043</v>
      </c>
      <c r="F24" s="555"/>
      <c r="G24" s="556" t="s">
        <v>3043</v>
      </c>
      <c r="H24" s="555"/>
      <c r="I24" s="558" t="s">
        <v>3043</v>
      </c>
      <c r="J24" s="555"/>
      <c r="K24" s="531"/>
      <c r="L24" s="2142"/>
      <c r="M24" s="2132"/>
      <c r="N24" s="2132"/>
      <c r="O24" s="2141"/>
      <c r="P24" s="3389"/>
      <c r="Q24" s="1571"/>
      <c r="R24" s="1572"/>
      <c r="S24" s="1573"/>
      <c r="T24" s="1572"/>
      <c r="U24" s="1573"/>
      <c r="V24" s="1572"/>
      <c r="W24" s="1573"/>
      <c r="X24" s="1566"/>
      <c r="Y24" s="3389"/>
      <c r="Z24" s="1574"/>
      <c r="AA24" s="1575">
        <v>1</v>
      </c>
      <c r="AB24" s="1575">
        <v>1</v>
      </c>
      <c r="AC24" s="1575">
        <v>1</v>
      </c>
    </row>
    <row r="25" spans="1:29" ht="28.5">
      <c r="A25" s="517"/>
      <c r="B25" s="258" t="s">
        <v>544</v>
      </c>
      <c r="C25" s="573" t="str">
        <f>估价对象房地状况!C19</f>
        <v>零星有其他用地，基本不影响本宗地</v>
      </c>
      <c r="D25" s="563">
        <v>100</v>
      </c>
      <c r="E25" s="564" t="s">
        <v>3036</v>
      </c>
      <c r="F25" s="565">
        <f>SUMIF(98:98,E26,99:99)-SUMIF(98:98,C26,99:99)+100</f>
        <v>100</v>
      </c>
      <c r="G25" s="564" t="s">
        <v>3036</v>
      </c>
      <c r="H25" s="559">
        <f>SUMIF(98:98,G26,99:99)-SUMIF(98:98,C26,99:99)+100</f>
        <v>100</v>
      </c>
      <c r="I25" s="564" t="s">
        <v>3036</v>
      </c>
      <c r="J25" s="559">
        <f>SUMIF(98:98,I26,99:99)-SUMIF(98:98,C26,99:99)+100</f>
        <v>100</v>
      </c>
      <c r="K25" s="535">
        <v>1</v>
      </c>
      <c r="L25" s="2142"/>
      <c r="M25" s="2132"/>
      <c r="N25" s="2132"/>
      <c r="O25" s="2141"/>
      <c r="P25" s="3389"/>
      <c r="Q25" s="1571" t="str">
        <f t="shared" ref="Q25:Q39" si="8">B25</f>
        <v>区域土地利用方向</v>
      </c>
      <c r="R25" s="1572" t="s">
        <v>8</v>
      </c>
      <c r="S25" s="1573">
        <f>F25</f>
        <v>100</v>
      </c>
      <c r="T25" s="1572" t="s">
        <v>8</v>
      </c>
      <c r="U25" s="1573">
        <f>H25</f>
        <v>100</v>
      </c>
      <c r="V25" s="1572" t="s">
        <v>8</v>
      </c>
      <c r="W25" s="1573">
        <f>J25</f>
        <v>100</v>
      </c>
      <c r="X25" s="1566"/>
      <c r="Y25" s="3389"/>
      <c r="Z25" s="1574" t="str">
        <f>Q25</f>
        <v>区域土地利用方向</v>
      </c>
      <c r="AA25" s="1575">
        <f t="shared" si="3"/>
        <v>1</v>
      </c>
      <c r="AB25" s="1575">
        <f t="shared" si="4"/>
        <v>1</v>
      </c>
      <c r="AC25" s="1575">
        <f t="shared" si="5"/>
        <v>1</v>
      </c>
    </row>
    <row r="26" spans="1:29" ht="20.25">
      <c r="A26" s="517"/>
      <c r="B26" s="1006"/>
      <c r="C26" s="554" t="s">
        <v>3044</v>
      </c>
      <c r="D26" s="557"/>
      <c r="E26" s="558" t="s">
        <v>3044</v>
      </c>
      <c r="F26" s="555"/>
      <c r="G26" s="556" t="s">
        <v>3044</v>
      </c>
      <c r="H26" s="555"/>
      <c r="I26" s="558" t="s">
        <v>3044</v>
      </c>
      <c r="J26" s="555"/>
      <c r="K26" s="531"/>
      <c r="L26" s="2142"/>
      <c r="M26" s="2132"/>
      <c r="N26" s="2132"/>
      <c r="O26" s="2141"/>
      <c r="P26" s="3389"/>
      <c r="Q26" s="1571"/>
      <c r="R26" s="1572"/>
      <c r="S26" s="1573"/>
      <c r="T26" s="1572"/>
      <c r="U26" s="1573"/>
      <c r="V26" s="1572"/>
      <c r="W26" s="1573"/>
      <c r="X26" s="1566"/>
      <c r="Y26" s="3389"/>
      <c r="Z26" s="1574"/>
      <c r="AA26" s="1575"/>
      <c r="AB26" s="1575"/>
      <c r="AC26" s="1575"/>
    </row>
    <row r="27" spans="1:29" ht="48" customHeight="1">
      <c r="A27" s="517"/>
      <c r="B27" s="578" t="s">
        <v>545</v>
      </c>
      <c r="C27" s="561" t="str">
        <f>估价对象房地状况!C20</f>
        <v>周边2公里内有长沙医学院、观音岩水库，区域自然环境较好</v>
      </c>
      <c r="D27" s="563">
        <v>100</v>
      </c>
      <c r="E27" s="3173" t="s">
        <v>3122</v>
      </c>
      <c r="F27" s="559">
        <f>SUMIF(100:100,E28,101:101)-SUMIF(100:100,C28,101:101)+100</f>
        <v>100</v>
      </c>
      <c r="G27" s="3173" t="s">
        <v>3127</v>
      </c>
      <c r="H27" s="559">
        <f>SUMIF(100:100,G28,101:101)-SUMIF(100:100,C28,101:101)+100</f>
        <v>100</v>
      </c>
      <c r="I27" s="3173" t="s">
        <v>3127</v>
      </c>
      <c r="J27" s="559">
        <f>SUMIF(100:100,I28,101:101)-SUMIF(100:100,C28,101:101)+100</f>
        <v>100</v>
      </c>
      <c r="K27" s="535">
        <v>6</v>
      </c>
      <c r="L27" s="2142"/>
      <c r="M27" s="2132"/>
      <c r="N27" s="2132"/>
      <c r="O27" s="2141"/>
      <c r="P27" s="3389"/>
      <c r="Q27" s="1571" t="str">
        <f t="shared" si="8"/>
        <v>自然及人文环境状况</v>
      </c>
      <c r="R27" s="1572" t="s">
        <v>8</v>
      </c>
      <c r="S27" s="1573">
        <f>F27</f>
        <v>100</v>
      </c>
      <c r="T27" s="1572" t="s">
        <v>8</v>
      </c>
      <c r="U27" s="1573">
        <f>H27</f>
        <v>100</v>
      </c>
      <c r="V27" s="1572" t="s">
        <v>8</v>
      </c>
      <c r="W27" s="1573">
        <f>J27</f>
        <v>100</v>
      </c>
      <c r="X27" s="1566"/>
      <c r="Y27" s="3389"/>
      <c r="Z27" s="1574" t="str">
        <f>Q27</f>
        <v>自然及人文环境状况</v>
      </c>
      <c r="AA27" s="1575">
        <f t="shared" si="3"/>
        <v>1</v>
      </c>
      <c r="AB27" s="1575">
        <f t="shared" si="4"/>
        <v>1</v>
      </c>
      <c r="AC27" s="1575">
        <f t="shared" si="5"/>
        <v>1</v>
      </c>
    </row>
    <row r="28" spans="1:29" ht="20.25">
      <c r="A28" s="517"/>
      <c r="B28" s="566"/>
      <c r="C28" s="554" t="s">
        <v>3044</v>
      </c>
      <c r="D28" s="557"/>
      <c r="E28" s="576" t="s">
        <v>3044</v>
      </c>
      <c r="F28" s="555"/>
      <c r="G28" s="576" t="s">
        <v>3044</v>
      </c>
      <c r="H28" s="555"/>
      <c r="I28" s="576" t="s">
        <v>3044</v>
      </c>
      <c r="J28" s="555"/>
      <c r="K28" s="531"/>
      <c r="L28" s="2142"/>
      <c r="M28" s="2132"/>
      <c r="N28" s="2132"/>
      <c r="O28" s="2141"/>
      <c r="P28" s="3389"/>
      <c r="Q28" s="1571"/>
      <c r="R28" s="1572"/>
      <c r="S28" s="1573"/>
      <c r="T28" s="1572"/>
      <c r="U28" s="1573"/>
      <c r="V28" s="1572"/>
      <c r="W28" s="1573"/>
      <c r="X28" s="1566"/>
      <c r="Y28" s="3389"/>
      <c r="Z28" s="1574"/>
      <c r="AA28" s="1575">
        <v>1</v>
      </c>
      <c r="AB28" s="1575">
        <v>1</v>
      </c>
      <c r="AC28" s="1575">
        <v>1</v>
      </c>
    </row>
    <row r="29" spans="1:29" s="1219" customFormat="1" ht="40.5">
      <c r="A29" s="577"/>
      <c r="B29" s="2615" t="s">
        <v>2551</v>
      </c>
      <c r="C29" s="573" t="str">
        <f>估价对象房地状况!C21</f>
        <v>估价对象所在区域公共配套设施齐备情况一般</v>
      </c>
      <c r="D29" s="563">
        <v>100</v>
      </c>
      <c r="E29" s="3173" t="s">
        <v>3083</v>
      </c>
      <c r="F29" s="559">
        <f>SUMIF(102:102,E30,103:103)-SUMIF(102:102,C30,103:103)+100</f>
        <v>100</v>
      </c>
      <c r="G29" s="3173" t="s">
        <v>3083</v>
      </c>
      <c r="H29" s="559">
        <f>SUMIF(102:102,G30,103:103)-SUMIF(102:102,C30,103:103)+100</f>
        <v>100</v>
      </c>
      <c r="I29" s="3173" t="s">
        <v>3083</v>
      </c>
      <c r="J29" s="559">
        <f>SUMIF(102:102,I30,103:103)-SUMIF(102:102,C30,103:103)+100</f>
        <v>100</v>
      </c>
      <c r="K29" s="535">
        <v>2</v>
      </c>
      <c r="L29" s="2135"/>
      <c r="M29" s="2132"/>
      <c r="N29" s="2132"/>
      <c r="O29" s="2137"/>
      <c r="P29" s="3389"/>
      <c r="Q29" s="1150" t="str">
        <f t="shared" si="8"/>
        <v>公共配套设施</v>
      </c>
      <c r="R29" s="1567" t="s">
        <v>8</v>
      </c>
      <c r="S29" s="1568">
        <f>F29</f>
        <v>100</v>
      </c>
      <c r="T29" s="1567" t="s">
        <v>8</v>
      </c>
      <c r="U29" s="1568">
        <f>H29</f>
        <v>100</v>
      </c>
      <c r="V29" s="1567" t="s">
        <v>8</v>
      </c>
      <c r="W29" s="1568">
        <f>J29</f>
        <v>100</v>
      </c>
      <c r="X29" s="1569"/>
      <c r="Y29" s="3389"/>
      <c r="Z29" s="1149" t="str">
        <f>Q29</f>
        <v>公共配套设施</v>
      </c>
      <c r="AA29" s="1575">
        <f>D29/F29</f>
        <v>1</v>
      </c>
      <c r="AB29" s="1575">
        <f>D29/H29</f>
        <v>1</v>
      </c>
      <c r="AC29" s="1575">
        <f>D29/J29</f>
        <v>1</v>
      </c>
    </row>
    <row r="30" spans="1:29" s="1219" customFormat="1" ht="20.25">
      <c r="A30" s="577"/>
      <c r="B30" s="566"/>
      <c r="C30" s="579" t="s">
        <v>3043</v>
      </c>
      <c r="D30" s="557"/>
      <c r="E30" s="576" t="s">
        <v>3043</v>
      </c>
      <c r="F30" s="555"/>
      <c r="G30" s="554" t="s">
        <v>3043</v>
      </c>
      <c r="H30" s="555"/>
      <c r="I30" s="576" t="s">
        <v>3043</v>
      </c>
      <c r="J30" s="555"/>
      <c r="K30" s="531"/>
      <c r="L30" s="2135"/>
      <c r="M30" s="2132"/>
      <c r="N30" s="2132"/>
      <c r="O30" s="2137"/>
      <c r="P30" s="3389"/>
      <c r="Q30" s="1150"/>
      <c r="R30" s="1567"/>
      <c r="S30" s="1568"/>
      <c r="T30" s="1567"/>
      <c r="U30" s="1568"/>
      <c r="V30" s="1567"/>
      <c r="W30" s="1568"/>
      <c r="X30" s="1569"/>
      <c r="Y30" s="3389"/>
      <c r="Z30" s="1149"/>
      <c r="AA30" s="1575">
        <v>1</v>
      </c>
      <c r="AB30" s="1575">
        <v>1</v>
      </c>
      <c r="AC30" s="1575">
        <v>1</v>
      </c>
    </row>
    <row r="31" spans="1:29" s="1219" customFormat="1" ht="28.5">
      <c r="A31" s="577"/>
      <c r="B31" s="2615" t="s">
        <v>2552</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89"/>
      <c r="Q31" s="2602" t="str">
        <f t="shared" ref="Q31" si="9">B31</f>
        <v>基础设施水平</v>
      </c>
      <c r="R31" s="1567" t="s">
        <v>8</v>
      </c>
      <c r="S31" s="1568">
        <f>F31</f>
        <v>100</v>
      </c>
      <c r="T31" s="1567" t="s">
        <v>8</v>
      </c>
      <c r="U31" s="1568">
        <f>H31</f>
        <v>100</v>
      </c>
      <c r="V31" s="1567" t="s">
        <v>8</v>
      </c>
      <c r="W31" s="1568">
        <f>J31</f>
        <v>100</v>
      </c>
      <c r="X31" s="1569"/>
      <c r="Y31" s="3389"/>
      <c r="Z31" s="2599" t="str">
        <f>Q31</f>
        <v>基础设施水平</v>
      </c>
      <c r="AA31" s="1575">
        <f>D31/F31</f>
        <v>1</v>
      </c>
      <c r="AB31" s="1575">
        <f>D31/H31</f>
        <v>1</v>
      </c>
      <c r="AC31" s="1575">
        <f>D31/J31</f>
        <v>1</v>
      </c>
    </row>
    <row r="32" spans="1:29" s="1219" customFormat="1" ht="20.25">
      <c r="A32" s="577"/>
      <c r="B32" s="566"/>
      <c r="C32" s="579" t="s">
        <v>3045</v>
      </c>
      <c r="D32" s="557"/>
      <c r="E32" s="579" t="s">
        <v>3045</v>
      </c>
      <c r="F32" s="555"/>
      <c r="G32" s="579" t="s">
        <v>3045</v>
      </c>
      <c r="H32" s="555"/>
      <c r="I32" s="579" t="s">
        <v>3045</v>
      </c>
      <c r="J32" s="555"/>
      <c r="K32" s="531"/>
      <c r="L32" s="2135"/>
      <c r="M32" s="2132"/>
      <c r="N32" s="2132"/>
      <c r="O32" s="2137"/>
      <c r="P32" s="3389"/>
      <c r="Q32" s="2602"/>
      <c r="R32" s="1567"/>
      <c r="S32" s="1568"/>
      <c r="T32" s="1567"/>
      <c r="U32" s="1568"/>
      <c r="V32" s="1567"/>
      <c r="W32" s="1568"/>
      <c r="X32" s="1569"/>
      <c r="Y32" s="3389"/>
      <c r="Z32" s="2599"/>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8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89"/>
      <c r="Z33" s="1574" t="str">
        <f t="shared" ref="Z33:Z47" si="13">Q33</f>
        <v>临街状况</v>
      </c>
      <c r="AA33" s="1575">
        <f t="shared" si="3"/>
        <v>1</v>
      </c>
      <c r="AB33" s="1575">
        <f t="shared" si="4"/>
        <v>1</v>
      </c>
      <c r="AC33" s="1575">
        <f t="shared" si="5"/>
        <v>1</v>
      </c>
    </row>
    <row r="34" spans="1:29" ht="27">
      <c r="A34" s="532"/>
      <c r="B34" s="578" t="s">
        <v>548</v>
      </c>
      <c r="C34" s="3178" t="s">
        <v>3120</v>
      </c>
      <c r="D34" s="563">
        <v>100</v>
      </c>
      <c r="E34" s="3178" t="s">
        <v>3120</v>
      </c>
      <c r="F34" s="559">
        <f>SUMIF(108:108,E35,109:109)-SUMIF(108:108,C35,109:109)+100</f>
        <v>100</v>
      </c>
      <c r="G34" s="3178" t="s">
        <v>3120</v>
      </c>
      <c r="H34" s="559">
        <f>SUMIF(108:108,G35,109:109)-SUMIF(108:108,C35,109:109)+100</f>
        <v>100</v>
      </c>
      <c r="I34" s="3178" t="s">
        <v>3120</v>
      </c>
      <c r="J34" s="559">
        <f>SUMIF(108:108,I35,109:109)-SUMIF(108:108,C35,109:109)+100</f>
        <v>99</v>
      </c>
      <c r="K34" s="535">
        <v>1</v>
      </c>
      <c r="L34" s="2142"/>
      <c r="M34" s="2132"/>
      <c r="N34" s="2132"/>
      <c r="O34" s="2141"/>
      <c r="P34" s="3389"/>
      <c r="Q34" s="1571" t="str">
        <f t="shared" si="8"/>
        <v>毗邻道路的类型与等级</v>
      </c>
      <c r="R34" s="1572" t="s">
        <v>8</v>
      </c>
      <c r="S34" s="1573">
        <f t="shared" si="10"/>
        <v>100</v>
      </c>
      <c r="T34" s="1572" t="s">
        <v>8</v>
      </c>
      <c r="U34" s="1573">
        <f t="shared" si="11"/>
        <v>100</v>
      </c>
      <c r="V34" s="1572" t="s">
        <v>8</v>
      </c>
      <c r="W34" s="1573">
        <f t="shared" si="12"/>
        <v>99</v>
      </c>
      <c r="X34" s="1566"/>
      <c r="Y34" s="3389"/>
      <c r="Z34" s="1574" t="str">
        <f t="shared" si="13"/>
        <v>毗邻道路的类型与等级</v>
      </c>
      <c r="AA34" s="1575">
        <f t="shared" si="3"/>
        <v>1</v>
      </c>
      <c r="AB34" s="1575">
        <f t="shared" si="4"/>
        <v>1</v>
      </c>
      <c r="AC34" s="1575">
        <f t="shared" si="5"/>
        <v>1.0101010101010102</v>
      </c>
    </row>
    <row r="35" spans="1:29" ht="21" thickBot="1">
      <c r="A35" s="532"/>
      <c r="B35" s="566"/>
      <c r="C35" s="554" t="s">
        <v>3119</v>
      </c>
      <c r="D35" s="557"/>
      <c r="E35" s="554" t="s">
        <v>3119</v>
      </c>
      <c r="F35" s="555"/>
      <c r="G35" s="554" t="s">
        <v>3119</v>
      </c>
      <c r="H35" s="555"/>
      <c r="I35" s="554" t="s">
        <v>3141</v>
      </c>
      <c r="J35" s="555"/>
      <c r="K35" s="581"/>
      <c r="L35" s="2142"/>
      <c r="M35" s="2132"/>
      <c r="N35" s="2132"/>
      <c r="O35" s="2141"/>
      <c r="P35" s="3389"/>
      <c r="Q35" s="1571"/>
      <c r="R35" s="1572"/>
      <c r="S35" s="1573"/>
      <c r="T35" s="1572"/>
      <c r="U35" s="1573"/>
      <c r="V35" s="1572"/>
      <c r="W35" s="1573"/>
      <c r="X35" s="1566"/>
      <c r="Y35" s="3389"/>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9"/>
      <c r="Q36" s="1571" t="str">
        <f t="shared" si="8"/>
        <v>土地级别</v>
      </c>
      <c r="R36" s="1572" t="s">
        <v>8</v>
      </c>
      <c r="S36" s="1573">
        <f t="shared" si="10"/>
        <v>100</v>
      </c>
      <c r="T36" s="1572" t="s">
        <v>8</v>
      </c>
      <c r="U36" s="1573">
        <f t="shared" si="11"/>
        <v>100</v>
      </c>
      <c r="V36" s="1572" t="s">
        <v>8</v>
      </c>
      <c r="W36" s="1573">
        <f t="shared" si="12"/>
        <v>100</v>
      </c>
      <c r="X36" s="1566"/>
      <c r="Y36" s="3389"/>
      <c r="Z36" s="1574" t="str">
        <f t="shared" si="13"/>
        <v>土地级别</v>
      </c>
      <c r="AA36" s="1575">
        <f t="shared" si="3"/>
        <v>1</v>
      </c>
      <c r="AB36" s="1575">
        <f t="shared" si="4"/>
        <v>1</v>
      </c>
      <c r="AC36" s="1575">
        <f t="shared" si="5"/>
        <v>1</v>
      </c>
    </row>
    <row r="37" spans="1:29" ht="20.25" hidden="1">
      <c r="A37" s="517"/>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9"/>
      <c r="Q37" s="1571">
        <f t="shared" si="8"/>
        <v>0</v>
      </c>
      <c r="R37" s="1572" t="s">
        <v>8</v>
      </c>
      <c r="S37" s="1573">
        <f t="shared" si="10"/>
        <v>100</v>
      </c>
      <c r="T37" s="1572" t="s">
        <v>8</v>
      </c>
      <c r="U37" s="1573">
        <f t="shared" si="11"/>
        <v>100</v>
      </c>
      <c r="V37" s="1572" t="s">
        <v>8</v>
      </c>
      <c r="W37" s="1573">
        <f t="shared" si="12"/>
        <v>100</v>
      </c>
      <c r="X37" s="1566"/>
      <c r="Y37" s="3389"/>
      <c r="Z37" s="1574">
        <f t="shared" si="13"/>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0" t="s">
        <v>550</v>
      </c>
      <c r="Q38" s="1571">
        <f t="shared" si="8"/>
        <v>0</v>
      </c>
      <c r="R38" s="1572" t="s">
        <v>8</v>
      </c>
      <c r="S38" s="1573">
        <f t="shared" si="10"/>
        <v>100</v>
      </c>
      <c r="T38" s="1572" t="s">
        <v>8</v>
      </c>
      <c r="U38" s="1573">
        <f t="shared" si="11"/>
        <v>100</v>
      </c>
      <c r="V38" s="1572" t="s">
        <v>8</v>
      </c>
      <c r="W38" s="1573">
        <f t="shared" si="12"/>
        <v>100</v>
      </c>
      <c r="X38" s="1566"/>
      <c r="Y38" s="3391" t="s">
        <v>550</v>
      </c>
      <c r="Z38" s="1574">
        <f t="shared" si="13"/>
        <v>0</v>
      </c>
      <c r="AA38" s="1575">
        <f t="shared" si="3"/>
        <v>1</v>
      </c>
      <c r="AB38" s="1575">
        <f t="shared" si="4"/>
        <v>1</v>
      </c>
      <c r="AC38" s="1575">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1"/>
      <c r="Q39" s="1571">
        <f t="shared" si="8"/>
        <v>0</v>
      </c>
      <c r="R39" s="1576" t="s">
        <v>8</v>
      </c>
      <c r="S39" s="1577">
        <f t="shared" si="10"/>
        <v>100</v>
      </c>
      <c r="T39" s="1576" t="s">
        <v>8</v>
      </c>
      <c r="U39" s="1577">
        <f t="shared" si="11"/>
        <v>100</v>
      </c>
      <c r="V39" s="1576" t="s">
        <v>8</v>
      </c>
      <c r="W39" s="1577">
        <f t="shared" si="12"/>
        <v>100</v>
      </c>
      <c r="X39" s="1578"/>
      <c r="Y39" s="3391"/>
      <c r="Z39" s="1579">
        <f t="shared" si="13"/>
        <v>0</v>
      </c>
      <c r="AA39" s="1575">
        <f t="shared" si="3"/>
        <v>1</v>
      </c>
      <c r="AB39" s="1575">
        <f t="shared" si="4"/>
        <v>1</v>
      </c>
      <c r="AC39" s="1575">
        <f t="shared" si="5"/>
        <v>1</v>
      </c>
    </row>
    <row r="40" spans="1:29" ht="20.25">
      <c r="A40" s="2933" t="s">
        <v>2760</v>
      </c>
      <c r="B40" s="595" t="s">
        <v>552</v>
      </c>
      <c r="C40" s="596">
        <f>'数据-基础表'!A3</f>
        <v>105421.08</v>
      </c>
      <c r="D40" s="597">
        <v>100</v>
      </c>
      <c r="E40" s="596">
        <f>土地案例!F2</f>
        <v>108220.7</v>
      </c>
      <c r="F40" s="597">
        <f>LOOKUP(E40,119:119,120:120)-LOOKUP(C40,119:119,120:120)+100</f>
        <v>100</v>
      </c>
      <c r="G40" s="596">
        <f>土地案例!F3</f>
        <v>42186.86</v>
      </c>
      <c r="H40" s="597">
        <f>LOOKUP(G40,119:119,120:120)-LOOKUP(C40,119:119,120:120)+100</f>
        <v>96</v>
      </c>
      <c r="I40" s="598">
        <f>土地案例!F4</f>
        <v>48017.08</v>
      </c>
      <c r="J40" s="597">
        <f>LOOKUP(I40,119:119,120:120)-LOOKUP(C40,119:119,120:120)+100</f>
        <v>96</v>
      </c>
      <c r="K40" s="581"/>
      <c r="L40" s="2142"/>
      <c r="M40" s="2132"/>
      <c r="N40" s="2132"/>
      <c r="O40" s="2141"/>
      <c r="P40" s="3391"/>
      <c r="Q40" s="1571" t="str">
        <f>B40</f>
        <v>宗地面积</v>
      </c>
      <c r="R40" s="1572" t="s">
        <v>8</v>
      </c>
      <c r="S40" s="1573">
        <f t="shared" si="10"/>
        <v>100</v>
      </c>
      <c r="T40" s="1572" t="s">
        <v>8</v>
      </c>
      <c r="U40" s="1573">
        <f t="shared" si="11"/>
        <v>96</v>
      </c>
      <c r="V40" s="1572" t="s">
        <v>8</v>
      </c>
      <c r="W40" s="1573">
        <f t="shared" si="12"/>
        <v>96</v>
      </c>
      <c r="X40" s="1566"/>
      <c r="Y40" s="3391"/>
      <c r="Z40" s="1574" t="str">
        <f t="shared" si="13"/>
        <v>宗地面积</v>
      </c>
      <c r="AA40" s="1575">
        <f t="shared" si="3"/>
        <v>1</v>
      </c>
      <c r="AB40" s="1575">
        <f t="shared" si="4"/>
        <v>1.0416666666666667</v>
      </c>
      <c r="AC40" s="1575">
        <f t="shared" si="5"/>
        <v>1.0416666666666667</v>
      </c>
    </row>
    <row r="41" spans="1:29" ht="20.25" hidden="1">
      <c r="A41" s="594"/>
      <c r="B41" s="529"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91"/>
      <c r="Q41" s="1571" t="str">
        <f t="shared" ref="Q41:Q47" si="14">B41</f>
        <v>宗地形状</v>
      </c>
      <c r="R41" s="1572" t="s">
        <v>8</v>
      </c>
      <c r="S41" s="1573">
        <f t="shared" si="10"/>
        <v>100</v>
      </c>
      <c r="T41" s="1572" t="s">
        <v>8</v>
      </c>
      <c r="U41" s="1573">
        <f t="shared" si="11"/>
        <v>100</v>
      </c>
      <c r="V41" s="1572" t="s">
        <v>8</v>
      </c>
      <c r="W41" s="1573">
        <f t="shared" si="12"/>
        <v>100</v>
      </c>
      <c r="X41" s="1566"/>
      <c r="Y41" s="3391"/>
      <c r="Z41" s="1574" t="str">
        <f t="shared" si="13"/>
        <v>宗地形状</v>
      </c>
      <c r="AA41" s="1575">
        <f t="shared" si="3"/>
        <v>1</v>
      </c>
      <c r="AB41" s="1575">
        <f t="shared" si="4"/>
        <v>1</v>
      </c>
      <c r="AC41" s="1575">
        <f t="shared" si="5"/>
        <v>1</v>
      </c>
    </row>
    <row r="42" spans="1:29" ht="20.25" hidden="1">
      <c r="A42" s="594"/>
      <c r="B42" s="529"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91"/>
      <c r="Q42" s="1571" t="str">
        <f t="shared" si="14"/>
        <v>临街宽度及深度</v>
      </c>
      <c r="R42" s="1572" t="s">
        <v>8</v>
      </c>
      <c r="S42" s="1573">
        <f t="shared" si="10"/>
        <v>100</v>
      </c>
      <c r="T42" s="1572" t="s">
        <v>8</v>
      </c>
      <c r="U42" s="1573">
        <f t="shared" si="11"/>
        <v>100</v>
      </c>
      <c r="V42" s="1572" t="s">
        <v>8</v>
      </c>
      <c r="W42" s="1573">
        <f t="shared" si="12"/>
        <v>100</v>
      </c>
      <c r="X42" s="1566"/>
      <c r="Y42" s="3391"/>
      <c r="Z42" s="1574" t="str">
        <f t="shared" si="13"/>
        <v>临街宽度及深度</v>
      </c>
      <c r="AA42" s="1575">
        <f t="shared" si="3"/>
        <v>1</v>
      </c>
      <c r="AB42" s="1575">
        <f t="shared" si="4"/>
        <v>1</v>
      </c>
      <c r="AC42" s="1575">
        <f t="shared" si="5"/>
        <v>1</v>
      </c>
    </row>
    <row r="43" spans="1:29" s="1219" customFormat="1" ht="20.25">
      <c r="A43" s="600"/>
      <c r="B43" s="1895" t="s">
        <v>2425</v>
      </c>
      <c r="C43" s="601" t="s">
        <v>3080</v>
      </c>
      <c r="D43" s="254">
        <v>100</v>
      </c>
      <c r="E43" s="601" t="s">
        <v>3080</v>
      </c>
      <c r="F43" s="540">
        <f>SUMIF(125:125,E43,126:126)-SUMIF(125:125,C43,126:126)+100</f>
        <v>100</v>
      </c>
      <c r="G43" s="601" t="s">
        <v>3080</v>
      </c>
      <c r="H43" s="540">
        <f>SUMIF(125:125,G43,126:126)-SUMIF(125:125,C43,126:126)+100</f>
        <v>100</v>
      </c>
      <c r="I43" s="601" t="s">
        <v>3080</v>
      </c>
      <c r="J43" s="540">
        <f>SUMIF(125:125,I43,126:126)-SUMIF(125:125,C43,126:126)+100</f>
        <v>100</v>
      </c>
      <c r="K43" s="584">
        <v>1</v>
      </c>
      <c r="L43" s="2135"/>
      <c r="M43" s="2132"/>
      <c r="N43" s="2132"/>
      <c r="O43" s="2137"/>
      <c r="P43" s="3391"/>
      <c r="Q43" s="1571" t="str">
        <f t="shared" si="14"/>
        <v>宗地开发程度</v>
      </c>
      <c r="R43" s="1567" t="s">
        <v>8</v>
      </c>
      <c r="S43" s="1568">
        <f t="shared" si="10"/>
        <v>100</v>
      </c>
      <c r="T43" s="1567" t="s">
        <v>8</v>
      </c>
      <c r="U43" s="1568">
        <f t="shared" si="11"/>
        <v>100</v>
      </c>
      <c r="V43" s="1567" t="s">
        <v>8</v>
      </c>
      <c r="W43" s="1568">
        <f t="shared" si="12"/>
        <v>100</v>
      </c>
      <c r="X43" s="1569"/>
      <c r="Y43" s="3391"/>
      <c r="Z43" s="1149" t="str">
        <f t="shared" si="13"/>
        <v>宗地开发程度</v>
      </c>
      <c r="AA43" s="1570">
        <f t="shared" si="3"/>
        <v>1</v>
      </c>
      <c r="AB43" s="1570">
        <f t="shared" si="4"/>
        <v>1</v>
      </c>
      <c r="AC43" s="1570">
        <f t="shared" si="5"/>
        <v>1</v>
      </c>
    </row>
    <row r="44" spans="1:29" ht="21" thickBot="1">
      <c r="A44" s="594"/>
      <c r="B44" s="529" t="s">
        <v>555</v>
      </c>
      <c r="C44" s="599" t="s">
        <v>3044</v>
      </c>
      <c r="D44" s="540">
        <v>100</v>
      </c>
      <c r="E44" s="599" t="s">
        <v>3044</v>
      </c>
      <c r="F44" s="540">
        <f>SUMIF(127:127,E44,128:128)-SUMIF(127:127,C44,128:128)+100</f>
        <v>100</v>
      </c>
      <c r="G44" s="599" t="s">
        <v>3044</v>
      </c>
      <c r="H44" s="540">
        <f>SUMIF(127:127,G44,128:128)-SUMIF(127:127,C44,128:128)+100</f>
        <v>100</v>
      </c>
      <c r="I44" s="599" t="s">
        <v>3044</v>
      </c>
      <c r="J44" s="540">
        <f>SUMIF(127:127,I44,128:128)-SUMIF(127:127,C44,128:128)+100</f>
        <v>100</v>
      </c>
      <c r="K44" s="584">
        <v>2</v>
      </c>
      <c r="L44" s="2142"/>
      <c r="M44" s="2132"/>
      <c r="N44" s="2132"/>
      <c r="O44" s="2141"/>
      <c r="P44" s="3391" t="s">
        <v>550</v>
      </c>
      <c r="Q44" s="1571" t="str">
        <f t="shared" si="14"/>
        <v>工程地质条件</v>
      </c>
      <c r="R44" s="1572" t="s">
        <v>8</v>
      </c>
      <c r="S44" s="1573">
        <f t="shared" si="10"/>
        <v>100</v>
      </c>
      <c r="T44" s="1572" t="s">
        <v>8</v>
      </c>
      <c r="U44" s="1573">
        <f t="shared" si="11"/>
        <v>100</v>
      </c>
      <c r="V44" s="1572" t="s">
        <v>8</v>
      </c>
      <c r="W44" s="1573">
        <f t="shared" si="12"/>
        <v>100</v>
      </c>
      <c r="X44" s="1566"/>
      <c r="Y44" s="3391"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1"/>
      <c r="Q45" s="1571">
        <f t="shared" si="14"/>
        <v>111</v>
      </c>
      <c r="R45" s="1572" t="s">
        <v>8</v>
      </c>
      <c r="S45" s="1573">
        <f t="shared" si="10"/>
        <v>100</v>
      </c>
      <c r="T45" s="1572" t="s">
        <v>8</v>
      </c>
      <c r="U45" s="1573">
        <f t="shared" si="11"/>
        <v>100</v>
      </c>
      <c r="V45" s="1572" t="s">
        <v>8</v>
      </c>
      <c r="W45" s="1573">
        <f t="shared" si="12"/>
        <v>100</v>
      </c>
      <c r="X45" s="1566"/>
      <c r="Y45" s="3391"/>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1"/>
      <c r="Q46" s="1571">
        <f t="shared" si="14"/>
        <v>111</v>
      </c>
      <c r="R46" s="1572" t="s">
        <v>8</v>
      </c>
      <c r="S46" s="1573">
        <f t="shared" si="10"/>
        <v>100</v>
      </c>
      <c r="T46" s="1572" t="s">
        <v>8</v>
      </c>
      <c r="U46" s="1573">
        <f t="shared" si="11"/>
        <v>100</v>
      </c>
      <c r="V46" s="1572" t="s">
        <v>8</v>
      </c>
      <c r="W46" s="1573">
        <f t="shared" si="12"/>
        <v>100</v>
      </c>
      <c r="X46" s="1566"/>
      <c r="Y46" s="3391"/>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1"/>
      <c r="Q47" s="1571">
        <f t="shared" si="14"/>
        <v>111</v>
      </c>
      <c r="R47" s="1576" t="s">
        <v>8</v>
      </c>
      <c r="S47" s="1577">
        <f t="shared" si="10"/>
        <v>100</v>
      </c>
      <c r="T47" s="1576" t="s">
        <v>8</v>
      </c>
      <c r="U47" s="1577">
        <f t="shared" si="11"/>
        <v>100</v>
      </c>
      <c r="V47" s="1576" t="s">
        <v>8</v>
      </c>
      <c r="W47" s="1577">
        <f t="shared" si="12"/>
        <v>100</v>
      </c>
      <c r="X47" s="1578"/>
      <c r="Y47" s="3391"/>
      <c r="Z47" s="1579">
        <f t="shared" si="13"/>
        <v>111</v>
      </c>
      <c r="AA47" s="1575">
        <f t="shared" si="3"/>
        <v>1</v>
      </c>
      <c r="AB47" s="1575">
        <f t="shared" si="4"/>
        <v>1</v>
      </c>
      <c r="AC47" s="1575">
        <f t="shared" si="5"/>
        <v>1</v>
      </c>
    </row>
    <row r="48" spans="1:29" ht="20.25">
      <c r="A48" s="607" t="s">
        <v>556</v>
      </c>
      <c r="B48" s="608" t="s">
        <v>3046</v>
      </c>
      <c r="C48" s="609" t="s">
        <v>1</v>
      </c>
      <c r="D48" s="610"/>
      <c r="E48" s="611">
        <f>ROUND(土地案例!M2,0)</f>
        <v>4147</v>
      </c>
      <c r="F48" s="612"/>
      <c r="G48" s="611">
        <f>ROUND(土地案例!M3,0)</f>
        <v>4422</v>
      </c>
      <c r="H48" s="614"/>
      <c r="I48" s="611">
        <f>ROUND(土地案例!M4,0)</f>
        <v>4010</v>
      </c>
      <c r="J48" s="614"/>
      <c r="K48" s="1339"/>
      <c r="L48" s="2144"/>
      <c r="M48" s="2132"/>
      <c r="N48" s="2132"/>
      <c r="O48" s="2145"/>
      <c r="P48" s="3354" t="str">
        <f>A48</f>
        <v>成交单价</v>
      </c>
      <c r="Q48" s="3354"/>
      <c r="R48" s="3355">
        <f>E48</f>
        <v>4147</v>
      </c>
      <c r="S48" s="3355"/>
      <c r="T48" s="3355">
        <f>G48</f>
        <v>4422</v>
      </c>
      <c r="U48" s="3355"/>
      <c r="V48" s="3355">
        <f>I48</f>
        <v>4010</v>
      </c>
      <c r="W48" s="3355"/>
      <c r="X48" s="1558"/>
      <c r="Y48" s="1580"/>
      <c r="Z48" s="1558"/>
      <c r="AA48" s="1558"/>
      <c r="AB48" s="1558"/>
      <c r="AC48" s="1558"/>
    </row>
    <row r="49" spans="1:29" ht="21" thickBot="1">
      <c r="A49" s="615" t="s">
        <v>2698</v>
      </c>
      <c r="B49" s="616"/>
      <c r="C49" s="617">
        <f>R50</f>
        <v>4103</v>
      </c>
      <c r="D49" s="618"/>
      <c r="E49" s="617">
        <f>R49</f>
        <v>3957</v>
      </c>
      <c r="F49" s="619"/>
      <c r="G49" s="620">
        <f>T49</f>
        <v>4317</v>
      </c>
      <c r="H49" s="618"/>
      <c r="I49" s="617">
        <f>V49</f>
        <v>4035</v>
      </c>
      <c r="J49" s="618"/>
      <c r="K49" s="1340"/>
      <c r="L49" s="2144"/>
      <c r="M49" s="2132"/>
      <c r="N49" s="2132"/>
      <c r="O49" s="2145"/>
      <c r="P49" s="3354" t="str">
        <f>A49</f>
        <v>比较价格（元/平方米）</v>
      </c>
      <c r="Q49" s="3354"/>
      <c r="R49" s="3356">
        <f>ROUND(PRODUCT(R48,AA9:AA47),0)</f>
        <v>3957</v>
      </c>
      <c r="S49" s="3356"/>
      <c r="T49" s="3356">
        <f>ROUND(PRODUCT(T48,AB9:AB47),0)</f>
        <v>4317</v>
      </c>
      <c r="U49" s="3356"/>
      <c r="V49" s="3356">
        <f>ROUND(PRODUCT(V48,AC9:AC47),0)</f>
        <v>4035</v>
      </c>
      <c r="W49" s="3356"/>
      <c r="X49" s="1558"/>
      <c r="Y49" s="1558"/>
      <c r="Z49" s="1558"/>
      <c r="AA49" s="1558"/>
      <c r="AB49" s="1558"/>
      <c r="AC49" s="1558"/>
    </row>
    <row r="50" spans="1:29" ht="21" thickBot="1">
      <c r="A50" s="621" t="s">
        <v>2935</v>
      </c>
      <c r="B50" s="622"/>
      <c r="C50" s="623">
        <f>R50</f>
        <v>4103</v>
      </c>
      <c r="D50" s="623"/>
      <c r="E50" s="623"/>
      <c r="F50" s="623"/>
      <c r="G50" s="623"/>
      <c r="H50" s="623"/>
      <c r="I50" s="623"/>
      <c r="J50" s="623"/>
      <c r="K50" s="1341"/>
      <c r="L50" s="2144"/>
      <c r="M50" s="2132"/>
      <c r="N50" s="2132"/>
      <c r="O50" s="2145"/>
      <c r="P50" s="3351" t="str">
        <f>A50</f>
        <v>估价对象XX用房的比较价格（楼面单价，元/平方米）</v>
      </c>
      <c r="Q50" s="3352"/>
      <c r="R50" s="3353">
        <f>ROUND(AVERAGE(R49:V49),0)</f>
        <v>4103</v>
      </c>
      <c r="S50" s="3353"/>
      <c r="T50" s="3353"/>
      <c r="U50" s="3353"/>
      <c r="V50" s="3353"/>
      <c r="W50" s="3353"/>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4.8016173869092738E-2</v>
      </c>
      <c r="F53" s="627" t="str">
        <f>IF(OR(E53&gt;=0.3,E53&lt;=-0.3),"超过30%","")</f>
        <v/>
      </c>
      <c r="G53" s="626">
        <f>IF(G48&lt;G49,G49/G48-1,G48/G49-1)</f>
        <v>2.4322446143155041E-2</v>
      </c>
      <c r="H53" s="627" t="str">
        <f>IF(OR(G53&gt;=0.3,G53&lt;=-0.3),"超过30%","")</f>
        <v/>
      </c>
      <c r="I53" s="626">
        <f>IF(I48&lt;I49,I49/I48-1,I48/I49-1)</f>
        <v>6.2344139650871711E-3</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9.0978013646701994E-2</v>
      </c>
      <c r="F54" s="627" t="str">
        <f>IF(OR(E54&gt;=0.2,E54&lt;=-0.2),"超过20%","")</f>
        <v/>
      </c>
      <c r="G54" s="626">
        <f>IF(G49&lt;I49,I49/G49-1,G49/I49-1)</f>
        <v>6.9888475836431319E-2</v>
      </c>
      <c r="H54" s="627" t="str">
        <f>IF(OR(G54&gt;=0.2,G54&lt;=-0.2),"超过20%","")</f>
        <v/>
      </c>
      <c r="I54" s="626">
        <f>IF(I49&lt;E49,E49/I49-1,I49/E49-1)</f>
        <v>1.9711902956785377E-2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6.6312997347480085E-2</v>
      </c>
      <c r="F55" s="627" t="str">
        <f>IF(OR(E55&gt;=0.3,E55&lt;=-0.3),"超过30%","")</f>
        <v/>
      </c>
      <c r="G55" s="626">
        <f>IF(G48&lt;I48,I48/G48-1,G48/I48-1)</f>
        <v>0.10274314214463831</v>
      </c>
      <c r="H55" s="627" t="str">
        <f>IF(OR(G55&gt;=0.3,G55&lt;=-0.3),"超过30%","")</f>
        <v/>
      </c>
      <c r="I55" s="626">
        <f>IF(I48&lt;E48,E48/I48-1,I48/E48-1)</f>
        <v>3.4164588528678319E-2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1724</v>
      </c>
      <c r="D57" s="2227" t="s">
        <v>2294</v>
      </c>
      <c r="E57" s="631" t="s">
        <v>562</v>
      </c>
      <c r="F57" s="632" t="s">
        <v>563</v>
      </c>
      <c r="G57" s="3380" t="s">
        <v>2282</v>
      </c>
      <c r="H57" s="3381"/>
      <c r="I57" s="1554" t="s">
        <v>1722</v>
      </c>
      <c r="J57" s="1554" t="str">
        <f>项目基本情况!F41</f>
        <v>湖南省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4103</v>
      </c>
      <c r="C58" s="635">
        <v>1</v>
      </c>
      <c r="D58" s="2228">
        <v>1</v>
      </c>
      <c r="E58" s="635">
        <f>'数据-汇总表'!E8+'数据-汇总表'!E9</f>
        <v>231926.37</v>
      </c>
      <c r="F58" s="636">
        <f t="shared" ref="F58:F67" si="15">ROUND(B58*E58/10000,0)</f>
        <v>95159</v>
      </c>
      <c r="G58" s="3382"/>
      <c r="H58" s="3383"/>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80">
        <f t="shared" ref="C59:C67" si="16">IF($C$57="北京市系数",I59,J59)</f>
        <v>0</v>
      </c>
      <c r="D59" s="2229">
        <v>0.25</v>
      </c>
      <c r="E59" s="639">
        <v>0</v>
      </c>
      <c r="F59" s="636">
        <f t="shared" si="15"/>
        <v>0</v>
      </c>
      <c r="G59" s="3384"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80">
        <f t="shared" si="16"/>
        <v>0</v>
      </c>
      <c r="D60" s="2229">
        <v>0.25</v>
      </c>
      <c r="E60" s="639">
        <v>0</v>
      </c>
      <c r="F60" s="636">
        <f t="shared" si="15"/>
        <v>0</v>
      </c>
      <c r="G60" s="3384"/>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80">
        <f t="shared" si="16"/>
        <v>0</v>
      </c>
      <c r="D61" s="2229">
        <v>0.25</v>
      </c>
      <c r="E61" s="639">
        <v>0</v>
      </c>
      <c r="F61" s="636">
        <f t="shared" si="15"/>
        <v>0</v>
      </c>
      <c r="G61" s="3384"/>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80">
        <f t="shared" si="16"/>
        <v>0</v>
      </c>
      <c r="D62" s="2229">
        <v>0.25</v>
      </c>
      <c r="E62" s="639">
        <v>0</v>
      </c>
      <c r="F62" s="636">
        <f t="shared" si="15"/>
        <v>0</v>
      </c>
      <c r="G62" s="3384"/>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80">
        <f t="shared" si="16"/>
        <v>0</v>
      </c>
      <c r="D63" s="2229">
        <v>0.25</v>
      </c>
      <c r="E63" s="641">
        <f>'数据-汇总表'!E11</f>
        <v>0</v>
      </c>
      <c r="F63" s="636">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80">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80">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80">
        <f t="shared" si="16"/>
        <v>0</v>
      </c>
      <c r="D66" s="2229">
        <v>0.25</v>
      </c>
      <c r="E66" s="641">
        <f>'数据-汇总表'!E14</f>
        <v>0</v>
      </c>
      <c r="F66" s="636">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80">
        <f t="shared" si="16"/>
        <v>0</v>
      </c>
      <c r="D67" s="2229">
        <v>0.25</v>
      </c>
      <c r="E67" s="641">
        <f>'数据-汇总表'!E15</f>
        <v>0</v>
      </c>
      <c r="F67" s="636">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231926.37</v>
      </c>
      <c r="F68" s="644">
        <f>IF(B48="楼面地价",SUM(F58:F67),ROUND(C50*E68/10000,0))</f>
        <v>95159</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2535</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2652</v>
      </c>
      <c r="B73" s="481" t="str">
        <f>"北京市平均增长率"&amp;TEXT(SUMIF(基准地价!N21:N25,A73,基准地价!P21:P25),"0.00%")</f>
        <v>北京市平均增长率2.49%</v>
      </c>
      <c r="C73" s="893">
        <v>100</v>
      </c>
      <c r="D73" s="730">
        <v>99.8</v>
      </c>
      <c r="E73" s="730">
        <v>99.6</v>
      </c>
      <c r="F73" s="730">
        <v>99.4</v>
      </c>
      <c r="G73" s="730">
        <v>99.2</v>
      </c>
      <c r="H73" s="730">
        <v>99</v>
      </c>
      <c r="I73" s="730">
        <v>98.8</v>
      </c>
      <c r="J73" s="730">
        <v>98.6</v>
      </c>
      <c r="K73" s="730">
        <v>98.4</v>
      </c>
      <c r="L73" s="730">
        <v>98.2</v>
      </c>
      <c r="M73" s="2818">
        <v>98</v>
      </c>
      <c r="N73" s="2819"/>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2651</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t="s">
        <v>3011</v>
      </c>
      <c r="D77" s="3164" t="s">
        <v>3012</v>
      </c>
      <c r="E77" s="3165" t="s">
        <v>3013</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101</v>
      </c>
      <c r="E78" s="671">
        <v>102</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175" t="s">
        <v>3056</v>
      </c>
      <c r="D84" s="1374" t="s">
        <v>3055</v>
      </c>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95</v>
      </c>
      <c r="D85" s="671">
        <v>100</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94</v>
      </c>
      <c r="E101" s="679">
        <f>D101-$K27</f>
        <v>88</v>
      </c>
      <c r="F101" s="679">
        <f>E101-$K27</f>
        <v>82</v>
      </c>
      <c r="G101" s="679">
        <f>F101-$K27</f>
        <v>76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2551</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2553</v>
      </c>
      <c r="C104" s="2622" t="s">
        <v>2554</v>
      </c>
      <c r="D104" s="2622" t="s">
        <v>2555</v>
      </c>
      <c r="E104" s="2622" t="s">
        <v>2556</v>
      </c>
      <c r="F104" s="2622" t="s">
        <v>2557</v>
      </c>
      <c r="G104" s="2622" t="s">
        <v>2558</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t="s">
        <v>3014</v>
      </c>
      <c r="D108" s="688" t="s">
        <v>3015</v>
      </c>
      <c r="E108" s="688" t="s">
        <v>3016</v>
      </c>
      <c r="F108" s="688" t="s">
        <v>3017</v>
      </c>
      <c r="G108" s="688" t="s">
        <v>3018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v>200000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26">
        <v>106</v>
      </c>
      <c r="G120" s="726">
        <v>108</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t="s">
        <v>3019</v>
      </c>
      <c r="D121" s="718" t="s">
        <v>3020</v>
      </c>
      <c r="E121" s="718" t="s">
        <v>3021</v>
      </c>
      <c r="F121" s="718" t="s">
        <v>3022</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t="s">
        <v>3023</v>
      </c>
      <c r="D123" s="688" t="s">
        <v>3024</v>
      </c>
      <c r="E123" s="688" t="s">
        <v>3025</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4" t="s">
        <v>3026</v>
      </c>
      <c r="D125" s="1374" t="s">
        <v>3027</v>
      </c>
      <c r="E125" s="1374" t="s">
        <v>3028</v>
      </c>
      <c r="F125" s="1374" t="s">
        <v>3029</v>
      </c>
      <c r="G125" s="1374" t="s">
        <v>3030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t="s">
        <v>3031</v>
      </c>
      <c r="D127" s="688" t="s">
        <v>3032</v>
      </c>
      <c r="E127" s="718" t="s">
        <v>3033</v>
      </c>
      <c r="F127" s="718" t="s">
        <v>3034</v>
      </c>
      <c r="G127" s="718" t="s">
        <v>3035</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6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F33" sqref="F33"/>
    </sheetView>
  </sheetViews>
  <sheetFormatPr defaultColWidth="6.625" defaultRowHeight="12.75"/>
  <cols>
    <col min="1" max="1" width="9.75" style="2124" customWidth="1"/>
    <col min="2" max="2" width="32.2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5"/>
      <c r="C1" s="2104"/>
      <c r="D1" s="2104"/>
      <c r="E1" s="2104"/>
      <c r="F1" s="2104"/>
      <c r="G1" s="2104"/>
      <c r="H1" s="2104"/>
      <c r="I1" s="2104"/>
      <c r="J1" s="2104"/>
      <c r="K1" s="424">
        <f>MATCH(B1,'数据-取费表'!A6:A16,0)+5</f>
        <v>8</v>
      </c>
    </row>
    <row r="2" spans="1:31" s="2041" customFormat="1" ht="18" customHeight="1">
      <c r="A2" s="2101" t="s">
        <v>466</v>
      </c>
      <c r="B2" s="2105">
        <f ca="1">C36</f>
        <v>91332</v>
      </c>
      <c r="C2" s="2104"/>
      <c r="D2" s="2104"/>
      <c r="E2" s="2104"/>
      <c r="F2" s="2104"/>
      <c r="G2" s="2104"/>
      <c r="H2" s="2104"/>
      <c r="I2" s="2104"/>
      <c r="J2" s="2104"/>
      <c r="K2" s="2104"/>
    </row>
    <row r="3" spans="1:31" s="2041" customFormat="1" ht="18" customHeight="1">
      <c r="A3" s="2106" t="s">
        <v>1684</v>
      </c>
      <c r="B3" s="2107">
        <f ca="1">ROUND(B2*10000/IF(B1="",'数据-汇总表'!E3,INDIRECT("'数据-取费表'!K"&amp;$K$1)),0)</f>
        <v>3938</v>
      </c>
      <c r="C3" s="2104"/>
      <c r="D3" s="2104"/>
      <c r="E3" s="2104"/>
      <c r="F3" s="2104"/>
      <c r="G3" s="2104"/>
      <c r="H3" s="2104"/>
      <c r="I3" s="2104"/>
      <c r="J3" s="2104"/>
      <c r="K3" s="2104"/>
    </row>
    <row r="4" spans="1:31" s="2041" customFormat="1" ht="18" customHeight="1">
      <c r="A4" s="428" t="s">
        <v>467</v>
      </c>
      <c r="B4" s="429">
        <f ca="1">ROUND(B2*10000/IF(B1="",'数据-汇总表'!D3,INDIRECT("'数据-取费表'!R"&amp;$K$1)),0)</f>
        <v>8664</v>
      </c>
      <c r="C4" s="430"/>
      <c r="D4" s="424"/>
      <c r="E4" s="424"/>
      <c r="F4" s="424"/>
      <c r="G4" s="424"/>
      <c r="H4" s="424"/>
      <c r="I4" s="424"/>
      <c r="J4" s="424"/>
      <c r="K4" s="424"/>
    </row>
    <row r="5" spans="1:31" s="2041" customFormat="1" ht="18" customHeight="1" thickBot="1">
      <c r="A5" s="431"/>
      <c r="B5" s="432">
        <f ca="1">ROUND(B2/(IF(B1="",'数据-汇总表'!D3,INDIRECT("'数据-取费表'!R"&amp;$K$1))/666.67),0)</f>
        <v>578</v>
      </c>
      <c r="C5" s="433" t="s">
        <v>468</v>
      </c>
      <c r="D5" s="424"/>
      <c r="E5" s="424"/>
      <c r="F5" s="424"/>
      <c r="G5" s="424"/>
      <c r="H5" s="424"/>
      <c r="I5" s="424"/>
      <c r="J5" s="424"/>
      <c r="K5" s="424"/>
    </row>
    <row r="6" spans="1:31" s="2111" customFormat="1" ht="16.5" customHeight="1">
      <c r="A6" s="2854" t="s">
        <v>1842</v>
      </c>
      <c r="B6" s="2855"/>
      <c r="C6" s="2856">
        <f ca="1">SUM(C10:K10)</f>
        <v>174146</v>
      </c>
      <c r="D6" s="2855"/>
      <c r="E6" s="2855"/>
      <c r="F6" s="2855"/>
      <c r="G6" s="2855"/>
      <c r="H6" s="2855"/>
      <c r="I6" s="2855"/>
      <c r="J6" s="2855"/>
      <c r="K6" s="2857"/>
    </row>
    <row r="7" spans="1:31" s="2113" customFormat="1" ht="15">
      <c r="A7" s="2858" t="s">
        <v>469</v>
      </c>
      <c r="B7" s="2859" t="s">
        <v>470</v>
      </c>
      <c r="C7" s="438" t="s">
        <v>3004</v>
      </c>
      <c r="D7" s="438" t="s">
        <v>3006</v>
      </c>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0" t="s">
        <v>471</v>
      </c>
      <c r="C8" s="2860">
        <f>'不动产比较法-住宅'!C48</f>
        <v>7407</v>
      </c>
      <c r="D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0" t="s">
        <v>472</v>
      </c>
      <c r="C9" s="443">
        <f>SUMIF('数据-汇总表'!$C19:$C33,'剩余法-待开发'!C7,'数据-汇总表'!$E19:$E33)</f>
        <v>224968.58</v>
      </c>
      <c r="D9" s="443">
        <f>SUMIF('数据-汇总表'!$C19:$C33,'剩余法-待开发'!D7,'数据-汇总表'!$E19:$E33)</f>
        <v>6957.79</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1847</v>
      </c>
      <c r="B10" s="2848" t="s">
        <v>473</v>
      </c>
      <c r="C10" s="3055">
        <f>ROUND(C8*C9/10000,0)</f>
        <v>166634</v>
      </c>
      <c r="D10" s="3055">
        <f ca="1">不动产收益法!C40</f>
        <v>7512</v>
      </c>
      <c r="E10" s="3055"/>
      <c r="F10" s="3055"/>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1843</v>
      </c>
      <c r="B11" s="2855"/>
      <c r="C11" s="2855"/>
      <c r="D11" s="2855"/>
      <c r="E11" s="2855"/>
      <c r="F11" s="2855"/>
      <c r="G11" s="2855"/>
      <c r="H11" s="2855"/>
      <c r="I11" s="2855"/>
      <c r="J11" s="2855"/>
      <c r="K11" s="2857"/>
    </row>
    <row r="12" spans="1:31" s="2085" customFormat="1" ht="13.5" customHeight="1">
      <c r="A12" s="2866" t="s">
        <v>469</v>
      </c>
      <c r="B12" s="2838" t="s">
        <v>470</v>
      </c>
      <c r="C12" s="2867" t="s">
        <v>474</v>
      </c>
      <c r="D12" s="2834" t="s">
        <v>475</v>
      </c>
      <c r="E12" s="2834" t="s">
        <v>476</v>
      </c>
      <c r="F12" s="2834" t="s">
        <v>477</v>
      </c>
      <c r="G12" s="2838"/>
      <c r="H12" s="2839"/>
      <c r="I12" s="2839"/>
      <c r="J12" s="2839"/>
      <c r="K12" s="2840"/>
    </row>
    <row r="13" spans="1:31" s="2116" customFormat="1" ht="13.5" customHeight="1">
      <c r="A13" s="2868" t="s">
        <v>1848</v>
      </c>
      <c r="B13" s="2869" t="s">
        <v>478</v>
      </c>
      <c r="C13" s="452">
        <f ca="1">IF(B1="",'数据-取费表'!P16,INDIRECT("'数据-取费表'!p"&amp;$K$1)+INDIRECT("'数据-取费表'!t"&amp;$K$1))</f>
        <v>34928</v>
      </c>
      <c r="D13" s="2870"/>
      <c r="E13" s="2871"/>
      <c r="F13" s="2872"/>
      <c r="G13" s="2838"/>
      <c r="H13" s="2839"/>
      <c r="I13" s="2839"/>
      <c r="J13" s="2839"/>
      <c r="K13" s="2840"/>
    </row>
    <row r="14" spans="1:31" s="2116" customFormat="1" ht="13.5" customHeight="1">
      <c r="A14" s="2868" t="s">
        <v>1849</v>
      </c>
      <c r="B14" s="2869" t="s">
        <v>479</v>
      </c>
      <c r="C14" s="53">
        <f ca="1">ROUND(C13*F14,0)</f>
        <v>1048</v>
      </c>
      <c r="D14" s="2870"/>
      <c r="E14" s="2871"/>
      <c r="F14" s="2873">
        <f>'数据-取费表'!B33</f>
        <v>0.03</v>
      </c>
      <c r="G14" s="2838" t="s">
        <v>480</v>
      </c>
      <c r="H14" s="2839"/>
      <c r="I14" s="2839"/>
      <c r="J14" s="2839"/>
      <c r="K14" s="2840"/>
    </row>
    <row r="15" spans="1:31" s="2116" customFormat="1" ht="13.5" customHeight="1">
      <c r="A15" s="2868" t="s">
        <v>1850</v>
      </c>
      <c r="B15" s="2869" t="s">
        <v>481</v>
      </c>
      <c r="C15" s="53">
        <f ca="1">ROUND(IF(B1="",SUMIF('数据-取费表'!C:C,"住宅",'数据-取费表'!P:P)*F15,IF(INDIRECT("'数据-取费表'!c"&amp;$K$1)="住宅",INDIRECT("'数据-取费表'!P"&amp;$K$1)*F15,0)),0)</f>
        <v>1012</v>
      </c>
      <c r="D15" s="2870"/>
      <c r="E15" s="2871"/>
      <c r="F15" s="2873">
        <f>'数据-取费表'!B34</f>
        <v>0.03</v>
      </c>
      <c r="G15" s="2838" t="s">
        <v>482</v>
      </c>
      <c r="H15" s="2839"/>
      <c r="I15" s="2839"/>
      <c r="J15" s="2839"/>
      <c r="K15" s="2840"/>
    </row>
    <row r="16" spans="1:31" s="2117" customFormat="1" ht="13.5" customHeight="1">
      <c r="A16" s="2868" t="s">
        <v>1851</v>
      </c>
      <c r="B16" s="2869" t="s">
        <v>483</v>
      </c>
      <c r="C16" s="53">
        <f ca="1">ROUND(D16*E16/10000,0)</f>
        <v>3479</v>
      </c>
      <c r="D16" s="2870">
        <f ca="1">IF(B1="",'数据-汇总表'!E3,INDIRECT("'数据-取费表'!K"&amp;$K$1)+INDIRECT("'数据-取费表'!S"&amp;$K$1))</f>
        <v>231926.37</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1852</v>
      </c>
      <c r="B17" s="2869" t="s">
        <v>484</v>
      </c>
      <c r="C17" s="2874">
        <f ca="1">ROUND(C13*F17,0)</f>
        <v>524</v>
      </c>
      <c r="D17" s="477"/>
      <c r="E17" s="2874"/>
      <c r="F17" s="2875">
        <f>'数据-取费表'!B36</f>
        <v>1.4999999999999999E-2</v>
      </c>
      <c r="G17" s="260" t="s">
        <v>485</v>
      </c>
      <c r="H17" s="2841"/>
      <c r="I17" s="2841"/>
      <c r="J17" s="2841"/>
      <c r="K17" s="278"/>
    </row>
    <row r="18" spans="1:14" s="2116" customFormat="1" ht="13.5" customHeight="1">
      <c r="A18" s="2876" t="s">
        <v>1853</v>
      </c>
      <c r="B18" s="2877" t="s">
        <v>486</v>
      </c>
      <c r="C18" s="2878">
        <f ca="1">SUM(C13:C17)</f>
        <v>40991</v>
      </c>
      <c r="D18" s="2879"/>
      <c r="E18" s="470"/>
      <c r="F18" s="470"/>
      <c r="G18" s="2842" t="s">
        <v>2431</v>
      </c>
      <c r="H18" s="2843"/>
      <c r="I18" s="2843"/>
      <c r="J18" s="2843"/>
      <c r="K18" s="2844"/>
    </row>
    <row r="19" spans="1:14" s="2116" customFormat="1" ht="13.5" customHeight="1">
      <c r="A19" s="2876" t="s">
        <v>1854</v>
      </c>
      <c r="B19" s="2877" t="s">
        <v>487</v>
      </c>
      <c r="C19" s="2834">
        <f ca="1">ROUND(D19*E19/10000,0)</f>
        <v>1855</v>
      </c>
      <c r="D19" s="2880">
        <f ca="1">D16</f>
        <v>231926.37</v>
      </c>
      <c r="E19" s="2834">
        <f>'数据-取费表'!B32</f>
        <v>80</v>
      </c>
      <c r="F19" s="470"/>
      <c r="G19" s="2838" t="s">
        <v>488</v>
      </c>
      <c r="H19" s="2839"/>
      <c r="I19" s="2843"/>
      <c r="J19" s="2843"/>
      <c r="K19" s="2844"/>
    </row>
    <row r="20" spans="1:14" s="2116" customFormat="1" ht="13.5" customHeight="1">
      <c r="A20" s="2876" t="s">
        <v>1855</v>
      </c>
      <c r="B20" s="2877" t="s">
        <v>489</v>
      </c>
      <c r="C20" s="2834">
        <f ca="1">C21+C22-IF(B1="",'数据-取费表'!B29,IF(G20="已全部缴纳",C21+C22,H20))</f>
        <v>3131</v>
      </c>
      <c r="D20" s="2880"/>
      <c r="E20" s="2834"/>
      <c r="F20" s="2881"/>
      <c r="G20" s="3112"/>
      <c r="H20" s="2836"/>
      <c r="I20" s="2837" t="s">
        <v>2656</v>
      </c>
      <c r="J20" s="2843"/>
      <c r="K20" s="2844"/>
    </row>
    <row r="21" spans="1:14" s="2116" customFormat="1" ht="13.5" customHeight="1">
      <c r="A21" s="2868" t="s">
        <v>1856</v>
      </c>
      <c r="B21" s="2869" t="s">
        <v>490</v>
      </c>
      <c r="C21" s="53">
        <f ca="1">ROUND(D21*E21/10000,0)</f>
        <v>3037</v>
      </c>
      <c r="D21" s="2870">
        <f ca="1">IF(B1="",'数据-汇总表'!E5,IF(INDIRECT("'数据-取费表'!c"&amp;$K$1)="住宅",INDIRECT("'数据-取费表'!k"&amp;$K$1),0))</f>
        <v>224968.58</v>
      </c>
      <c r="E21" s="53">
        <f>'数据-取费表'!B27</f>
        <v>135</v>
      </c>
      <c r="F21" s="2873"/>
      <c r="G21" s="26"/>
      <c r="H21" s="51"/>
      <c r="I21" s="51"/>
      <c r="J21" s="51"/>
      <c r="K21" s="2845"/>
    </row>
    <row r="22" spans="1:14" s="2116" customFormat="1" ht="13.5" customHeight="1">
      <c r="A22" s="2868" t="s">
        <v>1857</v>
      </c>
      <c r="B22" s="2869" t="s">
        <v>491</v>
      </c>
      <c r="C22" s="53">
        <f ca="1">ROUND(D22*E22/10000,0)</f>
        <v>94</v>
      </c>
      <c r="D22" s="2870">
        <f ca="1">IF(B1="",'数据-汇总表'!E6,IF(INDIRECT("'数据-取费表'!c"&amp;$K$1)="住宅",INDIRECT("'数据-取费表'!s"&amp;$K$1),INDIRECT("'数据-取费表'!k"&amp;$K$1)+INDIRECT("'数据-取费表'!s"&amp;$K$1)))</f>
        <v>6957.7900000000081</v>
      </c>
      <c r="E22" s="53">
        <f>'数据-取费表'!B28</f>
        <v>135</v>
      </c>
      <c r="F22" s="2873"/>
      <c r="G22" s="26"/>
      <c r="H22" s="51"/>
      <c r="I22" s="51"/>
      <c r="J22" s="51"/>
      <c r="K22" s="2845"/>
    </row>
    <row r="23" spans="1:14" s="2116" customFormat="1" ht="13.5" customHeight="1">
      <c r="A23" s="2876" t="s">
        <v>1858</v>
      </c>
      <c r="B23" s="3061" t="s">
        <v>2839</v>
      </c>
      <c r="C23" s="2878">
        <f ca="1">ROUND((C18+C19+C20)*F23,0)</f>
        <v>460</v>
      </c>
      <c r="D23" s="470"/>
      <c r="E23" s="470"/>
      <c r="F23" s="2882">
        <f>'数据-取费表'!B37</f>
        <v>0.01</v>
      </c>
      <c r="G23" s="2838" t="s">
        <v>2432</v>
      </c>
      <c r="H23" s="2839"/>
      <c r="I23" s="2839"/>
      <c r="J23" s="2839"/>
      <c r="K23" s="2840"/>
      <c r="L23" s="2118"/>
      <c r="M23" s="2118"/>
      <c r="N23" s="2118"/>
    </row>
    <row r="24" spans="1:14" s="2116" customFormat="1" ht="13.5" customHeight="1">
      <c r="A24" s="2876" t="s">
        <v>1859</v>
      </c>
      <c r="B24" s="3061" t="s">
        <v>2842</v>
      </c>
      <c r="C24" s="2878">
        <f ca="1">ROUND(C6*F24,0)</f>
        <v>1741</v>
      </c>
      <c r="D24" s="477"/>
      <c r="E24" s="475"/>
      <c r="F24" s="2882">
        <f>'数据-取费表'!B38</f>
        <v>0.01</v>
      </c>
      <c r="G24" s="2847" t="s">
        <v>498</v>
      </c>
      <c r="H24" s="2841"/>
      <c r="I24" s="2841"/>
      <c r="J24" s="2841"/>
      <c r="K24" s="278"/>
      <c r="L24" s="2118"/>
      <c r="M24" s="2118"/>
      <c r="N24" s="2118"/>
    </row>
    <row r="25" spans="1:14" s="2119" customFormat="1" ht="13.5" customHeight="1">
      <c r="A25" s="2876" t="s">
        <v>1860</v>
      </c>
      <c r="B25" s="3061" t="s">
        <v>2840</v>
      </c>
      <c r="C25" s="469">
        <f>ROUND(F25/(1+'数据-取费表'!C42),4)</f>
        <v>2.9000000000000001E-2</v>
      </c>
      <c r="D25" s="464" t="s">
        <v>2834</v>
      </c>
      <c r="E25" s="471"/>
      <c r="F25" s="2882">
        <f>'数据-取费表'!B48+'数据-取费表'!B49</f>
        <v>3.0499999999999999E-2</v>
      </c>
      <c r="G25" s="2846" t="s">
        <v>2290</v>
      </c>
      <c r="H25" s="2839"/>
      <c r="I25" s="2839"/>
      <c r="J25" s="2839"/>
      <c r="K25" s="2840"/>
    </row>
    <row r="26" spans="1:14" s="2118" customFormat="1" ht="13.5" customHeight="1">
      <c r="A26" s="2876" t="s">
        <v>1861</v>
      </c>
      <c r="B26" s="3062" t="s">
        <v>2841</v>
      </c>
      <c r="C26" s="2883">
        <f ca="1">C28</f>
        <v>1706</v>
      </c>
      <c r="D26" s="469">
        <f ca="1">C27</f>
        <v>7.4200000000000002E-2</v>
      </c>
      <c r="E26" s="471" t="s">
        <v>494</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1856</v>
      </c>
      <c r="B27" s="2884" t="s">
        <v>495</v>
      </c>
      <c r="C27" s="2885">
        <f ca="1">ROUND(IF('数据-取费表'!B22&lt;=1,(1+C25)*F26*'数据-取费表'!B24,(1+C25)*(POWER((1+F26),'数据-取费表'!B24)-1)),4)</f>
        <v>7.4200000000000002E-2</v>
      </c>
      <c r="D27" s="474"/>
      <c r="E27" s="475"/>
      <c r="F27" s="476"/>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3" t="s">
        <v>1857</v>
      </c>
      <c r="B28" s="2884" t="s">
        <v>2843</v>
      </c>
      <c r="C28" s="2886">
        <f ca="1">ROUND(IF('数据-取费表'!B22&lt;=1,(C18+C19+C20+C23+C24)*F26*'数据-取费表'!B24/2,(C18+C19+C20+C23+C24)*(POWER((1+F26),'数据-取费表'!B24/2)-1)),0)</f>
        <v>1706</v>
      </c>
      <c r="D28" s="474"/>
      <c r="E28" s="475"/>
      <c r="F28" s="476"/>
      <c r="G28" s="2596" t="str">
        <f>IF('数据-取费表'!B22&lt;=1,"（1）-（4）项×年利率×建设期÷2","（1）-（4）项×((1+年利率)^(建设期÷2)-1)")</f>
        <v>（1）-（4）项×((1+年利率)^(建设期÷2)-1)</v>
      </c>
      <c r="H28" s="2841"/>
      <c r="I28" s="2841"/>
      <c r="J28" s="2841"/>
      <c r="K28" s="278"/>
    </row>
    <row r="29" spans="1:14" s="2120" customFormat="1" ht="13.5" customHeight="1">
      <c r="A29" s="2887" t="s">
        <v>1862</v>
      </c>
      <c r="B29" s="2877" t="s">
        <v>496</v>
      </c>
      <c r="C29" s="2878">
        <f ca="1">ROUND(C6*F29/(1+'数据-取费表'!C42),0)</f>
        <v>9288</v>
      </c>
      <c r="D29" s="470"/>
      <c r="E29" s="470"/>
      <c r="F29" s="3063">
        <f>'数据-取费表'!B41</f>
        <v>5.6000000000000001E-2</v>
      </c>
      <c r="G29" s="2847" t="s">
        <v>497</v>
      </c>
      <c r="H29" s="2839"/>
      <c r="I29" s="2839"/>
      <c r="J29" s="2839"/>
      <c r="K29" s="2840"/>
    </row>
    <row r="30" spans="1:14" s="2121" customFormat="1" ht="13.5" customHeight="1">
      <c r="A30" s="1634" t="s">
        <v>1863</v>
      </c>
      <c r="B30" s="2888" t="s">
        <v>499</v>
      </c>
      <c r="C30" s="2883">
        <f ca="1">C31</f>
        <v>59172</v>
      </c>
      <c r="D30" s="479">
        <f ca="1">C32</f>
        <v>0.1032</v>
      </c>
      <c r="E30" s="471" t="s">
        <v>494</v>
      </c>
      <c r="F30" s="473"/>
      <c r="G30" s="2838" t="s">
        <v>500</v>
      </c>
      <c r="H30" s="2839"/>
      <c r="I30" s="2839"/>
      <c r="J30" s="2839"/>
      <c r="K30" s="2840"/>
    </row>
    <row r="31" spans="1:14" s="2120" customFormat="1" ht="13.5" customHeight="1">
      <c r="A31" s="803" t="s">
        <v>1856</v>
      </c>
      <c r="B31" s="2884"/>
      <c r="C31" s="452">
        <f ca="1">C18+C19+C20+C23+C24+C26+C29</f>
        <v>59172</v>
      </c>
      <c r="D31" s="474"/>
      <c r="E31" s="475"/>
      <c r="F31" s="476"/>
      <c r="G31" s="260"/>
      <c r="H31" s="2841"/>
      <c r="I31" s="2841"/>
      <c r="J31" s="2841"/>
      <c r="K31" s="278"/>
    </row>
    <row r="32" spans="1:14" s="2120" customFormat="1" ht="13.5" customHeight="1">
      <c r="A32" s="803" t="s">
        <v>1857</v>
      </c>
      <c r="B32" s="2884"/>
      <c r="C32" s="53">
        <f ca="1">ROUND(C25+D26,4)</f>
        <v>0.1032</v>
      </c>
      <c r="D32" s="474"/>
      <c r="E32" s="475"/>
      <c r="F32" s="476"/>
      <c r="G32" s="260"/>
      <c r="H32" s="2841"/>
      <c r="I32" s="2841"/>
      <c r="J32" s="2841"/>
      <c r="K32" s="278"/>
    </row>
    <row r="33" spans="1:11" s="2122" customFormat="1" ht="13.5" customHeight="1">
      <c r="A33" s="3060" t="s">
        <v>2838</v>
      </c>
      <c r="B33" s="3058" t="s">
        <v>2836</v>
      </c>
      <c r="C33" s="480">
        <f ca="1">C35</f>
        <v>4818</v>
      </c>
      <c r="D33" s="469">
        <f ca="1">C34</f>
        <v>0.10290000000000001</v>
      </c>
      <c r="E33" s="471" t="s">
        <v>494</v>
      </c>
      <c r="F33" s="481">
        <f ca="1">IF(B1="",'数据-取费表'!Q16,INDIRECT("'数据-取费表'!q"&amp;$K$1))</f>
        <v>0.1</v>
      </c>
      <c r="G33" s="2842"/>
      <c r="H33" s="2843"/>
      <c r="I33" s="2843"/>
      <c r="J33" s="2843"/>
      <c r="K33" s="2844"/>
    </row>
    <row r="34" spans="1:11" s="2123" customFormat="1" ht="13.5" customHeight="1">
      <c r="A34" s="377" t="s">
        <v>1856</v>
      </c>
      <c r="B34" s="2889" t="s">
        <v>501</v>
      </c>
      <c r="C34" s="474">
        <f ca="1">ROUND((1+C25)*F33,4)</f>
        <v>0.10290000000000001</v>
      </c>
      <c r="D34" s="474"/>
      <c r="E34" s="475"/>
      <c r="F34" s="482"/>
      <c r="G34" s="260" t="s">
        <v>2291</v>
      </c>
      <c r="H34" s="2841"/>
      <c r="I34" s="2841"/>
      <c r="J34" s="2841"/>
      <c r="K34" s="278"/>
    </row>
    <row r="35" spans="1:11" s="2123" customFormat="1" ht="13.5" customHeight="1" thickBot="1">
      <c r="A35" s="1635" t="s">
        <v>1857</v>
      </c>
      <c r="B35" s="3059" t="s">
        <v>2844</v>
      </c>
      <c r="C35" s="1627">
        <f ca="1">ROUND((C18+C19+C20+C23+C24)*F33,0)</f>
        <v>4818</v>
      </c>
      <c r="D35" s="1628"/>
      <c r="E35" s="2890"/>
      <c r="F35" s="1629"/>
      <c r="G35" s="2848"/>
      <c r="H35" s="2849"/>
      <c r="I35" s="2849"/>
      <c r="J35" s="2849"/>
      <c r="K35" s="2850"/>
    </row>
    <row r="36" spans="1:11" s="2085" customFormat="1" ht="13.5" customHeight="1" thickBot="1">
      <c r="A36" s="283" t="s">
        <v>1844</v>
      </c>
      <c r="B36" s="2852"/>
      <c r="C36" s="2891">
        <f ca="1">ROUND((C6-C30-C33)/(1+D30+D33),0)</f>
        <v>91332</v>
      </c>
      <c r="D36" s="2852"/>
      <c r="E36" s="2852"/>
      <c r="F36" s="2852"/>
      <c r="G36" s="2851" t="s">
        <v>2845</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186" t="str">
        <f>项目基本情况!B1</f>
        <v>湖南省长沙市望城区金山桥街道出让国有建设用地使用权市场价格预评估</v>
      </c>
      <c r="C37" s="3186"/>
      <c r="D37" s="3186"/>
      <c r="E37" s="3186"/>
      <c r="F37" s="3186"/>
      <c r="G37" s="3186"/>
      <c r="H37" s="3186"/>
      <c r="I37" s="3186"/>
    </row>
    <row r="38" spans="1:9">
      <c r="A38" s="1655"/>
      <c r="B38" s="1655"/>
    </row>
    <row r="39" spans="1:9">
      <c r="A39" s="1653" t="s">
        <v>1901</v>
      </c>
      <c r="B39" s="1653" t="s">
        <v>2047</v>
      </c>
    </row>
    <row r="40" spans="1:9">
      <c r="A40" s="1653"/>
      <c r="B40" s="1653">
        <f>项目基本情况!B5</f>
        <v>0</v>
      </c>
    </row>
    <row r="41" spans="1:9">
      <c r="A41" s="1653"/>
      <c r="B41" s="1653"/>
    </row>
    <row r="42" spans="1:9">
      <c r="A42" s="1653" t="s">
        <v>1901</v>
      </c>
      <c r="B42" s="1653" t="s">
        <v>2048</v>
      </c>
    </row>
    <row r="43" spans="1:9">
      <c r="A43" s="1653"/>
      <c r="B43" s="1653" t="s">
        <v>1903</v>
      </c>
    </row>
    <row r="44" spans="1:9">
      <c r="A44" s="1653"/>
      <c r="B44" s="1653"/>
    </row>
    <row r="45" spans="1:9">
      <c r="A45" s="1653" t="s">
        <v>1901</v>
      </c>
      <c r="B45" s="1653" t="s">
        <v>2046</v>
      </c>
    </row>
    <row r="46" spans="1:9" s="1653" customFormat="1" ht="12.75">
      <c r="B46" s="1653" t="str">
        <f>项目基本情况!K4</f>
        <v>欧红伟、梁津</v>
      </c>
    </row>
    <row r="47" spans="1:9">
      <c r="A47" s="1653"/>
      <c r="B47" s="1653"/>
    </row>
    <row r="48" spans="1:9">
      <c r="A48" s="1653" t="s">
        <v>1901</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465</v>
      </c>
      <c r="B1" s="2835"/>
      <c r="C1" s="2104"/>
      <c r="D1" s="2104"/>
      <c r="E1" s="2104"/>
      <c r="F1" s="2104"/>
      <c r="G1" s="2104"/>
      <c r="H1" s="2104"/>
      <c r="I1" s="2104"/>
      <c r="J1" s="2104"/>
      <c r="K1" s="424">
        <f>MATCH(B1,'数据-取费表'!A6:A16,0)+5</f>
        <v>8</v>
      </c>
    </row>
    <row r="2" spans="1:41" s="2041" customFormat="1" ht="18" customHeight="1">
      <c r="A2" s="425" t="s">
        <v>466</v>
      </c>
      <c r="B2" s="426">
        <f ca="1">C32</f>
        <v>0</v>
      </c>
      <c r="C2" s="2104"/>
      <c r="D2" s="2104"/>
      <c r="E2" s="2104"/>
      <c r="F2" s="2104"/>
      <c r="G2" s="2104"/>
      <c r="H2" s="2104"/>
      <c r="I2" s="2104"/>
      <c r="J2" s="2104"/>
      <c r="K2" s="2104"/>
    </row>
    <row r="3" spans="1:41" s="2041" customFormat="1" ht="18" customHeight="1">
      <c r="A3" s="1378" t="s">
        <v>1684</v>
      </c>
      <c r="B3" s="427">
        <f ca="1">ROUND(B2*10000/IF(B1="",'数据-汇总表'!E3,INDIRECT("'数据-取费表'!K"&amp;$K$1)),0)</f>
        <v>0</v>
      </c>
      <c r="C3" s="2104"/>
      <c r="D3" s="2104"/>
      <c r="E3" s="2104"/>
      <c r="F3" s="2104"/>
      <c r="G3" s="2104"/>
      <c r="H3" s="2104"/>
      <c r="I3" s="2104"/>
      <c r="J3" s="2104"/>
      <c r="K3" s="2104"/>
    </row>
    <row r="4" spans="1:41" s="2041" customFormat="1" ht="18" customHeight="1">
      <c r="A4" s="428" t="s">
        <v>467</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468</v>
      </c>
      <c r="D5" s="2104"/>
      <c r="E5" s="2104"/>
      <c r="F5" s="2104"/>
      <c r="G5" s="2104"/>
      <c r="H5" s="2104"/>
      <c r="I5" s="2104"/>
      <c r="J5" s="2104"/>
      <c r="K5" s="2104"/>
    </row>
    <row r="6" spans="1:41" s="2111" customFormat="1" ht="16.5" customHeight="1">
      <c r="A6" s="434" t="s">
        <v>2657</v>
      </c>
      <c r="B6" s="435"/>
      <c r="C6" s="1622">
        <f>SUM(C10:K10)</f>
        <v>0</v>
      </c>
      <c r="D6" s="2109"/>
      <c r="E6" s="2109"/>
      <c r="F6" s="2109"/>
      <c r="G6" s="2109"/>
      <c r="H6" s="2109"/>
      <c r="I6" s="2109"/>
      <c r="J6" s="2109"/>
      <c r="K6" s="2110"/>
    </row>
    <row r="7" spans="1:41" s="2113" customFormat="1" ht="15">
      <c r="A7" s="436" t="s">
        <v>469</v>
      </c>
      <c r="B7" s="437" t="s">
        <v>470</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40" t="s">
        <v>471</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6" t="s">
        <v>469</v>
      </c>
      <c r="B12" s="446" t="s">
        <v>470</v>
      </c>
      <c r="C12" s="447" t="s">
        <v>474</v>
      </c>
      <c r="D12" s="448" t="s">
        <v>475</v>
      </c>
      <c r="E12" s="448" t="s">
        <v>476</v>
      </c>
      <c r="F12" s="448" t="s">
        <v>477</v>
      </c>
      <c r="G12" s="446"/>
      <c r="H12" s="449"/>
      <c r="I12" s="449"/>
      <c r="J12" s="449"/>
      <c r="K12" s="450"/>
    </row>
    <row r="13" spans="1:41" s="2116" customFormat="1" ht="13.5" customHeight="1">
      <c r="A13" s="1632" t="s">
        <v>1848</v>
      </c>
      <c r="B13" s="451" t="s">
        <v>478</v>
      </c>
      <c r="C13" s="452">
        <f ca="1">IF(B1="",'数据-取费表'!M16,INDIRECT("'数据-取费表'!M"&amp;$K$1)+INDIRECT("'数据-取费表'!t"&amp;$K$1))</f>
        <v>34928</v>
      </c>
      <c r="D13" s="453"/>
      <c r="E13" s="367"/>
      <c r="F13" s="454"/>
      <c r="G13" s="446"/>
      <c r="H13" s="449"/>
      <c r="I13" s="449"/>
      <c r="J13" s="449"/>
      <c r="K13" s="450"/>
    </row>
    <row r="14" spans="1:41" s="2116" customFormat="1" ht="13.5" customHeight="1">
      <c r="A14" s="1632" t="s">
        <v>1849</v>
      </c>
      <c r="B14" s="451" t="s">
        <v>479</v>
      </c>
      <c r="C14" s="53">
        <f ca="1">ROUND(C13*F14,0)</f>
        <v>1048</v>
      </c>
      <c r="D14" s="453"/>
      <c r="E14" s="367"/>
      <c r="F14" s="455">
        <f>'数据-取费表'!B33</f>
        <v>0.03</v>
      </c>
      <c r="G14" s="446" t="s">
        <v>502</v>
      </c>
      <c r="H14" s="449"/>
      <c r="I14" s="449"/>
      <c r="J14" s="449"/>
      <c r="K14" s="450"/>
    </row>
    <row r="15" spans="1:41" s="2116" customFormat="1" ht="13.5" customHeight="1">
      <c r="A15" s="1632" t="s">
        <v>1850</v>
      </c>
      <c r="B15" s="451" t="s">
        <v>481</v>
      </c>
      <c r="C15" s="53">
        <f ca="1">ROUND(IF(B1="",SUMIF('数据-取费表'!C:C,"住宅",'数据-取费表'!M:M)*F15,IF(INDIRECT("'数据-取费表'!c"&amp;$K$1)="住宅",INDIRECT("'数据-取费表'!M"&amp;$K$1)*F15,0)),0)</f>
        <v>1012</v>
      </c>
      <c r="D15" s="453"/>
      <c r="E15" s="367"/>
      <c r="F15" s="455">
        <f>'数据-取费表'!B34</f>
        <v>0.03</v>
      </c>
      <c r="G15" s="446" t="s">
        <v>502</v>
      </c>
      <c r="H15" s="449"/>
      <c r="I15" s="449"/>
      <c r="J15" s="449"/>
      <c r="K15" s="450"/>
    </row>
    <row r="16" spans="1:41" s="2117" customFormat="1" ht="13.5" customHeight="1">
      <c r="A16" s="1632" t="s">
        <v>1851</v>
      </c>
      <c r="B16" s="451" t="s">
        <v>483</v>
      </c>
      <c r="C16" s="53">
        <f ca="1">ROUND(D16*E16/10000,0)</f>
        <v>3479</v>
      </c>
      <c r="D16" s="453">
        <f ca="1">IF(B1="",'数据-汇总表'!E3,INDIRECT("'数据-取费表'!K"&amp;$K$1)+INDIRECT("'数据-取费表'!S"&amp;$K$1))</f>
        <v>231926.37</v>
      </c>
      <c r="E16" s="53">
        <f>'数据-取费表'!B35</f>
        <v>150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51" t="s">
        <v>484</v>
      </c>
      <c r="C17" s="456">
        <f ca="1">ROUND(C13*F17,0)</f>
        <v>524</v>
      </c>
      <c r="D17" s="457"/>
      <c r="E17" s="456"/>
      <c r="F17" s="458">
        <f>'数据-取费表'!B36</f>
        <v>1.4999999999999999E-2</v>
      </c>
      <c r="G17" s="446" t="s">
        <v>502</v>
      </c>
      <c r="H17" s="459"/>
      <c r="I17" s="459"/>
      <c r="J17" s="459"/>
      <c r="K17" s="460"/>
    </row>
    <row r="18" spans="1:14" s="2119" customFormat="1" ht="13.5" customHeight="1">
      <c r="A18" s="1633" t="s">
        <v>1853</v>
      </c>
      <c r="B18" s="461" t="s">
        <v>486</v>
      </c>
      <c r="C18" s="462">
        <f ca="1">SUM(C13:C17)</f>
        <v>40991</v>
      </c>
      <c r="D18" s="463"/>
      <c r="E18" s="464"/>
      <c r="F18" s="464"/>
      <c r="G18" s="1326" t="s">
        <v>2433</v>
      </c>
      <c r="H18" s="449"/>
      <c r="I18" s="449"/>
      <c r="J18" s="449"/>
      <c r="K18" s="450"/>
    </row>
    <row r="19" spans="1:14" s="2119" customFormat="1" ht="13.5" customHeight="1">
      <c r="A19" s="1633" t="s">
        <v>1854</v>
      </c>
      <c r="B19" s="461" t="s">
        <v>492</v>
      </c>
      <c r="C19" s="462">
        <f ca="1">ROUND(C18*F19,0)</f>
        <v>410</v>
      </c>
      <c r="D19" s="464"/>
      <c r="E19" s="464"/>
      <c r="F19" s="468">
        <f>'数据-取费表'!B37</f>
        <v>0.01</v>
      </c>
      <c r="G19" s="446" t="s">
        <v>503</v>
      </c>
      <c r="H19" s="449"/>
      <c r="I19" s="449"/>
      <c r="J19" s="449"/>
      <c r="K19" s="450"/>
      <c r="L19" s="2121"/>
      <c r="M19" s="2121"/>
      <c r="N19" s="2121"/>
    </row>
    <row r="20" spans="1:14" s="2119" customFormat="1" ht="13.5" customHeight="1">
      <c r="A20" s="1633" t="s">
        <v>1855</v>
      </c>
      <c r="B20" s="461" t="s">
        <v>504</v>
      </c>
      <c r="C20" s="3056">
        <f>F20</f>
        <v>0.01</v>
      </c>
      <c r="D20" s="471" t="s">
        <v>505</v>
      </c>
      <c r="E20" s="471"/>
      <c r="F20" s="488">
        <f>'数据-取费表'!B38</f>
        <v>0.01</v>
      </c>
      <c r="G20" s="1326" t="s">
        <v>506</v>
      </c>
      <c r="H20" s="449"/>
      <c r="I20" s="449"/>
      <c r="J20" s="449"/>
      <c r="K20" s="450"/>
      <c r="L20" s="2121"/>
      <c r="M20" s="2121"/>
      <c r="N20" s="2121"/>
    </row>
    <row r="21" spans="1:14" s="2121" customFormat="1" ht="13.5" customHeight="1">
      <c r="A21" s="1633" t="s">
        <v>1858</v>
      </c>
      <c r="B21" s="463" t="s">
        <v>493</v>
      </c>
      <c r="C21" s="472">
        <f ca="1">C22</f>
        <v>1466</v>
      </c>
      <c r="D21" s="469">
        <f ca="1">C23</f>
        <v>4.0000000000000002E-4</v>
      </c>
      <c r="E21" s="471" t="s">
        <v>507</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8" t="s">
        <v>2455</v>
      </c>
    </row>
    <row r="22" spans="1:14" s="2120" customFormat="1" ht="13.5" customHeight="1">
      <c r="A22" s="1632" t="s">
        <v>1848</v>
      </c>
      <c r="B22" s="1327" t="s">
        <v>2436</v>
      </c>
      <c r="C22" s="489">
        <f ca="1">ROUND(IF('数据-取费表'!B22&lt;=1,(C18+C19)*F21*'数据-取费表'!B20/2,(C18+C19)*(POWER((1+F21),'数据-取费表'!B20/2)-1)),0)</f>
        <v>1466</v>
      </c>
      <c r="D22" s="474"/>
      <c r="E22" s="475"/>
      <c r="F22" s="476"/>
      <c r="G22" s="2591" t="str">
        <f>IF('数据-取费表'!B22&lt;=1,"((1)+(2))×年利率×建设期÷2","((1)+(2))×((1+年利率)^(建设期÷2)-1)")</f>
        <v>((1)+(2))×((1+年利率)^(建设期÷2)-1)</v>
      </c>
      <c r="H22" s="459"/>
      <c r="I22" s="459"/>
      <c r="J22" s="459"/>
      <c r="K22" s="460"/>
    </row>
    <row r="23" spans="1:14" s="2120" customFormat="1" ht="13.5" customHeight="1">
      <c r="A23" s="1632" t="s">
        <v>1849</v>
      </c>
      <c r="B23" s="1327" t="s">
        <v>508</v>
      </c>
      <c r="C23" s="490">
        <f ca="1">ROUND(IF('数据-取费表'!B22&lt;=1,F20*F21*'数据-取费表'!B20/2,F20*(POWER((1+F21),'数据-取费表'!B20/2)-1)),4)</f>
        <v>4.0000000000000002E-4</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3" t="s">
        <v>1859</v>
      </c>
      <c r="B24" s="3058" t="s">
        <v>2837</v>
      </c>
      <c r="C24" s="480">
        <f ca="1">C25</f>
        <v>4140</v>
      </c>
      <c r="D24" s="491">
        <f ca="1">C26</f>
        <v>1E-3</v>
      </c>
      <c r="E24" s="471" t="s">
        <v>507</v>
      </c>
      <c r="F24" s="481">
        <f ca="1">IF(B1="",'数据-取费表'!Q16,INDIRECT("'数据-取费表'!q"&amp;$K$1))</f>
        <v>0.1</v>
      </c>
      <c r="G24" s="446"/>
      <c r="H24" s="449"/>
      <c r="I24" s="449"/>
      <c r="J24" s="449"/>
      <c r="K24" s="450"/>
    </row>
    <row r="25" spans="1:14" s="2120" customFormat="1" ht="13.5" customHeight="1">
      <c r="A25" s="1632" t="s">
        <v>1848</v>
      </c>
      <c r="B25" s="1327" t="s">
        <v>2437</v>
      </c>
      <c r="C25" s="492">
        <f ca="1">ROUND((C18+C19)*F24,0)</f>
        <v>4140</v>
      </c>
      <c r="D25" s="474"/>
      <c r="E25" s="475"/>
      <c r="F25" s="482"/>
      <c r="G25" s="1325" t="s">
        <v>2434</v>
      </c>
      <c r="H25" s="459"/>
      <c r="I25" s="459"/>
      <c r="J25" s="459"/>
      <c r="K25" s="460"/>
    </row>
    <row r="26" spans="1:14" s="2120" customFormat="1" ht="13.5" customHeight="1">
      <c r="A26" s="1632" t="s">
        <v>1849</v>
      </c>
      <c r="B26" s="1327" t="s">
        <v>509</v>
      </c>
      <c r="C26" s="493">
        <f ca="1">ROUND(F20*F24,4)</f>
        <v>1E-3</v>
      </c>
      <c r="D26" s="474"/>
      <c r="E26" s="483"/>
      <c r="F26" s="482"/>
      <c r="G26" s="1325" t="s">
        <v>510</v>
      </c>
      <c r="H26" s="459"/>
      <c r="I26" s="459"/>
      <c r="J26" s="459"/>
      <c r="K26" s="460"/>
    </row>
    <row r="27" spans="1:14" s="2120" customFormat="1" ht="13.5" customHeight="1">
      <c r="A27" s="1636" t="s">
        <v>1867</v>
      </c>
      <c r="B27" s="461" t="s">
        <v>511</v>
      </c>
      <c r="C27" s="3057">
        <f>ROUND(F27/(1+'数据-取费表'!C42),4)</f>
        <v>5.33E-2</v>
      </c>
      <c r="D27" s="464" t="s">
        <v>2835</v>
      </c>
      <c r="E27" s="464"/>
      <c r="F27" s="468">
        <f>'数据-取费表'!B41</f>
        <v>5.6000000000000001E-2</v>
      </c>
      <c r="G27" s="1960" t="s">
        <v>2292</v>
      </c>
      <c r="H27" s="449"/>
      <c r="I27" s="449"/>
      <c r="J27" s="449"/>
      <c r="K27" s="450"/>
    </row>
    <row r="28" spans="1:14" s="2121" customFormat="1" ht="13.5" customHeight="1">
      <c r="A28" s="1636" t="s">
        <v>1868</v>
      </c>
      <c r="B28" s="478" t="s">
        <v>512</v>
      </c>
      <c r="C28" s="472">
        <f ca="1">ROUND((C18+C19+C21+C24)/(1-C20-D21-D24-C27),0)</f>
        <v>50259</v>
      </c>
      <c r="D28" s="479"/>
      <c r="E28" s="471"/>
      <c r="F28" s="473"/>
      <c r="G28" s="1326" t="s">
        <v>2435</v>
      </c>
      <c r="H28" s="449"/>
      <c r="I28" s="449"/>
      <c r="J28" s="449"/>
      <c r="K28" s="450"/>
    </row>
    <row r="29" spans="1:14" s="2121" customFormat="1" ht="13.5" customHeight="1">
      <c r="A29" s="1636" t="s">
        <v>1869</v>
      </c>
      <c r="B29" s="478" t="s">
        <v>513</v>
      </c>
      <c r="C29" s="494">
        <f ca="1">IF(B1="",'数据-取费表'!N16,INDIRECT("'数据-取费表'!N"&amp;$K$1))</f>
        <v>0</v>
      </c>
      <c r="D29" s="495"/>
      <c r="E29" s="496"/>
      <c r="F29" s="497"/>
      <c r="G29" s="446"/>
      <c r="H29" s="449"/>
      <c r="I29" s="449"/>
      <c r="J29" s="449"/>
      <c r="K29" s="450"/>
    </row>
    <row r="30" spans="1:14" s="2121" customFormat="1" ht="13.5" customHeight="1">
      <c r="A30" s="445">
        <v>2</v>
      </c>
      <c r="B30" s="478" t="s">
        <v>514</v>
      </c>
      <c r="C30" s="499">
        <f ca="1">ROUND(C28*C29,0)</f>
        <v>0</v>
      </c>
      <c r="D30" s="495"/>
      <c r="E30" s="500"/>
      <c r="F30" s="501"/>
      <c r="G30" s="1328" t="s">
        <v>515</v>
      </c>
      <c r="H30" s="498"/>
      <c r="I30" s="498"/>
      <c r="J30" s="449"/>
      <c r="K30" s="450"/>
    </row>
    <row r="31" spans="1:14" s="2126" customFormat="1" ht="13.5" customHeight="1">
      <c r="A31" s="2506" t="s">
        <v>1865</v>
      </c>
      <c r="B31" s="1329"/>
      <c r="C31" s="502">
        <f>ROUND(C6*F31/(1+'数据-取费表'!C42),0)</f>
        <v>0</v>
      </c>
      <c r="D31" s="1330"/>
      <c r="E31" s="1330"/>
      <c r="F31" s="503">
        <f>'数据-取费表'!B41</f>
        <v>5.6000000000000001E-2</v>
      </c>
      <c r="G31" s="1331"/>
      <c r="H31" s="1331"/>
      <c r="I31" s="1331"/>
      <c r="J31" s="1332"/>
      <c r="K31" s="1333"/>
    </row>
    <row r="32" spans="1:14" s="2085" customFormat="1" ht="13.5" customHeight="1" thickBot="1">
      <c r="A32" s="484" t="s">
        <v>1866</v>
      </c>
      <c r="B32" s="485"/>
      <c r="C32" s="486">
        <f ca="1">IF('数据-取费表'!B20&lt;=1,(C6-C30-C31)/(1+F21*'数据-取费表'!B20+F24)/(1+'数据-取费表'!B48+'数据-取费表'!B49),(C6-C30-C31)/(1+(POWER((1+F21),'数据-取费表'!B20)-1)+F24)/(1+'数据-取费表'!B48+'数据-取费表'!B49))</f>
        <v>0</v>
      </c>
      <c r="D32" s="485"/>
      <c r="E32" s="485"/>
      <c r="F32" s="485"/>
      <c r="G32" s="2507" t="s">
        <v>2456</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516</v>
      </c>
      <c r="B1" s="505"/>
      <c r="C1" s="506" t="s">
        <v>597</v>
      </c>
      <c r="D1" s="507"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510"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2"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30"/>
      <c r="AC3" s="430"/>
    </row>
    <row r="4" spans="1:29" s="1335" customFormat="1" ht="28.5" customHeight="1">
      <c r="A4" s="513" t="s">
        <v>520</v>
      </c>
      <c r="B4" s="429"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29" s="1335" customFormat="1" ht="28.5" customHeight="1" thickBot="1">
      <c r="A5" s="431"/>
      <c r="B5" s="432" t="e">
        <f>ROUND(B2/('数据-汇总表'!D3/666.67),0)</f>
        <v>#DIV/0!</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30"/>
    </row>
    <row r="6" spans="1:29" ht="15">
      <c r="A6" s="514" t="s">
        <v>521</v>
      </c>
      <c r="B6" s="515"/>
      <c r="C6" s="3360" t="s">
        <v>522</v>
      </c>
      <c r="D6" s="3361"/>
      <c r="E6" s="3394" t="s">
        <v>523</v>
      </c>
      <c r="F6" s="3395"/>
      <c r="G6" s="3360" t="s">
        <v>524</v>
      </c>
      <c r="H6" s="3361"/>
      <c r="I6" s="3360" t="s">
        <v>525</v>
      </c>
      <c r="J6" s="3361"/>
      <c r="K6" s="516" t="s">
        <v>526</v>
      </c>
      <c r="L6" s="2133"/>
      <c r="M6" s="2134"/>
      <c r="N6" s="2134"/>
      <c r="O6" s="2134"/>
      <c r="P6" s="3362" t="s">
        <v>527</v>
      </c>
      <c r="Q6" s="3363"/>
      <c r="R6" s="3368" t="s">
        <v>523</v>
      </c>
      <c r="S6" s="3369"/>
      <c r="T6" s="3368" t="s">
        <v>524</v>
      </c>
      <c r="U6" s="3369"/>
      <c r="V6" s="3355" t="s">
        <v>525</v>
      </c>
      <c r="W6" s="3355"/>
      <c r="X6" s="1566"/>
      <c r="Y6" s="3368" t="s">
        <v>527</v>
      </c>
      <c r="Z6" s="3369"/>
      <c r="AA6" s="3357" t="s">
        <v>523</v>
      </c>
      <c r="AB6" s="3358" t="s">
        <v>524</v>
      </c>
      <c r="AC6" s="3357" t="s">
        <v>525</v>
      </c>
    </row>
    <row r="7" spans="1:29" ht="15">
      <c r="A7" s="517"/>
      <c r="B7" s="518"/>
      <c r="C7" s="3376" t="s">
        <v>2929</v>
      </c>
      <c r="D7" s="3377"/>
      <c r="E7" s="3396" t="s">
        <v>2930</v>
      </c>
      <c r="F7" s="3397"/>
      <c r="G7" s="3376" t="s">
        <v>2931</v>
      </c>
      <c r="H7" s="3377"/>
      <c r="I7" s="3376" t="s">
        <v>2932</v>
      </c>
      <c r="J7" s="3377"/>
      <c r="K7" s="516"/>
      <c r="L7" s="2133"/>
      <c r="M7" s="2134"/>
      <c r="N7" s="2134"/>
      <c r="O7" s="2134"/>
      <c r="P7" s="3364"/>
      <c r="Q7" s="3365"/>
      <c r="R7" s="3370"/>
      <c r="S7" s="3371"/>
      <c r="T7" s="3370"/>
      <c r="U7" s="3371"/>
      <c r="V7" s="3355"/>
      <c r="W7" s="3355"/>
      <c r="X7" s="1566"/>
      <c r="Y7" s="3370"/>
      <c r="Z7" s="3371"/>
      <c r="AA7" s="3358"/>
      <c r="AB7" s="3358"/>
      <c r="AC7" s="3358"/>
    </row>
    <row r="8" spans="1:29" ht="15.75" thickBot="1">
      <c r="A8" s="519"/>
      <c r="B8" s="520"/>
      <c r="C8" s="3374" t="s">
        <v>2933</v>
      </c>
      <c r="D8" s="3375"/>
      <c r="E8" s="3392" t="s">
        <v>2933</v>
      </c>
      <c r="F8" s="3393"/>
      <c r="G8" s="3374" t="s">
        <v>2933</v>
      </c>
      <c r="H8" s="3375"/>
      <c r="I8" s="3374" t="s">
        <v>2933</v>
      </c>
      <c r="J8" s="3375"/>
      <c r="K8" s="516" t="s">
        <v>528</v>
      </c>
      <c r="L8" s="2133"/>
      <c r="M8" s="2134"/>
      <c r="N8" s="2134"/>
      <c r="O8" s="2134"/>
      <c r="P8" s="3366"/>
      <c r="Q8" s="3367"/>
      <c r="R8" s="3370"/>
      <c r="S8" s="3371"/>
      <c r="T8" s="3372"/>
      <c r="U8" s="3373"/>
      <c r="V8" s="3355"/>
      <c r="W8" s="3355"/>
      <c r="X8" s="1566"/>
      <c r="Y8" s="3372"/>
      <c r="Z8" s="3373"/>
      <c r="AA8" s="3359"/>
      <c r="AB8" s="3359"/>
      <c r="AC8" s="3359"/>
    </row>
    <row r="9" spans="1:29" s="1219" customFormat="1" ht="15.75" thickBot="1">
      <c r="A9" s="2938"/>
      <c r="B9" s="2945" t="s">
        <v>529</v>
      </c>
      <c r="C9" s="521">
        <f>'数据-取费表'!B2</f>
        <v>43076</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85" t="s">
        <v>530</v>
      </c>
      <c r="Q9" s="3387"/>
      <c r="R9" s="1567" t="s">
        <v>8</v>
      </c>
      <c r="S9" s="1568">
        <f t="shared" ref="S9:S17" si="0">F9</f>
        <v>0</v>
      </c>
      <c r="T9" s="1567" t="s">
        <v>8</v>
      </c>
      <c r="U9" s="1568">
        <f t="shared" ref="U9:U17" si="1">H9</f>
        <v>0</v>
      </c>
      <c r="V9" s="1567" t="s">
        <v>8</v>
      </c>
      <c r="W9" s="1568">
        <f t="shared" ref="W9:W17" si="2">J9</f>
        <v>0</v>
      </c>
      <c r="X9" s="1569"/>
      <c r="Y9" s="3385" t="s">
        <v>530</v>
      </c>
      <c r="Z9" s="3386"/>
      <c r="AA9" s="1570" t="e">
        <f>D9/F9</f>
        <v>#DIV/0!</v>
      </c>
      <c r="AB9" s="1570" t="e">
        <f>D9/H9</f>
        <v>#DIV/0!</v>
      </c>
      <c r="AC9" s="1570" t="e">
        <f>D9/J9</f>
        <v>#DIV/0!</v>
      </c>
    </row>
    <row r="10" spans="1:29" s="1219" customFormat="1" ht="15.75" thickBot="1">
      <c r="A10" s="2939"/>
      <c r="B10" s="2946"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85" t="s">
        <v>533</v>
      </c>
      <c r="Q10" s="3386"/>
      <c r="R10" s="1567" t="s">
        <v>8</v>
      </c>
      <c r="S10" s="1568">
        <f t="shared" si="0"/>
        <v>0</v>
      </c>
      <c r="T10" s="1567" t="s">
        <v>8</v>
      </c>
      <c r="U10" s="1568">
        <f t="shared" si="1"/>
        <v>0</v>
      </c>
      <c r="V10" s="1567" t="s">
        <v>8</v>
      </c>
      <c r="W10" s="1568">
        <f t="shared" si="2"/>
        <v>0</v>
      </c>
      <c r="X10" s="1569"/>
      <c r="Y10" s="3385" t="s">
        <v>533</v>
      </c>
      <c r="Z10" s="3386"/>
      <c r="AA10" s="1570" t="e">
        <f t="shared" ref="AA10:AA42" si="3">D10/F10</f>
        <v>#DIV/0!</v>
      </c>
      <c r="AB10" s="1570" t="e">
        <f t="shared" ref="AB10:AB42" si="4">D10/H10</f>
        <v>#DIV/0!</v>
      </c>
      <c r="AC10" s="1570" t="e">
        <f t="shared" ref="AC10:AC42" si="5">D10/J10</f>
        <v>#DIV/0!</v>
      </c>
    </row>
    <row r="11" spans="1:29" s="1219" customFormat="1" ht="15">
      <c r="A11" s="2940"/>
      <c r="B11" s="2947" t="s">
        <v>2761</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54" t="s">
        <v>535</v>
      </c>
      <c r="Q11" s="1150" t="str">
        <f t="shared" ref="Q11:Q17" si="6">B11</f>
        <v>用途</v>
      </c>
      <c r="R11" s="1567" t="s">
        <v>8</v>
      </c>
      <c r="S11" s="1568">
        <f t="shared" si="0"/>
        <v>100</v>
      </c>
      <c r="T11" s="1567" t="s">
        <v>8</v>
      </c>
      <c r="U11" s="1568">
        <f t="shared" si="1"/>
        <v>100</v>
      </c>
      <c r="V11" s="1567" t="s">
        <v>8</v>
      </c>
      <c r="W11" s="1568">
        <f t="shared" si="2"/>
        <v>100</v>
      </c>
      <c r="X11" s="1569"/>
      <c r="Y11" s="3300" t="s">
        <v>536</v>
      </c>
      <c r="Z11" s="1149" t="str">
        <f t="shared" ref="Z11:Z17" si="7">Q11</f>
        <v>用途</v>
      </c>
      <c r="AA11" s="1570">
        <f t="shared" si="3"/>
        <v>1</v>
      </c>
      <c r="AB11" s="1570">
        <f t="shared" si="4"/>
        <v>1</v>
      </c>
      <c r="AC11" s="1570">
        <f t="shared" si="5"/>
        <v>1</v>
      </c>
    </row>
    <row r="12" spans="1:29" s="1337" customFormat="1" ht="27">
      <c r="A12" s="2941"/>
      <c r="B12" s="2946" t="s">
        <v>2762</v>
      </c>
      <c r="C12" s="530"/>
      <c r="D12" s="254">
        <v>100</v>
      </c>
      <c r="E12" s="530"/>
      <c r="F12" s="254">
        <f>ROUND(100/'数据-取费表'!G16,0)</f>
        <v>100</v>
      </c>
      <c r="G12" s="530"/>
      <c r="H12" s="254">
        <f>ROUND(100/'数据-取费表'!G16,0)</f>
        <v>100</v>
      </c>
      <c r="I12" s="530"/>
      <c r="J12" s="254">
        <f>ROUND(100/'数据-取费表'!G16,0)</f>
        <v>100</v>
      </c>
      <c r="K12" s="531"/>
      <c r="L12" s="2138"/>
      <c r="M12" s="2178"/>
      <c r="N12" s="2178"/>
      <c r="O12" s="2139"/>
      <c r="P12" s="3354"/>
      <c r="Q12" s="1150" t="str">
        <f t="shared" si="6"/>
        <v>土地使用年限（年）</v>
      </c>
      <c r="R12" s="1567" t="s">
        <v>8</v>
      </c>
      <c r="S12" s="1568">
        <f t="shared" si="0"/>
        <v>100</v>
      </c>
      <c r="T12" s="1567" t="s">
        <v>8</v>
      </c>
      <c r="U12" s="1568">
        <f t="shared" si="1"/>
        <v>100</v>
      </c>
      <c r="V12" s="1567" t="s">
        <v>8</v>
      </c>
      <c r="W12" s="1568">
        <f t="shared" si="2"/>
        <v>100</v>
      </c>
      <c r="X12" s="1569"/>
      <c r="Y12" s="3300"/>
      <c r="Z12" s="1149" t="str">
        <f t="shared" si="7"/>
        <v>土地使用年限（年）</v>
      </c>
      <c r="AA12" s="1570">
        <f t="shared" si="3"/>
        <v>1</v>
      </c>
      <c r="AB12" s="1570">
        <f t="shared" si="4"/>
        <v>1</v>
      </c>
      <c r="AC12" s="1570">
        <f t="shared" si="5"/>
        <v>1</v>
      </c>
    </row>
    <row r="13" spans="1:29" ht="15">
      <c r="A13" s="2942"/>
      <c r="B13" s="2946" t="s">
        <v>2763</v>
      </c>
      <c r="C13" s="533"/>
      <c r="D13" s="254">
        <v>100</v>
      </c>
      <c r="E13" s="533"/>
      <c r="F13" s="254" t="e">
        <f>LOOKUP(E13,77:77,78:78)-LOOKUP(C13,77:77,78:78)+100</f>
        <v>#N/A</v>
      </c>
      <c r="G13" s="534"/>
      <c r="H13" s="254" t="e">
        <f>LOOKUP(G13,77:77,78:78)-LOOKUP(C13,77:77,78:78)+100</f>
        <v>#N/A</v>
      </c>
      <c r="I13" s="533"/>
      <c r="J13" s="254" t="e">
        <f>LOOKUP(I13,77:77,78:78)-LOOKUP(C13,77:77,78:78)+100</f>
        <v>#N/A</v>
      </c>
      <c r="K13" s="535"/>
      <c r="L13" s="2140"/>
      <c r="M13" s="2134"/>
      <c r="N13" s="2134"/>
      <c r="O13" s="2141"/>
      <c r="P13" s="3354"/>
      <c r="Q13" s="1150" t="str">
        <f t="shared" si="6"/>
        <v>容积率</v>
      </c>
      <c r="R13" s="1567" t="s">
        <v>8</v>
      </c>
      <c r="S13" s="1568" t="e">
        <f t="shared" si="0"/>
        <v>#N/A</v>
      </c>
      <c r="T13" s="1567" t="s">
        <v>8</v>
      </c>
      <c r="U13" s="1568" t="e">
        <f t="shared" si="1"/>
        <v>#N/A</v>
      </c>
      <c r="V13" s="1567" t="s">
        <v>8</v>
      </c>
      <c r="W13" s="1568" t="e">
        <f t="shared" si="2"/>
        <v>#N/A</v>
      </c>
      <c r="X13" s="1569"/>
      <c r="Y13" s="3300"/>
      <c r="Z13" s="1149" t="str">
        <f t="shared" si="7"/>
        <v>容积率</v>
      </c>
      <c r="AA13" s="1570" t="e">
        <f t="shared" si="3"/>
        <v>#N/A</v>
      </c>
      <c r="AB13" s="1570" t="e">
        <f t="shared" si="4"/>
        <v>#N/A</v>
      </c>
      <c r="AC13" s="1570" t="e">
        <f t="shared" si="5"/>
        <v>#N/A</v>
      </c>
    </row>
    <row r="14" spans="1:29" s="1219" customFormat="1" ht="15">
      <c r="A14" s="2943"/>
      <c r="B14" s="2949">
        <v>111</v>
      </c>
      <c r="C14" s="530"/>
      <c r="D14" s="538">
        <v>100</v>
      </c>
      <c r="E14" s="541"/>
      <c r="F14" s="254">
        <f>SUMIF(79:79,E14,80:80)-SUMIF(79:79,C14,80:80)+100</f>
        <v>100</v>
      </c>
      <c r="G14" s="542"/>
      <c r="H14" s="254">
        <f>SUMIF(79:79,G14,80:80)-SUMIF(79:79,C14,80:80)+100</f>
        <v>100</v>
      </c>
      <c r="I14" s="541"/>
      <c r="J14" s="254">
        <f>SUMIF(79:79,I14,80:80)-SUMIF(79:79,C14,80:80)+100</f>
        <v>100</v>
      </c>
      <c r="K14" s="531"/>
      <c r="L14" s="2135"/>
      <c r="M14" s="2136"/>
      <c r="N14" s="2136"/>
      <c r="O14" s="2137"/>
      <c r="P14" s="3354"/>
      <c r="Q14" s="1150">
        <f t="shared" si="6"/>
        <v>111</v>
      </c>
      <c r="R14" s="1567" t="s">
        <v>8</v>
      </c>
      <c r="S14" s="1568">
        <f t="shared" si="0"/>
        <v>100</v>
      </c>
      <c r="T14" s="1567" t="s">
        <v>8</v>
      </c>
      <c r="U14" s="1568">
        <f t="shared" si="1"/>
        <v>100</v>
      </c>
      <c r="V14" s="1567" t="s">
        <v>8</v>
      </c>
      <c r="W14" s="1568">
        <f t="shared" si="2"/>
        <v>100</v>
      </c>
      <c r="X14" s="1569"/>
      <c r="Y14" s="3300"/>
      <c r="Z14" s="1149">
        <f t="shared" si="7"/>
        <v>111</v>
      </c>
      <c r="AA14" s="1570">
        <f>D14/F14</f>
        <v>1</v>
      </c>
      <c r="AB14" s="1570">
        <f>D14/H14</f>
        <v>1</v>
      </c>
      <c r="AC14" s="1570">
        <f>D14/J14</f>
        <v>1</v>
      </c>
    </row>
    <row r="15" spans="1:29" ht="15">
      <c r="A15" s="2943"/>
      <c r="B15" s="2949">
        <v>111</v>
      </c>
      <c r="C15" s="539"/>
      <c r="D15" s="540">
        <v>100</v>
      </c>
      <c r="E15" s="541"/>
      <c r="F15" s="254">
        <f>SUMIF(81:81,E15,82:82)-SUMIF(81:81,C15,82:82)+100</f>
        <v>100</v>
      </c>
      <c r="G15" s="542"/>
      <c r="H15" s="540">
        <f>SUMIF(81:81,G15,82:82)-SUMIF(81:81,C15,82:82)+100</f>
        <v>100</v>
      </c>
      <c r="I15" s="541"/>
      <c r="J15" s="540">
        <f>SUMIF(81:81,I15,82:82)-SUMIF(81:81,C15,82:82)+100</f>
        <v>100</v>
      </c>
      <c r="K15" s="531"/>
      <c r="L15" s="2142"/>
      <c r="M15" s="2134"/>
      <c r="N15" s="2134"/>
      <c r="O15" s="2141"/>
      <c r="P15" s="3354"/>
      <c r="Q15" s="1150">
        <f t="shared" si="6"/>
        <v>111</v>
      </c>
      <c r="R15" s="1567" t="s">
        <v>8</v>
      </c>
      <c r="S15" s="1568">
        <f t="shared" si="0"/>
        <v>100</v>
      </c>
      <c r="T15" s="1567" t="s">
        <v>8</v>
      </c>
      <c r="U15" s="1568">
        <f t="shared" si="1"/>
        <v>100</v>
      </c>
      <c r="V15" s="1567" t="s">
        <v>8</v>
      </c>
      <c r="W15" s="1568">
        <f t="shared" si="2"/>
        <v>100</v>
      </c>
      <c r="X15" s="1569"/>
      <c r="Y15" s="3300"/>
      <c r="Z15" s="1149">
        <f t="shared" si="7"/>
        <v>111</v>
      </c>
      <c r="AA15" s="1570">
        <f t="shared" si="3"/>
        <v>1</v>
      </c>
      <c r="AB15" s="1570">
        <f t="shared" si="4"/>
        <v>1</v>
      </c>
      <c r="AC15" s="1570">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54"/>
      <c r="Q16" s="1150">
        <f t="shared" si="6"/>
        <v>111</v>
      </c>
      <c r="R16" s="1567" t="s">
        <v>8</v>
      </c>
      <c r="S16" s="1568">
        <f t="shared" si="0"/>
        <v>100</v>
      </c>
      <c r="T16" s="1567" t="s">
        <v>8</v>
      </c>
      <c r="U16" s="1568">
        <f t="shared" si="1"/>
        <v>100</v>
      </c>
      <c r="V16" s="1567" t="s">
        <v>8</v>
      </c>
      <c r="W16" s="1568">
        <f t="shared" si="2"/>
        <v>100</v>
      </c>
      <c r="X16" s="1569"/>
      <c r="Y16" s="3300"/>
      <c r="Z16" s="1149">
        <f t="shared" si="7"/>
        <v>111</v>
      </c>
      <c r="AA16" s="1570">
        <f t="shared" si="3"/>
        <v>1</v>
      </c>
      <c r="AB16" s="1570">
        <f t="shared" si="4"/>
        <v>1</v>
      </c>
      <c r="AC16" s="1570">
        <f t="shared" si="5"/>
        <v>1</v>
      </c>
    </row>
    <row r="17" spans="1:29" ht="57">
      <c r="A17" s="2936" t="s">
        <v>2759</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8" t="s">
        <v>540</v>
      </c>
      <c r="Q17" s="1571" t="str">
        <f t="shared" si="6"/>
        <v>产业集聚程度</v>
      </c>
      <c r="R17" s="1572" t="s">
        <v>8</v>
      </c>
      <c r="S17" s="1573">
        <f t="shared" si="0"/>
        <v>100</v>
      </c>
      <c r="T17" s="1572" t="s">
        <v>8</v>
      </c>
      <c r="U17" s="1573">
        <f t="shared" si="1"/>
        <v>100</v>
      </c>
      <c r="V17" s="1572" t="s">
        <v>8</v>
      </c>
      <c r="W17" s="1573">
        <f t="shared" si="2"/>
        <v>100</v>
      </c>
      <c r="X17" s="1566"/>
      <c r="Y17" s="3388"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89"/>
      <c r="Q18" s="1571"/>
      <c r="R18" s="1572"/>
      <c r="S18" s="1573"/>
      <c r="T18" s="1572"/>
      <c r="U18" s="1573"/>
      <c r="V18" s="1572"/>
      <c r="W18" s="1573"/>
      <c r="X18" s="1566"/>
      <c r="Y18" s="3389"/>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9"/>
      <c r="Q19" s="1571" t="str">
        <f>B19</f>
        <v>交通便捷度</v>
      </c>
      <c r="R19" s="1572" t="s">
        <v>8</v>
      </c>
      <c r="S19" s="1573">
        <f>F19</f>
        <v>100</v>
      </c>
      <c r="T19" s="1572" t="s">
        <v>8</v>
      </c>
      <c r="U19" s="1573">
        <f>H19</f>
        <v>100</v>
      </c>
      <c r="V19" s="1572" t="s">
        <v>8</v>
      </c>
      <c r="W19" s="1573">
        <f>J19</f>
        <v>100</v>
      </c>
      <c r="X19" s="1566"/>
      <c r="Y19" s="3389"/>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389"/>
      <c r="Q20" s="1571"/>
      <c r="R20" s="1572"/>
      <c r="S20" s="1573"/>
      <c r="T20" s="1572"/>
      <c r="U20" s="1573"/>
      <c r="V20" s="1572"/>
      <c r="W20" s="1573"/>
      <c r="X20" s="1566"/>
      <c r="Y20" s="3389"/>
      <c r="Z20" s="1574"/>
      <c r="AA20" s="1575">
        <v>1</v>
      </c>
      <c r="AB20" s="1575">
        <v>1</v>
      </c>
      <c r="AC20" s="1575">
        <v>1</v>
      </c>
    </row>
    <row r="21" spans="1:29" ht="27">
      <c r="A21" s="517"/>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89"/>
      <c r="Q21" s="1571" t="str">
        <f t="shared" ref="Q21:Q35" si="8">B21</f>
        <v>区域土地利用方向</v>
      </c>
      <c r="R21" s="1572" t="s">
        <v>8</v>
      </c>
      <c r="S21" s="1573">
        <f>F21</f>
        <v>100</v>
      </c>
      <c r="T21" s="1572" t="s">
        <v>8</v>
      </c>
      <c r="U21" s="1573">
        <f>H21</f>
        <v>100</v>
      </c>
      <c r="V21" s="1572" t="s">
        <v>8</v>
      </c>
      <c r="W21" s="1573">
        <f>J21</f>
        <v>100</v>
      </c>
      <c r="X21" s="1566"/>
      <c r="Y21" s="3389"/>
      <c r="Z21" s="1574" t="str">
        <f>Q21</f>
        <v>区域土地利用方向</v>
      </c>
      <c r="AA21" s="1575">
        <f t="shared" si="3"/>
        <v>1</v>
      </c>
      <c r="AB21" s="1575">
        <f t="shared" si="4"/>
        <v>1</v>
      </c>
      <c r="AC21" s="1575">
        <f t="shared" si="5"/>
        <v>1</v>
      </c>
    </row>
    <row r="22" spans="1:29" ht="15">
      <c r="A22" s="517"/>
      <c r="B22" s="595"/>
      <c r="C22" s="576"/>
      <c r="D22" s="555"/>
      <c r="E22" s="556"/>
      <c r="F22" s="557"/>
      <c r="G22" s="558"/>
      <c r="H22" s="557"/>
      <c r="I22" s="558"/>
      <c r="J22" s="557"/>
      <c r="K22" s="1347"/>
      <c r="L22" s="2142"/>
      <c r="M22" s="2134"/>
      <c r="N22" s="2134"/>
      <c r="O22" s="2141"/>
      <c r="P22" s="3389"/>
      <c r="Q22" s="1571"/>
      <c r="R22" s="1572"/>
      <c r="S22" s="1573"/>
      <c r="T22" s="1572"/>
      <c r="U22" s="1573"/>
      <c r="V22" s="1572"/>
      <c r="W22" s="1573"/>
      <c r="X22" s="1566"/>
      <c r="Y22" s="3389"/>
      <c r="Z22" s="1574"/>
      <c r="AA22" s="1575"/>
      <c r="AB22" s="1575"/>
      <c r="AC22" s="1575"/>
    </row>
    <row r="23" spans="1:29" ht="71.25">
      <c r="A23" s="517"/>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9"/>
      <c r="Q23" s="1571" t="str">
        <f t="shared" si="8"/>
        <v>环境状况</v>
      </c>
      <c r="R23" s="1572" t="s">
        <v>8</v>
      </c>
      <c r="S23" s="1573">
        <f>F23</f>
        <v>100</v>
      </c>
      <c r="T23" s="1572" t="s">
        <v>8</v>
      </c>
      <c r="U23" s="1573">
        <f>H23</f>
        <v>100</v>
      </c>
      <c r="V23" s="1572" t="s">
        <v>8</v>
      </c>
      <c r="W23" s="1573">
        <f>J23</f>
        <v>100</v>
      </c>
      <c r="X23" s="1566"/>
      <c r="Y23" s="3389"/>
      <c r="Z23" s="1574" t="str">
        <f>Q23</f>
        <v>环境状况</v>
      </c>
      <c r="AA23" s="1575">
        <f t="shared" si="3"/>
        <v>1</v>
      </c>
      <c r="AB23" s="1575">
        <f t="shared" si="4"/>
        <v>1</v>
      </c>
      <c r="AC23" s="1575">
        <f t="shared" si="5"/>
        <v>1</v>
      </c>
    </row>
    <row r="24" spans="1:29" ht="15">
      <c r="A24" s="517"/>
      <c r="B24" s="595"/>
      <c r="C24" s="576"/>
      <c r="D24" s="555"/>
      <c r="E24" s="554"/>
      <c r="F24" s="555"/>
      <c r="G24" s="554"/>
      <c r="H24" s="555"/>
      <c r="I24" s="576"/>
      <c r="J24" s="555"/>
      <c r="K24" s="531"/>
      <c r="L24" s="2142"/>
      <c r="M24" s="2134"/>
      <c r="N24" s="2134"/>
      <c r="O24" s="2141"/>
      <c r="P24" s="3389"/>
      <c r="Q24" s="1571"/>
      <c r="R24" s="1572"/>
      <c r="S24" s="1573"/>
      <c r="T24" s="1572"/>
      <c r="U24" s="1573"/>
      <c r="V24" s="1572"/>
      <c r="W24" s="1573"/>
      <c r="X24" s="1566"/>
      <c r="Y24" s="3389"/>
      <c r="Z24" s="1574"/>
      <c r="AA24" s="1575">
        <v>1</v>
      </c>
      <c r="AB24" s="1575">
        <v>1</v>
      </c>
      <c r="AC24" s="1575">
        <v>1</v>
      </c>
    </row>
    <row r="25" spans="1:29" s="1219" customFormat="1" ht="42.75">
      <c r="A25" s="577"/>
      <c r="B25" s="2617"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9"/>
      <c r="Q25" s="1150" t="str">
        <f t="shared" si="8"/>
        <v>公共配套设施</v>
      </c>
      <c r="R25" s="1567" t="s">
        <v>8</v>
      </c>
      <c r="S25" s="1568">
        <f>F25</f>
        <v>100</v>
      </c>
      <c r="T25" s="1567" t="s">
        <v>8</v>
      </c>
      <c r="U25" s="1568">
        <f>H25</f>
        <v>100</v>
      </c>
      <c r="V25" s="1567" t="s">
        <v>8</v>
      </c>
      <c r="W25" s="1568">
        <f>J25</f>
        <v>100</v>
      </c>
      <c r="X25" s="1569"/>
      <c r="Y25" s="3389"/>
      <c r="Z25" s="1149" t="str">
        <f>Q25</f>
        <v>公共配套设施</v>
      </c>
      <c r="AA25" s="1575">
        <f>D25/F25</f>
        <v>1</v>
      </c>
      <c r="AB25" s="1575">
        <f>D25/H25</f>
        <v>1</v>
      </c>
      <c r="AC25" s="1575">
        <f>D25/J25</f>
        <v>1</v>
      </c>
    </row>
    <row r="26" spans="1:29" s="1219" customFormat="1" ht="15">
      <c r="A26" s="577"/>
      <c r="B26" s="595"/>
      <c r="C26" s="2616"/>
      <c r="D26" s="555"/>
      <c r="E26" s="554"/>
      <c r="F26" s="555"/>
      <c r="G26" s="554"/>
      <c r="H26" s="555"/>
      <c r="I26" s="576"/>
      <c r="J26" s="555"/>
      <c r="K26" s="531"/>
      <c r="L26" s="2135"/>
      <c r="M26" s="2136"/>
      <c r="N26" s="2136"/>
      <c r="O26" s="2137"/>
      <c r="P26" s="3389"/>
      <c r="Q26" s="1150"/>
      <c r="R26" s="1567"/>
      <c r="S26" s="1568"/>
      <c r="T26" s="1567"/>
      <c r="U26" s="1568"/>
      <c r="V26" s="1567"/>
      <c r="W26" s="1568"/>
      <c r="X26" s="1569"/>
      <c r="Y26" s="3389"/>
      <c r="Z26" s="1149"/>
      <c r="AA26" s="1570">
        <v>1</v>
      </c>
      <c r="AB26" s="1570">
        <v>1</v>
      </c>
      <c r="AC26" s="1570">
        <v>1</v>
      </c>
    </row>
    <row r="27" spans="1:29" s="1219" customFormat="1" ht="28.5">
      <c r="A27" s="577"/>
      <c r="B27" s="2617"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9"/>
      <c r="Q27" s="2602" t="str">
        <f t="shared" ref="Q27" si="9">B27</f>
        <v>基础设施水平</v>
      </c>
      <c r="R27" s="1567" t="s">
        <v>8</v>
      </c>
      <c r="S27" s="1568">
        <f>F27</f>
        <v>100</v>
      </c>
      <c r="T27" s="1567" t="s">
        <v>8</v>
      </c>
      <c r="U27" s="1568">
        <f>H27</f>
        <v>100</v>
      </c>
      <c r="V27" s="1567" t="s">
        <v>8</v>
      </c>
      <c r="W27" s="1568">
        <f>J27</f>
        <v>100</v>
      </c>
      <c r="X27" s="1569"/>
      <c r="Y27" s="3389"/>
      <c r="Z27" s="2599" t="str">
        <f>Q27</f>
        <v>基础设施水平</v>
      </c>
      <c r="AA27" s="1575">
        <f>D27/F27</f>
        <v>1</v>
      </c>
      <c r="AB27" s="1575">
        <f>D27/H27</f>
        <v>1</v>
      </c>
      <c r="AC27" s="1575">
        <f>D27/J27</f>
        <v>1</v>
      </c>
    </row>
    <row r="28" spans="1:29" s="1219" customFormat="1" ht="15">
      <c r="A28" s="577"/>
      <c r="B28" s="595"/>
      <c r="C28" s="2616"/>
      <c r="D28" s="555"/>
      <c r="E28" s="579"/>
      <c r="F28" s="555"/>
      <c r="G28" s="579"/>
      <c r="H28" s="555"/>
      <c r="I28" s="579"/>
      <c r="J28" s="555"/>
      <c r="K28" s="531"/>
      <c r="L28" s="2135"/>
      <c r="M28" s="2136"/>
      <c r="N28" s="2136"/>
      <c r="O28" s="2137"/>
      <c r="P28" s="3389"/>
      <c r="Q28" s="2602"/>
      <c r="R28" s="1567"/>
      <c r="S28" s="1568"/>
      <c r="T28" s="1567"/>
      <c r="U28" s="1568"/>
      <c r="V28" s="1567"/>
      <c r="W28" s="1568"/>
      <c r="X28" s="1569"/>
      <c r="Y28" s="3389"/>
      <c r="Z28" s="2599"/>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9"/>
      <c r="Z29" s="1574" t="str">
        <f t="shared" ref="Z29:Z42" si="13">Q29</f>
        <v>临街状况</v>
      </c>
      <c r="AA29" s="1575">
        <f t="shared" si="3"/>
        <v>1</v>
      </c>
      <c r="AB29" s="1575">
        <f t="shared" si="4"/>
        <v>1</v>
      </c>
      <c r="AC29" s="1575">
        <f t="shared" si="5"/>
        <v>1</v>
      </c>
    </row>
    <row r="30" spans="1:29" ht="27">
      <c r="A30" s="532"/>
      <c r="B30" s="921"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9"/>
      <c r="Q30" s="1571" t="str">
        <f t="shared" si="8"/>
        <v>毗邻道路的类型与等级</v>
      </c>
      <c r="R30" s="1572" t="s">
        <v>8</v>
      </c>
      <c r="S30" s="1573">
        <f t="shared" si="10"/>
        <v>100</v>
      </c>
      <c r="T30" s="1572" t="s">
        <v>8</v>
      </c>
      <c r="U30" s="1573">
        <f t="shared" si="11"/>
        <v>100</v>
      </c>
      <c r="V30" s="1572" t="s">
        <v>8</v>
      </c>
      <c r="W30" s="1573">
        <f t="shared" si="12"/>
        <v>100</v>
      </c>
      <c r="X30" s="1566"/>
      <c r="Y30" s="3389"/>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389"/>
      <c r="Q31" s="1571"/>
      <c r="R31" s="1572"/>
      <c r="S31" s="1573"/>
      <c r="T31" s="1572"/>
      <c r="U31" s="1573"/>
      <c r="V31" s="1572"/>
      <c r="W31" s="1573"/>
      <c r="X31" s="1566"/>
      <c r="Y31" s="3389"/>
      <c r="Z31" s="1574"/>
      <c r="AA31" s="1575">
        <v>1</v>
      </c>
      <c r="AB31" s="1575">
        <v>1</v>
      </c>
      <c r="AC31" s="1575">
        <v>1</v>
      </c>
    </row>
    <row r="32" spans="1:29" ht="15">
      <c r="A32" s="532"/>
      <c r="B32" s="529"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9"/>
      <c r="Q32" s="1571" t="str">
        <f t="shared" si="8"/>
        <v>土地级别</v>
      </c>
      <c r="R32" s="1572" t="s">
        <v>8</v>
      </c>
      <c r="S32" s="1573">
        <f t="shared" si="10"/>
        <v>100</v>
      </c>
      <c r="T32" s="1572" t="s">
        <v>8</v>
      </c>
      <c r="U32" s="1573">
        <f t="shared" si="11"/>
        <v>100</v>
      </c>
      <c r="V32" s="1572" t="s">
        <v>8</v>
      </c>
      <c r="W32" s="1573">
        <f t="shared" si="12"/>
        <v>100</v>
      </c>
      <c r="X32" s="1566"/>
      <c r="Y32" s="3389"/>
      <c r="Z32" s="1574" t="str">
        <f t="shared" si="13"/>
        <v>土地级别</v>
      </c>
      <c r="AA32" s="1575">
        <f t="shared" si="3"/>
        <v>1</v>
      </c>
      <c r="AB32" s="1575">
        <f t="shared" si="4"/>
        <v>1</v>
      </c>
      <c r="AC32" s="1575">
        <f t="shared" si="5"/>
        <v>1</v>
      </c>
    </row>
    <row r="33" spans="1:29" ht="15">
      <c r="A33" s="517"/>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9"/>
      <c r="Q33" s="1571">
        <f t="shared" si="8"/>
        <v>111</v>
      </c>
      <c r="R33" s="1572" t="s">
        <v>8</v>
      </c>
      <c r="S33" s="1573">
        <f t="shared" si="10"/>
        <v>100</v>
      </c>
      <c r="T33" s="1572" t="s">
        <v>8</v>
      </c>
      <c r="U33" s="1573">
        <f t="shared" si="11"/>
        <v>100</v>
      </c>
      <c r="V33" s="1572" t="s">
        <v>8</v>
      </c>
      <c r="W33" s="1573">
        <f t="shared" si="12"/>
        <v>100</v>
      </c>
      <c r="X33" s="1566"/>
      <c r="Y33" s="3389"/>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0" t="s">
        <v>550</v>
      </c>
      <c r="Q34" s="1571">
        <f t="shared" si="8"/>
        <v>111</v>
      </c>
      <c r="R34" s="1572" t="s">
        <v>8</v>
      </c>
      <c r="S34" s="1573">
        <f t="shared" si="10"/>
        <v>100</v>
      </c>
      <c r="T34" s="1572" t="s">
        <v>8</v>
      </c>
      <c r="U34" s="1573">
        <f t="shared" si="11"/>
        <v>100</v>
      </c>
      <c r="V34" s="1572" t="s">
        <v>8</v>
      </c>
      <c r="W34" s="1573">
        <f t="shared" si="12"/>
        <v>100</v>
      </c>
      <c r="X34" s="1566"/>
      <c r="Y34" s="3391" t="s">
        <v>550</v>
      </c>
      <c r="Z34" s="1574">
        <f t="shared" si="13"/>
        <v>111</v>
      </c>
      <c r="AA34" s="1575">
        <f t="shared" si="3"/>
        <v>1</v>
      </c>
      <c r="AB34" s="1575">
        <f t="shared" si="4"/>
        <v>1</v>
      </c>
      <c r="AC34" s="1575">
        <f t="shared" si="5"/>
        <v>1</v>
      </c>
    </row>
    <row r="35" spans="1:29" s="1338" customFormat="1" ht="15.75" thickBot="1">
      <c r="A35" s="589"/>
      <c r="B35" s="2618">
        <v>111</v>
      </c>
      <c r="C35" s="593"/>
      <c r="D35" s="255">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1"/>
      <c r="Q35" s="1571">
        <f t="shared" si="8"/>
        <v>111</v>
      </c>
      <c r="R35" s="1576" t="s">
        <v>8</v>
      </c>
      <c r="S35" s="1577">
        <f t="shared" si="10"/>
        <v>100</v>
      </c>
      <c r="T35" s="1576" t="s">
        <v>8</v>
      </c>
      <c r="U35" s="1577">
        <f t="shared" si="11"/>
        <v>100</v>
      </c>
      <c r="V35" s="1576" t="s">
        <v>8</v>
      </c>
      <c r="W35" s="1577">
        <f t="shared" si="12"/>
        <v>100</v>
      </c>
      <c r="X35" s="1578"/>
      <c r="Y35" s="3391"/>
      <c r="Z35" s="1579">
        <f t="shared" si="13"/>
        <v>111</v>
      </c>
      <c r="AA35" s="1575">
        <f t="shared" si="3"/>
        <v>1</v>
      </c>
      <c r="AB35" s="1575">
        <f t="shared" si="4"/>
        <v>1</v>
      </c>
      <c r="AC35" s="1575">
        <f t="shared" si="5"/>
        <v>1</v>
      </c>
    </row>
    <row r="36" spans="1:29" ht="15">
      <c r="A36" s="2933" t="s">
        <v>2760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1"/>
      <c r="Q36" s="1571" t="str">
        <f>B36</f>
        <v>宗地面积</v>
      </c>
      <c r="R36" s="1572" t="s">
        <v>8</v>
      </c>
      <c r="S36" s="1573" t="e">
        <f t="shared" si="10"/>
        <v>#N/A</v>
      </c>
      <c r="T36" s="1572" t="s">
        <v>8</v>
      </c>
      <c r="U36" s="1573" t="e">
        <f t="shared" si="11"/>
        <v>#N/A</v>
      </c>
      <c r="V36" s="1572" t="s">
        <v>8</v>
      </c>
      <c r="W36" s="1573" t="e">
        <f t="shared" si="12"/>
        <v>#N/A</v>
      </c>
      <c r="X36" s="1566"/>
      <c r="Y36" s="3391"/>
      <c r="Z36" s="1574" t="str">
        <f t="shared" si="13"/>
        <v>宗地面积</v>
      </c>
      <c r="AA36" s="1575" t="e">
        <f t="shared" si="3"/>
        <v>#N/A</v>
      </c>
      <c r="AB36" s="1575" t="e">
        <f t="shared" si="4"/>
        <v>#N/A</v>
      </c>
      <c r="AC36" s="1575" t="e">
        <f t="shared" si="5"/>
        <v>#N/A</v>
      </c>
    </row>
    <row r="37" spans="1:29" ht="15">
      <c r="A37" s="594"/>
      <c r="B37" s="529"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1"/>
      <c r="Q37" s="1571" t="str">
        <f t="shared" ref="Q37:Q42" si="14">B37</f>
        <v>宗地形状</v>
      </c>
      <c r="R37" s="1572" t="s">
        <v>8</v>
      </c>
      <c r="S37" s="1573">
        <f t="shared" si="10"/>
        <v>100</v>
      </c>
      <c r="T37" s="1572" t="s">
        <v>8</v>
      </c>
      <c r="U37" s="1573">
        <f t="shared" si="11"/>
        <v>100</v>
      </c>
      <c r="V37" s="1572" t="s">
        <v>8</v>
      </c>
      <c r="W37" s="1573">
        <f t="shared" si="12"/>
        <v>100</v>
      </c>
      <c r="X37" s="1566"/>
      <c r="Y37" s="3391"/>
      <c r="Z37" s="1574" t="str">
        <f t="shared" si="13"/>
        <v>宗地形状</v>
      </c>
      <c r="AA37" s="1575">
        <f t="shared" si="3"/>
        <v>1</v>
      </c>
      <c r="AB37" s="1575">
        <f t="shared" si="4"/>
        <v>1</v>
      </c>
      <c r="AC37" s="1575">
        <f t="shared" si="5"/>
        <v>1</v>
      </c>
    </row>
    <row r="38" spans="1:29" s="1219" customFormat="1" ht="15">
      <c r="A38" s="600"/>
      <c r="B38" s="1895" t="s">
        <v>2425</v>
      </c>
      <c r="C38" s="601"/>
      <c r="D38" s="254">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1"/>
      <c r="Q38" s="1571" t="str">
        <f t="shared" si="14"/>
        <v>宗地开发程度</v>
      </c>
      <c r="R38" s="1567" t="s">
        <v>8</v>
      </c>
      <c r="S38" s="1568">
        <f t="shared" si="10"/>
        <v>100</v>
      </c>
      <c r="T38" s="1567" t="s">
        <v>8</v>
      </c>
      <c r="U38" s="1568">
        <f t="shared" si="11"/>
        <v>100</v>
      </c>
      <c r="V38" s="1567" t="s">
        <v>8</v>
      </c>
      <c r="W38" s="1568">
        <f t="shared" si="12"/>
        <v>100</v>
      </c>
      <c r="X38" s="1569"/>
      <c r="Y38" s="3391"/>
      <c r="Z38" s="1149" t="str">
        <f t="shared" si="13"/>
        <v>宗地开发程度</v>
      </c>
      <c r="AA38" s="1570">
        <f t="shared" si="3"/>
        <v>1</v>
      </c>
      <c r="AB38" s="1570">
        <f t="shared" si="4"/>
        <v>1</v>
      </c>
      <c r="AC38" s="1570">
        <f t="shared" si="5"/>
        <v>1</v>
      </c>
    </row>
    <row r="39" spans="1:29" ht="15">
      <c r="A39" s="594"/>
      <c r="B39" s="529"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1" t="s">
        <v>601</v>
      </c>
      <c r="Q39" s="1571" t="str">
        <f t="shared" si="14"/>
        <v>工程地质条件</v>
      </c>
      <c r="R39" s="1572" t="s">
        <v>8</v>
      </c>
      <c r="S39" s="1573">
        <f t="shared" si="10"/>
        <v>100</v>
      </c>
      <c r="T39" s="1572" t="s">
        <v>8</v>
      </c>
      <c r="U39" s="1573">
        <f t="shared" si="11"/>
        <v>100</v>
      </c>
      <c r="V39" s="1572" t="s">
        <v>8</v>
      </c>
      <c r="W39" s="1573">
        <f t="shared" si="12"/>
        <v>100</v>
      </c>
      <c r="X39" s="1566"/>
      <c r="Y39" s="3391"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1"/>
      <c r="Q40" s="1571">
        <f t="shared" si="14"/>
        <v>111</v>
      </c>
      <c r="R40" s="1572" t="s">
        <v>8</v>
      </c>
      <c r="S40" s="1573">
        <f t="shared" si="10"/>
        <v>100</v>
      </c>
      <c r="T40" s="1572" t="s">
        <v>8</v>
      </c>
      <c r="U40" s="1573">
        <f t="shared" si="11"/>
        <v>100</v>
      </c>
      <c r="V40" s="1572" t="s">
        <v>8</v>
      </c>
      <c r="W40" s="1573">
        <f t="shared" si="12"/>
        <v>100</v>
      </c>
      <c r="X40" s="1566"/>
      <c r="Y40" s="3391"/>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1"/>
      <c r="Q41" s="1571">
        <f t="shared" si="14"/>
        <v>111</v>
      </c>
      <c r="R41" s="1572" t="s">
        <v>8</v>
      </c>
      <c r="S41" s="1573">
        <f t="shared" si="10"/>
        <v>100</v>
      </c>
      <c r="T41" s="1572" t="s">
        <v>8</v>
      </c>
      <c r="U41" s="1573">
        <f t="shared" si="11"/>
        <v>100</v>
      </c>
      <c r="V41" s="1572" t="s">
        <v>8</v>
      </c>
      <c r="W41" s="1573">
        <f t="shared" si="12"/>
        <v>100</v>
      </c>
      <c r="X41" s="1566"/>
      <c r="Y41" s="3391"/>
      <c r="Z41" s="1574">
        <f t="shared" si="13"/>
        <v>111</v>
      </c>
      <c r="AA41" s="1575">
        <f t="shared" si="3"/>
        <v>1</v>
      </c>
      <c r="AB41" s="1575">
        <f t="shared" si="4"/>
        <v>1</v>
      </c>
      <c r="AC41" s="1575">
        <f t="shared" si="5"/>
        <v>1</v>
      </c>
    </row>
    <row r="42" spans="1:29" s="1338" customFormat="1" ht="15.75" thickBot="1">
      <c r="A42" s="603"/>
      <c r="B42" s="602">
        <v>111</v>
      </c>
      <c r="C42" s="604"/>
      <c r="D42" s="255">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1"/>
      <c r="Q42" s="1571">
        <f t="shared" si="14"/>
        <v>111</v>
      </c>
      <c r="R42" s="1576" t="s">
        <v>8</v>
      </c>
      <c r="S42" s="1577">
        <f t="shared" si="10"/>
        <v>100</v>
      </c>
      <c r="T42" s="1576" t="s">
        <v>8</v>
      </c>
      <c r="U42" s="1577">
        <f t="shared" si="11"/>
        <v>100</v>
      </c>
      <c r="V42" s="1576" t="s">
        <v>8</v>
      </c>
      <c r="W42" s="1577">
        <f t="shared" si="12"/>
        <v>100</v>
      </c>
      <c r="X42" s="1578"/>
      <c r="Y42" s="3391"/>
      <c r="Z42" s="1579">
        <f t="shared" si="13"/>
        <v>111</v>
      </c>
      <c r="AA42" s="1575">
        <f t="shared" si="3"/>
        <v>1</v>
      </c>
      <c r="AB42" s="1575">
        <f t="shared" si="4"/>
        <v>1</v>
      </c>
      <c r="AC42" s="1575">
        <f t="shared" si="5"/>
        <v>1</v>
      </c>
    </row>
    <row r="43" spans="1:29" ht="15">
      <c r="A43" s="607" t="s">
        <v>556</v>
      </c>
      <c r="B43" s="608" t="s">
        <v>2934</v>
      </c>
      <c r="C43" s="609" t="s">
        <v>1</v>
      </c>
      <c r="D43" s="610"/>
      <c r="E43" s="611"/>
      <c r="F43" s="612"/>
      <c r="G43" s="613"/>
      <c r="H43" s="614"/>
      <c r="I43" s="611"/>
      <c r="J43" s="614"/>
      <c r="K43" s="1339"/>
      <c r="L43" s="2144"/>
      <c r="M43" s="2134"/>
      <c r="N43" s="2134"/>
      <c r="O43" s="2145"/>
      <c r="P43" s="3354" t="str">
        <f>A43</f>
        <v>成交单价</v>
      </c>
      <c r="Q43" s="3354"/>
      <c r="R43" s="3355">
        <f>E43</f>
        <v>0</v>
      </c>
      <c r="S43" s="3355"/>
      <c r="T43" s="3355">
        <f>G43</f>
        <v>0</v>
      </c>
      <c r="U43" s="3355"/>
      <c r="V43" s="3355">
        <f>I43</f>
        <v>0</v>
      </c>
      <c r="W43" s="3355"/>
      <c r="X43" s="1558"/>
      <c r="Y43" s="1580"/>
      <c r="Z43" s="1558"/>
      <c r="AA43" s="1558"/>
      <c r="AB43" s="1558"/>
      <c r="AC43" s="1558"/>
    </row>
    <row r="44" spans="1:29" ht="15.75" thickBot="1">
      <c r="A44" s="615" t="s">
        <v>2698</v>
      </c>
      <c r="B44" s="616"/>
      <c r="C44" s="617" t="e">
        <f>R45</f>
        <v>#DIV/0!</v>
      </c>
      <c r="D44" s="618"/>
      <c r="E44" s="617" t="e">
        <f>R44</f>
        <v>#DIV/0!</v>
      </c>
      <c r="F44" s="619"/>
      <c r="G44" s="620" t="e">
        <f>T44</f>
        <v>#DIV/0!</v>
      </c>
      <c r="H44" s="618"/>
      <c r="I44" s="617" t="e">
        <f>V44</f>
        <v>#DIV/0!</v>
      </c>
      <c r="J44" s="618"/>
      <c r="K44" s="1340"/>
      <c r="L44" s="2144"/>
      <c r="M44" s="2134"/>
      <c r="N44" s="2134"/>
      <c r="O44" s="2145"/>
      <c r="P44" s="3354" t="str">
        <f>A44</f>
        <v>比较价格（元/平方米）</v>
      </c>
      <c r="Q44" s="3354"/>
      <c r="R44" s="3356" t="e">
        <f>ROUND(PRODUCT(R43,AA9:AA42),0)</f>
        <v>#DIV/0!</v>
      </c>
      <c r="S44" s="3356"/>
      <c r="T44" s="3356" t="e">
        <f>ROUND(PRODUCT(T43,AB9:AB42),0)</f>
        <v>#DIV/0!</v>
      </c>
      <c r="U44" s="3356"/>
      <c r="V44" s="3356" t="e">
        <f>ROUND(PRODUCT(V43,AC9:AC42),0)</f>
        <v>#DIV/0!</v>
      </c>
      <c r="W44" s="3356"/>
      <c r="X44" s="1558"/>
      <c r="Y44" s="1558"/>
      <c r="Z44" s="1558"/>
      <c r="AA44" s="1558"/>
      <c r="AB44" s="1558"/>
      <c r="AC44" s="1558"/>
    </row>
    <row r="45" spans="1:29" ht="15.75" thickBot="1">
      <c r="A45" s="621" t="s">
        <v>2935</v>
      </c>
      <c r="B45" s="622"/>
      <c r="C45" s="623" t="e">
        <f>R45</f>
        <v>#DIV/0!</v>
      </c>
      <c r="D45" s="623"/>
      <c r="E45" s="623"/>
      <c r="F45" s="623"/>
      <c r="G45" s="623"/>
      <c r="H45" s="623"/>
      <c r="I45" s="623"/>
      <c r="J45" s="623"/>
      <c r="K45" s="1341"/>
      <c r="L45" s="2144"/>
      <c r="M45" s="2134"/>
      <c r="N45" s="2134"/>
      <c r="O45" s="2145"/>
      <c r="P45" s="3351" t="str">
        <f>A45</f>
        <v>估价对象XX用房的比较价格（楼面单价，元/平方米）</v>
      </c>
      <c r="Q45" s="3352"/>
      <c r="R45" s="3353" t="e">
        <f>ROUND(AVERAGE(R44:V44),0)</f>
        <v>#DIV/0!</v>
      </c>
      <c r="S45" s="3353"/>
      <c r="T45" s="3353"/>
      <c r="U45" s="3353"/>
      <c r="V45" s="3353"/>
      <c r="W45" s="335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1724</v>
      </c>
      <c r="D52" s="2227" t="s">
        <v>2294</v>
      </c>
      <c r="E52" s="631" t="s">
        <v>562</v>
      </c>
      <c r="F52" s="1951" t="s">
        <v>563</v>
      </c>
      <c r="G52" s="3398" t="s">
        <v>2285</v>
      </c>
      <c r="H52" s="3399"/>
      <c r="I52" s="1952" t="s">
        <v>1947</v>
      </c>
      <c r="J52" s="1554" t="str">
        <f>项目基本情况!F41</f>
        <v>湖南省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231926.37</v>
      </c>
      <c r="F53" s="1950" t="e">
        <f t="shared" ref="F53:F62" si="15">ROUND(B53*E53/10000,0)</f>
        <v>#DIV/0!</v>
      </c>
      <c r="G53" s="3400"/>
      <c r="H53" s="3401"/>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80">
        <f t="shared" ref="C54:C62" si="16">IF($C$52="北京市系数",I54,J54)</f>
        <v>0</v>
      </c>
      <c r="D54" s="2229">
        <v>0.25</v>
      </c>
      <c r="E54" s="639"/>
      <c r="F54" s="1950" t="e">
        <f t="shared" si="15"/>
        <v>#DIV/0!</v>
      </c>
      <c r="G54" s="3402"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80">
        <f t="shared" si="16"/>
        <v>0</v>
      </c>
      <c r="D55" s="2229">
        <v>0.25</v>
      </c>
      <c r="E55" s="639"/>
      <c r="F55" s="1950" t="e">
        <f t="shared" si="15"/>
        <v>#DIV/0!</v>
      </c>
      <c r="G55" s="3402"/>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80">
        <f t="shared" si="16"/>
        <v>0</v>
      </c>
      <c r="D56" s="2229">
        <v>0.25</v>
      </c>
      <c r="E56" s="639"/>
      <c r="F56" s="1950" t="e">
        <f t="shared" si="15"/>
        <v>#DIV/0!</v>
      </c>
      <c r="G56" s="3402"/>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80">
        <f t="shared" si="16"/>
        <v>0</v>
      </c>
      <c r="D57" s="2229">
        <v>0.25</v>
      </c>
      <c r="E57" s="639"/>
      <c r="F57" s="1950" t="e">
        <f t="shared" si="15"/>
        <v>#DIV/0!</v>
      </c>
      <c r="G57" s="3402"/>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80">
        <f t="shared" si="16"/>
        <v>0</v>
      </c>
      <c r="D58" s="2229">
        <v>0.25</v>
      </c>
      <c r="E58" s="641">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80">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80">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80">
        <f t="shared" si="16"/>
        <v>0</v>
      </c>
      <c r="D61" s="2229">
        <v>0.25</v>
      </c>
      <c r="E61" s="641">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80">
        <f t="shared" si="16"/>
        <v>0</v>
      </c>
      <c r="D62" s="2229">
        <v>0.25</v>
      </c>
      <c r="E62" s="641">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105421.08</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2536</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2654</v>
      </c>
      <c r="B68" s="481" t="str">
        <f>"北京市平均增长率"&amp;TEXT(基准地价!P24,"0.00%")</f>
        <v>北京市平均增长率1.39%</v>
      </c>
      <c r="C68" s="893">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2551</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2553</v>
      </c>
      <c r="C95" s="2622" t="s">
        <v>2554</v>
      </c>
      <c r="D95" s="2622" t="s">
        <v>2555</v>
      </c>
      <c r="E95" s="2622" t="s">
        <v>2556</v>
      </c>
      <c r="F95" s="2622" t="s">
        <v>2557</v>
      </c>
      <c r="G95" s="2622" t="s">
        <v>2558</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62" t="s">
        <v>2767</v>
      </c>
      <c r="S1" s="2962" t="s">
        <v>2768</v>
      </c>
      <c r="T1" s="2962" t="s">
        <v>2789</v>
      </c>
      <c r="U1" s="2962" t="s">
        <v>2790</v>
      </c>
      <c r="V1" s="2962" t="s">
        <v>2791</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2936</v>
      </c>
      <c r="G3" s="1038">
        <f>IF(F3="宗地容积率",'数据-汇总表'!I4,IF(F3="估价对象容积率",'数据-汇总表'!I6,'数据-汇总表'!I7))</f>
        <v>2.2000000000000002</v>
      </c>
      <c r="H3" s="1413" t="s">
        <v>928</v>
      </c>
      <c r="I3" s="1039">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12" t="str">
        <f>IF(E2="商业",IF(C8="不临58条商业街","",2),"")</f>
        <v/>
      </c>
      <c r="B7" s="1426" t="s">
        <v>931</v>
      </c>
      <c r="C7" s="1042" t="e">
        <f>IF(C8="不临58条商业街",1,ROUND(1+(1.6*E8+1.2*E9+0.8*E10+0.4*E11)*C9,4))</f>
        <v>#DIV/0!</v>
      </c>
      <c r="D7" s="1427" t="s">
        <v>932</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2770</v>
      </c>
      <c r="X7" s="2953">
        <f>G2</f>
        <v>0</v>
      </c>
      <c r="Y7" s="2953" t="s">
        <v>2771</v>
      </c>
      <c r="Z7" s="2954">
        <f>G3</f>
        <v>2.2000000000000002</v>
      </c>
      <c r="AA7" s="2192"/>
      <c r="AB7" s="2192"/>
      <c r="AC7" s="2193"/>
      <c r="AD7" s="2955"/>
      <c r="AE7" s="2955"/>
      <c r="AF7" s="2955"/>
      <c r="AG7" s="2955"/>
      <c r="AH7" s="2955"/>
      <c r="AI7" s="2955"/>
      <c r="AJ7" s="2956"/>
    </row>
    <row r="8" spans="1:39" ht="15">
      <c r="A8" s="3413"/>
      <c r="B8" s="1413" t="s">
        <v>933</v>
      </c>
      <c r="C8" s="1528"/>
      <c r="D8" s="1044" t="s">
        <v>934</v>
      </c>
      <c r="E8" s="1045"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04" t="s">
        <v>2788</v>
      </c>
      <c r="X8" s="3405"/>
      <c r="Y8" s="1849" t="s">
        <v>2772</v>
      </c>
      <c r="Z8" s="1849" t="s">
        <v>2773</v>
      </c>
      <c r="AA8" s="1849" t="s">
        <v>2774</v>
      </c>
      <c r="AB8" s="1849" t="s">
        <v>2775</v>
      </c>
      <c r="AC8" s="1849" t="s">
        <v>2776</v>
      </c>
      <c r="AD8" s="1849" t="s">
        <v>2777</v>
      </c>
      <c r="AE8" s="1849" t="s">
        <v>2778</v>
      </c>
      <c r="AF8" s="1849" t="s">
        <v>2779</v>
      </c>
      <c r="AG8" s="1849" t="s">
        <v>2780</v>
      </c>
      <c r="AH8" s="1849" t="s">
        <v>2781</v>
      </c>
      <c r="AI8" s="1849" t="s">
        <v>2782</v>
      </c>
      <c r="AJ8" s="1849" t="s">
        <v>2783</v>
      </c>
    </row>
    <row r="9" spans="1:39" ht="15">
      <c r="A9" s="3413"/>
      <c r="B9" s="1413" t="s">
        <v>936</v>
      </c>
      <c r="C9" s="1046">
        <f>SUMIF(修正!C59:C119,C8,修正!E59:E119)</f>
        <v>0</v>
      </c>
      <c r="D9" s="1047" t="s">
        <v>937</v>
      </c>
      <c r="E9" s="1047"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03" t="s">
        <v>2784</v>
      </c>
      <c r="X9" s="2957" t="s">
        <v>2785</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13"/>
      <c r="B10" s="1413" t="s">
        <v>939</v>
      </c>
      <c r="C10" s="1047">
        <f>SUMIF(修正!C59:C119,C8,修正!F59:F119)</f>
        <v>0</v>
      </c>
      <c r="D10" s="1047" t="s">
        <v>940</v>
      </c>
      <c r="E10" s="1047"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03"/>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13"/>
      <c r="B11" s="1434" t="s">
        <v>942</v>
      </c>
      <c r="C11" s="1048">
        <f>C10/4</f>
        <v>0</v>
      </c>
      <c r="D11" s="1048" t="s">
        <v>943</v>
      </c>
      <c r="E11" s="1048"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03" t="s">
        <v>2786</v>
      </c>
      <c r="X11" s="1047" t="s">
        <v>2771</v>
      </c>
      <c r="Y11" s="1652">
        <f>$G$3</f>
        <v>2.2000000000000002</v>
      </c>
      <c r="Z11" s="1652">
        <f t="shared" ref="Z11:AJ11" si="3">$G$3</f>
        <v>2.2000000000000002</v>
      </c>
      <c r="AA11" s="1652">
        <f t="shared" si="3"/>
        <v>2.2000000000000002</v>
      </c>
      <c r="AB11" s="1652">
        <f t="shared" si="3"/>
        <v>2.2000000000000002</v>
      </c>
      <c r="AC11" s="1652">
        <f t="shared" si="3"/>
        <v>2.2000000000000002</v>
      </c>
      <c r="AD11" s="1652">
        <f t="shared" si="3"/>
        <v>2.2000000000000002</v>
      </c>
      <c r="AE11" s="1652">
        <f t="shared" si="3"/>
        <v>2.2000000000000002</v>
      </c>
      <c r="AF11" s="1652">
        <f t="shared" si="3"/>
        <v>2.2000000000000002</v>
      </c>
      <c r="AG11" s="1652">
        <f t="shared" si="3"/>
        <v>2.2000000000000002</v>
      </c>
      <c r="AH11" s="1652">
        <f t="shared" si="3"/>
        <v>2.2000000000000002</v>
      </c>
      <c r="AI11" s="1652">
        <f t="shared" si="3"/>
        <v>2.2000000000000002</v>
      </c>
      <c r="AJ11" s="1652">
        <f t="shared" si="3"/>
        <v>2.2000000000000002</v>
      </c>
    </row>
    <row r="12" spans="1:39" ht="25.5" thickBot="1">
      <c r="A12" s="3412" t="s">
        <v>1871</v>
      </c>
      <c r="B12" s="1438" t="s">
        <v>945</v>
      </c>
      <c r="C12" s="1042">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03"/>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14"/>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63">
        <v>12</v>
      </c>
      <c r="S13" s="2952"/>
      <c r="T13" s="2963" t="e">
        <f t="shared" si="0"/>
        <v>#DIV/0!</v>
      </c>
      <c r="U13" s="2952"/>
      <c r="V13" s="2963" t="e">
        <f t="shared" si="1"/>
        <v>#DIV/0!</v>
      </c>
      <c r="W13" s="3403"/>
      <c r="X13" s="2960"/>
      <c r="Y13" s="2959">
        <f>(-0.163*(Y12^2)-0.59*Y12+7617)*(10^(-4))/Y11</f>
        <v>0.34622727272727272</v>
      </c>
      <c r="Z13" s="2959">
        <f t="shared" ref="Z13:AJ13" si="5">(-0.163*(Z12^2)-0.59*Z12+7617)*(10^(-4))/Z11</f>
        <v>0.34622727272727272</v>
      </c>
      <c r="AA13" s="2959">
        <f t="shared" si="5"/>
        <v>0.34622727272727272</v>
      </c>
      <c r="AB13" s="2959">
        <f t="shared" si="5"/>
        <v>0.34622727272727272</v>
      </c>
      <c r="AC13" s="2959">
        <f t="shared" si="5"/>
        <v>0.34622727272727272</v>
      </c>
      <c r="AD13" s="2959">
        <f t="shared" si="5"/>
        <v>0.34622727272727272</v>
      </c>
      <c r="AE13" s="2959">
        <f t="shared" si="5"/>
        <v>0.34622727272727272</v>
      </c>
      <c r="AF13" s="2959">
        <f t="shared" si="5"/>
        <v>0.34622727272727272</v>
      </c>
      <c r="AG13" s="2959">
        <f t="shared" si="5"/>
        <v>0.34622727272727272</v>
      </c>
      <c r="AH13" s="2959">
        <f t="shared" si="5"/>
        <v>0.34622727272727272</v>
      </c>
      <c r="AI13" s="2959">
        <f t="shared" si="5"/>
        <v>0.34622727272727272</v>
      </c>
      <c r="AJ13" s="2959">
        <f t="shared" si="5"/>
        <v>0.34622727272727272</v>
      </c>
    </row>
    <row r="14" spans="1:39" ht="12.75" customHeight="1" thickBot="1">
      <c r="A14" s="3414"/>
      <c r="B14" s="1450"/>
      <c r="C14" s="1451"/>
      <c r="D14" s="1452"/>
      <c r="E14" s="1452"/>
      <c r="F14" s="1453"/>
      <c r="G14" s="1454" t="s">
        <v>948</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15"/>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63">
        <v>14</v>
      </c>
      <c r="S15" s="2952"/>
      <c r="T15" s="2963" t="e">
        <f t="shared" si="0"/>
        <v>#DIV/0!</v>
      </c>
      <c r="U15" s="2952"/>
      <c r="V15" s="2963" t="e">
        <f t="shared" si="1"/>
        <v>#DIV/0!</v>
      </c>
      <c r="W15" s="2189"/>
      <c r="X15" s="2189"/>
      <c r="Y15" s="2189"/>
      <c r="Z15" s="2189"/>
      <c r="AA15" s="2189"/>
      <c r="AB15" s="2189"/>
      <c r="AC15" s="2190"/>
    </row>
    <row r="16" spans="1:39" ht="24">
      <c r="A16" s="3412"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13"/>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8" t="s">
        <v>955</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ROUND(IF(H19="按公示增长率计算",SUMPRODUCT((地价!A3:A20=YEAR(G19)&amp;"-"&amp;ROUNDUP(MONTH(G19)/3,0))*(地价!X2:AB2=E2)*(地价!X3:AB20)),IF(H19="地价指数",M20/M19,(1+I19)^O19)),4)</f>
        <v>#DIV/0!</v>
      </c>
      <c r="D19" s="1473" t="s">
        <v>957</v>
      </c>
      <c r="E19" s="1057">
        <v>41640</v>
      </c>
      <c r="F19" s="1473" t="s">
        <v>958</v>
      </c>
      <c r="G19" s="1058">
        <f>'数据-取费表'!B2</f>
        <v>43076</v>
      </c>
      <c r="H19" s="1474" t="s">
        <v>2937</v>
      </c>
      <c r="I19" s="2810" t="str">
        <f>IF(H19="季度增幅（自定义）",SUMIF(N21:N24,E2,O21:O24),"")</f>
        <v/>
      </c>
      <c r="J19" s="1470"/>
      <c r="K19" s="1480"/>
      <c r="L19" s="3066" t="s">
        <v>2846</v>
      </c>
      <c r="M19" s="3067">
        <f>ROUND(SUMIF(地价!B2:F2,E2,地价!B20:F20),0)</f>
        <v>0</v>
      </c>
      <c r="N19" s="2812" t="s">
        <v>1676</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1836</v>
      </c>
      <c r="B20" s="2805" t="s">
        <v>971</v>
      </c>
      <c r="C20" s="2806" t="e">
        <f>ROUND(POWER(1+G20,J20-I20)*(POWER(1+G20,I20)-1)/(POWER(1+G20,J20)-1),4)</f>
        <v>#DIV/0!</v>
      </c>
      <c r="D20" s="2807" t="s">
        <v>972</v>
      </c>
      <c r="E20" s="3119">
        <f ca="1">存贷款利率!I4/100</f>
        <v>4.3499999999999997E-2</v>
      </c>
      <c r="F20" s="2807" t="s">
        <v>973</v>
      </c>
      <c r="G20" s="2808">
        <f>SUMIF(M15:P15,E2,M17:P17)</f>
        <v>0</v>
      </c>
      <c r="H20" s="2807" t="s">
        <v>974</v>
      </c>
      <c r="I20" s="2797" t="e">
        <f>SUMIF('数据-取费表'!C6:C15,E2,'数据-取费表'!F6:F15)/COUNTIF('数据-取费表'!C6:C15,E2)</f>
        <v>#DIV/0!</v>
      </c>
      <c r="J20" s="2809">
        <f>IF(E2="住宅",70,IF(E2="商业",40,50))</f>
        <v>50</v>
      </c>
      <c r="K20" s="1480"/>
      <c r="L20" s="3068" t="s">
        <v>2847</v>
      </c>
      <c r="M20" s="3069">
        <f>ROUND(SUMPRODUCT((地价!A5:A20=YEAR(G19)&amp;"-"&amp;ROUNDUP(MONTH(G19)/3,0))*(地价!B2:F2=E2)*(地价!B5:F20)),0)</f>
        <v>0</v>
      </c>
      <c r="N20" s="2815" t="s">
        <v>2650</v>
      </c>
      <c r="O20" s="2813" t="s">
        <v>2649</v>
      </c>
      <c r="P20" s="2814" t="s">
        <v>2655</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1837</v>
      </c>
      <c r="B21" s="1479" t="s">
        <v>2766</v>
      </c>
      <c r="C21" s="1157">
        <f>IF(B21="容积率修正",IF(G3&lt;=10,D22,J22),C23)</f>
        <v>0</v>
      </c>
      <c r="D21" s="1480"/>
      <c r="E21" s="1480"/>
      <c r="F21" s="1480"/>
      <c r="G21" s="1480"/>
      <c r="H21" s="1480"/>
      <c r="I21" s="1480"/>
      <c r="J21" s="1481"/>
      <c r="K21" s="1480"/>
      <c r="L21" s="1480"/>
      <c r="M21" s="1480"/>
      <c r="N21" s="1477" t="s">
        <v>975</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2.2000000000000002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3" t="s">
        <v>2653</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18" t="s">
        <v>2964</v>
      </c>
      <c r="B33" s="1523" t="s">
        <v>999</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19"/>
      <c r="B34" s="1444" t="s">
        <v>1000</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19"/>
      <c r="B35" s="1444" t="s">
        <v>1001</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0"/>
      <c r="B36" s="1444" t="s">
        <v>1002</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32" t="s">
        <v>1009</v>
      </c>
      <c r="C46" s="2454" t="s">
        <v>1010</v>
      </c>
      <c r="D46" s="2455" t="s">
        <v>1011</v>
      </c>
      <c r="E46" s="2456" t="s">
        <v>1013</v>
      </c>
      <c r="F46" s="2457" t="s">
        <v>2251</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35" t="str">
        <f>估价对象房地状况!C16</f>
        <v>估价对象周边商业氛围成熟度较差，人流量一般，，商业繁华度较差</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1021</v>
      </c>
      <c r="B48" s="2432" t="str">
        <f>估价对象房地状况!C18</f>
        <v>估价对象周边1公里有357、355路等公交车经过，公共交通通达情况一般、停车便捷程度较好，综合评价交通便捷度较差</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32" t="str">
        <f>估价对象房地状况!C19</f>
        <v>零星有其他用地，基本不影响本宗地</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121" t="s">
        <v>2939</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32" t="str">
        <f>估价对象房地状况!C24</f>
        <v>快速路——三环线</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120" t="s">
        <v>2938</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1026</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1028</v>
      </c>
      <c r="B55" s="2436" t="str">
        <f>估价对象房地状况!C20</f>
        <v>周边2公里内有长沙医学院、观音岩水库，区域自然环境较好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32"/>
      <c r="C57" s="2454" t="s">
        <v>1010</v>
      </c>
      <c r="D57" s="2455" t="s">
        <v>1011</v>
      </c>
      <c r="E57" s="2456" t="s">
        <v>1013</v>
      </c>
      <c r="F57" s="2457" t="s">
        <v>2252</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1030</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1021</v>
      </c>
      <c r="B59" s="2432" t="str">
        <f>估价对象房地状况!C18</f>
        <v>估价对象周边1公里有357、355路等公交车经过，公共交通通达情况一般、停车便捷程度较好，综合评价交通便捷度较差</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32" t="str">
        <f>估价对象房地状况!C19</f>
        <v>零星有其他用地，基本不影响本宗地</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121" t="s">
        <v>2940</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32" t="str">
        <f>估价对象房地状况!C24</f>
        <v>快速路——三环线</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120" t="s">
        <v>2938</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33" t="str">
        <f>估价对象房地状况!C22</f>
        <v>估价对象所在区域基础设施水平-六通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1028</v>
      </c>
      <c r="B66" s="2437" t="str">
        <f>估价对象房地状况!C20</f>
        <v>周边2公里内有长沙医学院、观音岩水库，区域自然环境较好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32"/>
      <c r="C68" s="2454" t="s">
        <v>1010</v>
      </c>
      <c r="D68" s="2455" t="s">
        <v>1011</v>
      </c>
      <c r="E68" s="2456" t="s">
        <v>1013</v>
      </c>
      <c r="F68" s="2457" t="s">
        <v>2253</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35" t="str">
        <f>估价对象房地状况!C15</f>
        <v>估价对象周边居住用地比例较低、周边1公里有大汉汉园等项目、综合评价居住社区成熟度较差</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1033</v>
      </c>
      <c r="B70" s="2432" t="str">
        <f>估价对象房地状况!C18</f>
        <v>估价对象周边1公里有357、355路等公交车经过，公共交通通达情况一般、停车便捷程度较好，综合评价交通便捷度较差</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32" t="str">
        <f>估价对象房地状况!C19</f>
        <v>零星有其他用地，基本不影响本宗地</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32" t="str">
        <f>估价对象房地状况!C24</f>
        <v>快速路——三环线</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33" t="str">
        <f>估价对象房地状况!C22</f>
        <v>估价对象所在区域基础设施水平-六通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120" t="s">
        <v>2938</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35" t="str">
        <f>估价对象房地状况!C20</f>
        <v>周边2公里内有长沙医学院、观音岩水库，区域自然环境较好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1008</v>
      </c>
      <c r="B79" s="2432"/>
      <c r="C79" s="2454" t="s">
        <v>1010</v>
      </c>
      <c r="D79" s="2455" t="s">
        <v>1011</v>
      </c>
      <c r="E79" s="2456" t="s">
        <v>1013</v>
      </c>
      <c r="F79" s="2457" t="s">
        <v>2254</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6" t="s">
        <v>1037</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1033</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1022</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1034</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1026</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1027</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1025</v>
      </c>
      <c r="B86" s="3120" t="s">
        <v>2938</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16" t="s">
        <v>1633</v>
      </c>
      <c r="B90" s="3416"/>
      <c r="C90" s="3416"/>
      <c r="D90" s="3416"/>
      <c r="E90" s="3416"/>
      <c r="F90" s="3416"/>
      <c r="G90" s="3416"/>
      <c r="H90" s="3416"/>
      <c r="I90" s="3416"/>
      <c r="J90" s="3416"/>
      <c r="K90" s="2474"/>
      <c r="L90" s="2474"/>
      <c r="M90" s="2474"/>
      <c r="N90" s="2474"/>
    </row>
    <row r="91" spans="1:40">
      <c r="A91" s="3417" t="s">
        <v>1443</v>
      </c>
      <c r="B91" s="3417" t="s">
        <v>1634</v>
      </c>
      <c r="C91" s="1139" t="s">
        <v>1635</v>
      </c>
      <c r="D91" s="1140"/>
      <c r="E91" s="1140"/>
      <c r="F91" s="1140"/>
      <c r="G91" s="1140"/>
      <c r="H91" s="1140"/>
      <c r="I91" s="1140"/>
      <c r="J91" s="1141"/>
      <c r="K91" s="1133"/>
      <c r="L91" s="1133"/>
      <c r="M91" s="1133"/>
      <c r="N91" s="1133"/>
    </row>
    <row r="92" spans="1:40">
      <c r="A92" s="3417"/>
      <c r="B92" s="3417"/>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06"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0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0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0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0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0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07"/>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0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06" t="s">
        <v>1637</v>
      </c>
      <c r="B101" s="1146" t="s">
        <v>905</v>
      </c>
      <c r="C101" s="1147">
        <f>$G$3</f>
        <v>2.2000000000000002</v>
      </c>
      <c r="D101" s="1147">
        <f t="shared" ref="D101:N101" si="31">$G$3</f>
        <v>2.2000000000000002</v>
      </c>
      <c r="E101" s="1147">
        <f t="shared" si="31"/>
        <v>2.2000000000000002</v>
      </c>
      <c r="F101" s="1147">
        <f t="shared" si="31"/>
        <v>2.2000000000000002</v>
      </c>
      <c r="G101" s="1147">
        <f t="shared" si="31"/>
        <v>2.2000000000000002</v>
      </c>
      <c r="H101" s="1147">
        <f t="shared" si="31"/>
        <v>2.2000000000000002</v>
      </c>
      <c r="I101" s="1147">
        <f t="shared" si="31"/>
        <v>2.2000000000000002</v>
      </c>
      <c r="J101" s="1147">
        <f t="shared" si="31"/>
        <v>2.2000000000000002</v>
      </c>
      <c r="K101" s="1147">
        <f t="shared" si="31"/>
        <v>2.2000000000000002</v>
      </c>
      <c r="L101" s="1147">
        <f t="shared" si="31"/>
        <v>2.2000000000000002</v>
      </c>
      <c r="M101" s="1147">
        <f t="shared" si="31"/>
        <v>2.2000000000000002</v>
      </c>
      <c r="N101" s="1147">
        <f t="shared" si="31"/>
        <v>2.2000000000000002</v>
      </c>
    </row>
    <row r="102" spans="1:14">
      <c r="A102" s="3407"/>
      <c r="B102" s="1142">
        <v>1</v>
      </c>
      <c r="C102" s="1143">
        <f>1.9362/C101</f>
        <v>0.88009090909090903</v>
      </c>
      <c r="D102" s="1143">
        <f>1.9362/D101</f>
        <v>0.88009090909090903</v>
      </c>
      <c r="E102" s="1143">
        <f>1.8629/E101</f>
        <v>0.84677272727272723</v>
      </c>
      <c r="F102" s="1143">
        <f>1.8629/F101</f>
        <v>0.84677272727272723</v>
      </c>
      <c r="G102" s="1143">
        <f>1.8629/G101</f>
        <v>0.84677272727272723</v>
      </c>
      <c r="H102" s="1143">
        <f>1.8629/H101</f>
        <v>0.84677272727272723</v>
      </c>
      <c r="I102" s="1143">
        <f>1.8629/I101</f>
        <v>0.84677272727272723</v>
      </c>
      <c r="J102" s="1143">
        <f>1.942/J101</f>
        <v>0.88272727272727258</v>
      </c>
      <c r="K102" s="1143">
        <f>1.942/K101</f>
        <v>0.88272727272727258</v>
      </c>
      <c r="L102" s="1143">
        <f>1.942/L101</f>
        <v>0.88272727272727258</v>
      </c>
      <c r="M102" s="1143">
        <f>1.942/M101</f>
        <v>0.88272727272727258</v>
      </c>
      <c r="N102" s="1143">
        <f>1.942/N101</f>
        <v>0.88272727272727258</v>
      </c>
    </row>
    <row r="103" spans="1:14">
      <c r="A103" s="3407"/>
      <c r="B103" s="1142">
        <v>2</v>
      </c>
      <c r="C103" s="1143">
        <f>1.4198/C101</f>
        <v>0.64536363636363625</v>
      </c>
      <c r="D103" s="1143">
        <f>1.4198/D101</f>
        <v>0.64536363636363625</v>
      </c>
      <c r="E103" s="1143">
        <f>1.3372/E101</f>
        <v>0.6078181818181817</v>
      </c>
      <c r="F103" s="1143">
        <f>1.3372/F101</f>
        <v>0.6078181818181817</v>
      </c>
      <c r="G103" s="1143">
        <f>1.3372/G101</f>
        <v>0.6078181818181817</v>
      </c>
      <c r="H103" s="1143">
        <f>1.3372/H101</f>
        <v>0.6078181818181817</v>
      </c>
      <c r="I103" s="1143">
        <f>1.3372/I101</f>
        <v>0.6078181818181817</v>
      </c>
      <c r="J103" s="1143">
        <f>1.2799/J101</f>
        <v>0.58177272727272722</v>
      </c>
      <c r="K103" s="1143">
        <f>1.2799/K101</f>
        <v>0.58177272727272722</v>
      </c>
      <c r="L103" s="1143">
        <f>1.2799/L101</f>
        <v>0.58177272727272722</v>
      </c>
      <c r="M103" s="1143">
        <f>1.2799/M101</f>
        <v>0.58177272727272722</v>
      </c>
      <c r="N103" s="1143">
        <f>1.2799/N101</f>
        <v>0.58177272727272722</v>
      </c>
    </row>
    <row r="104" spans="1:14">
      <c r="A104" s="3407"/>
      <c r="B104" s="1142">
        <v>3</v>
      </c>
      <c r="C104" s="1143">
        <f>1.1594/C101</f>
        <v>0.52699999999999991</v>
      </c>
      <c r="D104" s="1143">
        <f>1.1594/D101</f>
        <v>0.52699999999999991</v>
      </c>
      <c r="E104" s="1143">
        <f>1.0788/E101</f>
        <v>0.49036363636363633</v>
      </c>
      <c r="F104" s="1143">
        <f>1.0788/F101</f>
        <v>0.49036363636363633</v>
      </c>
      <c r="G104" s="1143">
        <f>1.0788/G101</f>
        <v>0.49036363636363633</v>
      </c>
      <c r="H104" s="1143">
        <f>1.0788/H101</f>
        <v>0.49036363636363633</v>
      </c>
      <c r="I104" s="1143">
        <f>1.0788/I101</f>
        <v>0.49036363636363633</v>
      </c>
      <c r="J104" s="1143">
        <f>1.0072/J101</f>
        <v>0.45781818181818185</v>
      </c>
      <c r="K104" s="1143">
        <f>1.0072/K101</f>
        <v>0.45781818181818185</v>
      </c>
      <c r="L104" s="1143">
        <f>1.0072/L101</f>
        <v>0.45781818181818185</v>
      </c>
      <c r="M104" s="1143">
        <f>1.0072/M101</f>
        <v>0.45781818181818185</v>
      </c>
      <c r="N104" s="1143">
        <f>1.0072/N101</f>
        <v>0.45781818181818185</v>
      </c>
    </row>
    <row r="105" spans="1:14">
      <c r="A105" s="3407"/>
      <c r="B105" s="1142">
        <v>4</v>
      </c>
      <c r="C105" s="1143">
        <f>0.9622/C101</f>
        <v>0.43736363636363634</v>
      </c>
      <c r="D105" s="1143">
        <f>0.9622/D101</f>
        <v>0.43736363636363634</v>
      </c>
      <c r="E105" s="1143">
        <f>0.8656/E101</f>
        <v>0.39345454545454545</v>
      </c>
      <c r="F105" s="1143">
        <f>0.8656/F101</f>
        <v>0.39345454545454545</v>
      </c>
      <c r="G105" s="1143">
        <f>0.8656/G101</f>
        <v>0.39345454545454545</v>
      </c>
      <c r="H105" s="1143">
        <f>0.8656/H101</f>
        <v>0.39345454545454545</v>
      </c>
      <c r="I105" s="1143">
        <f>0.8656/I101</f>
        <v>0.39345454545454545</v>
      </c>
      <c r="J105" s="1143">
        <f>0.7525/J101</f>
        <v>0.34204545454545449</v>
      </c>
      <c r="K105" s="1143">
        <f>0.7525/K101</f>
        <v>0.34204545454545449</v>
      </c>
      <c r="L105" s="1143">
        <f>0.7525/L101</f>
        <v>0.34204545454545449</v>
      </c>
      <c r="M105" s="1143">
        <f>0.7525/M101</f>
        <v>0.34204545454545449</v>
      </c>
      <c r="N105" s="1143">
        <f>0.7525/N101</f>
        <v>0.34204545454545449</v>
      </c>
    </row>
    <row r="106" spans="1:14">
      <c r="A106" s="3407"/>
      <c r="B106" s="1142">
        <v>5</v>
      </c>
      <c r="C106" s="1143">
        <f>0.8417/C101</f>
        <v>0.38259090909090904</v>
      </c>
      <c r="D106" s="1143">
        <f>0.8417/D101</f>
        <v>0.38259090909090904</v>
      </c>
      <c r="E106" s="1143">
        <f>0.7371/E101</f>
        <v>0.33504545454545454</v>
      </c>
      <c r="F106" s="1143">
        <f>0.7371/F101</f>
        <v>0.33504545454545454</v>
      </c>
      <c r="G106" s="1143">
        <f>0.7371/G101</f>
        <v>0.33504545454545454</v>
      </c>
      <c r="H106" s="1143">
        <f>0.7371/H101</f>
        <v>0.33504545454545454</v>
      </c>
      <c r="I106" s="1143">
        <f>0.7371/I101</f>
        <v>0.33504545454545454</v>
      </c>
      <c r="J106" s="1143">
        <f>0.5659/J101</f>
        <v>0.25722727272727269</v>
      </c>
      <c r="K106" s="1143">
        <f>0.5659/K101</f>
        <v>0.25722727272727269</v>
      </c>
      <c r="L106" s="1143">
        <f>0.5659/L101</f>
        <v>0.25722727272727269</v>
      </c>
      <c r="M106" s="1143">
        <f>0.5659/M101</f>
        <v>0.25722727272727269</v>
      </c>
      <c r="N106" s="1143">
        <f>0.5659/N101</f>
        <v>0.25722727272727269</v>
      </c>
    </row>
    <row r="107" spans="1:14">
      <c r="A107" s="3407"/>
      <c r="B107" s="1142">
        <v>6</v>
      </c>
      <c r="C107" s="1143">
        <f>0.7608/C101</f>
        <v>0.3458181818181818</v>
      </c>
      <c r="D107" s="1143">
        <f>0.7608/D101</f>
        <v>0.3458181818181818</v>
      </c>
      <c r="E107" s="1143">
        <f>0.6482/E101</f>
        <v>0.29463636363636359</v>
      </c>
      <c r="F107" s="1143">
        <f>0.6482/F101</f>
        <v>0.29463636363636359</v>
      </c>
      <c r="G107" s="1143">
        <f>0.6482/G101</f>
        <v>0.29463636363636359</v>
      </c>
      <c r="H107" s="1143">
        <f>0.6482/H101</f>
        <v>0.29463636363636359</v>
      </c>
      <c r="I107" s="1143">
        <f>0.6482/I101</f>
        <v>0.29463636363636359</v>
      </c>
      <c r="J107" s="1143">
        <f>0.4525/J101</f>
        <v>0.20568181818181816</v>
      </c>
      <c r="K107" s="1143">
        <f>0.4525/K101</f>
        <v>0.20568181818181816</v>
      </c>
      <c r="L107" s="1143">
        <f>0.4525/L101</f>
        <v>0.20568181818181816</v>
      </c>
      <c r="M107" s="1143">
        <f>0.4525/M101</f>
        <v>0.20568181818181816</v>
      </c>
      <c r="N107" s="1143">
        <f>0.4525/N101</f>
        <v>0.20568181818181816</v>
      </c>
    </row>
    <row r="108" spans="1:14">
      <c r="A108" s="3407"/>
      <c r="B108" s="3409"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08"/>
      <c r="B109" s="3410"/>
      <c r="C109" s="1145">
        <f>(-0.163*(C108^2)-0.59*C108+7617)*(10^(-4))/C101</f>
        <v>0.34553854545454543</v>
      </c>
      <c r="D109" s="1145">
        <f>(-0.163*(D108^2)-0.59*D108+7617)*(10^(-4))/D101</f>
        <v>0.34553854545454543</v>
      </c>
      <c r="E109" s="1145">
        <f>(-0.161*(E108^2)-7.509*E108+6533)*(10^(-4))/E101</f>
        <v>0.29375563636363633</v>
      </c>
      <c r="F109" s="1145">
        <f>(-0.161*(F108^2)-7.509*F108+6533)*(10^(-4))/F101</f>
        <v>0.29375563636363633</v>
      </c>
      <c r="G109" s="1145">
        <f>(-0.161*(G108^2)-7.509*G108+6533)*(10^(-4))/G101</f>
        <v>0.29375563636363633</v>
      </c>
      <c r="H109" s="1145">
        <f>(-0.161*(H108^2)-7.509*H108+6533)*(10^(-4))/H101</f>
        <v>0.29375563636363633</v>
      </c>
      <c r="I109" s="1145">
        <f>(-0.161*(I108^2)-7.509*I108+6533)*(10^(-4))/I101</f>
        <v>0.29375563636363633</v>
      </c>
      <c r="J109" s="1145">
        <f>(-0.214*(J108^2)-21.991*J108+4665)*(10^(-4))/J101</f>
        <v>0.20342618181818181</v>
      </c>
      <c r="K109" s="1145">
        <f>(-0.214*(K108^2)-21.991*K108+4665)*(10^(-4))/K101</f>
        <v>0.20342618181818181</v>
      </c>
      <c r="L109" s="1145">
        <f>(-0.214*(L108^2)-21.991*L108+4665)*(10^(-4))/L101</f>
        <v>0.20342618181818181</v>
      </c>
      <c r="M109" s="1145">
        <f>(-0.214*(M108^2)-21.991*M108+4665)*(10^(-4))/M101</f>
        <v>0.20342618181818181</v>
      </c>
      <c r="N109" s="1145">
        <f>(-0.214*(N108^2)-21.991*N108+4665)*(10^(-4))/N101</f>
        <v>0.20342618181818181</v>
      </c>
    </row>
    <row r="110" spans="1:14">
      <c r="A110" s="3411" t="s">
        <v>1639</v>
      </c>
      <c r="B110" s="3411"/>
      <c r="C110" s="3411"/>
      <c r="D110" s="3411"/>
      <c r="E110" s="3411"/>
      <c r="F110" s="3411"/>
      <c r="G110" s="3411"/>
      <c r="H110" s="3411"/>
      <c r="I110" s="3411"/>
      <c r="J110" s="3411"/>
      <c r="K110" s="2472"/>
      <c r="L110" s="2472"/>
      <c r="M110" s="2472"/>
      <c r="N110" s="2472"/>
    </row>
    <row r="112" spans="1:14" ht="12.75" thickBot="1"/>
    <row r="113" spans="1:13" ht="25.5" thickBot="1">
      <c r="A113" s="1015" t="s">
        <v>895</v>
      </c>
      <c r="B113" s="2475">
        <f>G3</f>
        <v>2.2000000000000002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0.91279999999999994</v>
      </c>
      <c r="C115" s="1029">
        <f>B115</f>
        <v>0.91279999999999994</v>
      </c>
      <c r="D115" s="1029">
        <f>ROUND(0.8331-0.0109*B113,4)</f>
        <v>0.80910000000000004</v>
      </c>
      <c r="E115" s="1029">
        <f>D115</f>
        <v>0.80910000000000004</v>
      </c>
      <c r="F115" s="1029">
        <f>E115</f>
        <v>0.80910000000000004</v>
      </c>
      <c r="G115" s="1029">
        <f>F115</f>
        <v>0.80910000000000004</v>
      </c>
      <c r="H115" s="1029">
        <f>G115</f>
        <v>0.80910000000000004</v>
      </c>
      <c r="I115" s="1029">
        <f>ROUND(0.689-0.0155*B113,4)</f>
        <v>0.65490000000000004</v>
      </c>
      <c r="J115" s="1029">
        <f t="shared" ref="J115:M118" si="33">I115</f>
        <v>0.65490000000000004</v>
      </c>
      <c r="K115" s="1029">
        <f t="shared" si="33"/>
        <v>0.65490000000000004</v>
      </c>
      <c r="L115" s="1029">
        <f t="shared" si="33"/>
        <v>0.65490000000000004</v>
      </c>
      <c r="M115" s="1030">
        <f t="shared" si="33"/>
        <v>0.65490000000000004</v>
      </c>
    </row>
    <row r="116" spans="1:13" ht="12.75">
      <c r="A116" s="1028" t="s">
        <v>900</v>
      </c>
      <c r="B116" s="1029">
        <f>ROUND(0.949-0.012*B113,4)</f>
        <v>0.92259999999999998</v>
      </c>
      <c r="C116" s="1029">
        <f>B116</f>
        <v>0.92259999999999998</v>
      </c>
      <c r="D116" s="1029">
        <f>ROUND(0.8567-0.013*B113,4)</f>
        <v>0.82809999999999995</v>
      </c>
      <c r="E116" s="1029">
        <f t="shared" ref="E116:H117" si="34">D116</f>
        <v>0.82809999999999995</v>
      </c>
      <c r="F116" s="1029">
        <f t="shared" si="34"/>
        <v>0.82809999999999995</v>
      </c>
      <c r="G116" s="1029">
        <f t="shared" si="34"/>
        <v>0.82809999999999995</v>
      </c>
      <c r="H116" s="1029">
        <f t="shared" si="34"/>
        <v>0.82809999999999995</v>
      </c>
      <c r="I116" s="1029">
        <f>ROUND(0.7694-0.014*B113,4)</f>
        <v>0.73860000000000003</v>
      </c>
      <c r="J116" s="1029">
        <f t="shared" si="33"/>
        <v>0.73860000000000003</v>
      </c>
      <c r="K116" s="1029">
        <f t="shared" si="33"/>
        <v>0.73860000000000003</v>
      </c>
      <c r="L116" s="1029">
        <f t="shared" si="33"/>
        <v>0.73860000000000003</v>
      </c>
      <c r="M116" s="1030">
        <f t="shared" si="33"/>
        <v>0.73860000000000003</v>
      </c>
    </row>
    <row r="117" spans="1:13" ht="12.75">
      <c r="A117" s="1031" t="s">
        <v>901</v>
      </c>
      <c r="B117" s="1029">
        <f>ROUND(0.8808-0.006*B113,4)</f>
        <v>0.86760000000000004</v>
      </c>
      <c r="C117" s="1029">
        <f>B117</f>
        <v>0.86760000000000004</v>
      </c>
      <c r="D117" s="1029">
        <f>ROUND(0.8748-0.008*B113,4)</f>
        <v>0.85719999999999996</v>
      </c>
      <c r="E117" s="1029">
        <f t="shared" si="34"/>
        <v>0.85719999999999996</v>
      </c>
      <c r="F117" s="1029">
        <f t="shared" si="34"/>
        <v>0.85719999999999996</v>
      </c>
      <c r="G117" s="1029">
        <f t="shared" si="34"/>
        <v>0.85719999999999996</v>
      </c>
      <c r="H117" s="1029">
        <f t="shared" si="34"/>
        <v>0.85719999999999996</v>
      </c>
      <c r="I117" s="1029">
        <f>ROUND(0.7412-0.0095*B113,4)</f>
        <v>0.72030000000000005</v>
      </c>
      <c r="J117" s="1029">
        <f t="shared" si="33"/>
        <v>0.72030000000000005</v>
      </c>
      <c r="K117" s="1029">
        <f t="shared" si="33"/>
        <v>0.72030000000000005</v>
      </c>
      <c r="L117" s="1029">
        <f t="shared" si="33"/>
        <v>0.72030000000000005</v>
      </c>
      <c r="M117" s="1030">
        <f t="shared" si="33"/>
        <v>0.72030000000000005</v>
      </c>
    </row>
    <row r="118" spans="1:13" ht="13.5" thickBot="1">
      <c r="A118" s="1032" t="s">
        <v>902</v>
      </c>
      <c r="B118" s="1033">
        <f>ROUND(0.7275-0.01*B113,4)</f>
        <v>0.70550000000000002</v>
      </c>
      <c r="C118" s="1033">
        <f>B118</f>
        <v>0.70550000000000002</v>
      </c>
      <c r="D118" s="1033">
        <f>ROUND(0.7043-0.012*B113,4)</f>
        <v>0.67789999999999995</v>
      </c>
      <c r="E118" s="1033">
        <f>D118</f>
        <v>0.67789999999999995</v>
      </c>
      <c r="F118" s="1033">
        <f>E118</f>
        <v>0.67789999999999995</v>
      </c>
      <c r="G118" s="1033">
        <f>ROUND(0.6299-0.0122*B113,4)</f>
        <v>0.60309999999999997</v>
      </c>
      <c r="H118" s="1033">
        <f>G118</f>
        <v>0.60309999999999997</v>
      </c>
      <c r="I118" s="1033">
        <f>ROUND(0.5667-0.0136*B113,4)</f>
        <v>0.53680000000000005</v>
      </c>
      <c r="J118" s="1033">
        <f t="shared" si="33"/>
        <v>0.53680000000000005</v>
      </c>
      <c r="K118" s="1033">
        <f t="shared" si="33"/>
        <v>0.53680000000000005</v>
      </c>
      <c r="L118" s="1033">
        <f t="shared" si="33"/>
        <v>0.53680000000000005</v>
      </c>
      <c r="M118" s="1034">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17" t="s">
        <v>1007</v>
      </c>
      <c r="B18" s="1153" t="s">
        <v>1446</v>
      </c>
      <c r="C18" s="1130" t="s">
        <v>1447</v>
      </c>
      <c r="D18" s="1131"/>
      <c r="E18" s="1153">
        <v>1</v>
      </c>
      <c r="F18" s="1132" t="s">
        <v>1448</v>
      </c>
      <c r="G18" s="1133"/>
      <c r="H18" s="1104"/>
      <c r="I18" s="1104"/>
    </row>
    <row r="19" spans="1:9" s="1598" customFormat="1" ht="19.5" customHeight="1">
      <c r="A19" s="3417"/>
      <c r="B19" s="3417" t="s">
        <v>1449</v>
      </c>
      <c r="C19" s="1130" t="s">
        <v>1450</v>
      </c>
      <c r="D19" s="1131"/>
      <c r="E19" s="1153">
        <v>0.9</v>
      </c>
      <c r="F19" s="1132" t="s">
        <v>1451</v>
      </c>
      <c r="G19" s="1133"/>
      <c r="H19" s="1104"/>
      <c r="I19" s="1104"/>
    </row>
    <row r="20" spans="1:9" s="1598" customFormat="1" ht="19.5" customHeight="1">
      <c r="A20" s="3417"/>
      <c r="B20" s="3417"/>
      <c r="C20" s="1130" t="s">
        <v>1452</v>
      </c>
      <c r="D20" s="1131"/>
      <c r="E20" s="1153">
        <v>1.1000000000000001</v>
      </c>
      <c r="F20" s="1132" t="s">
        <v>1453</v>
      </c>
      <c r="G20" s="1133"/>
      <c r="H20" s="1104"/>
      <c r="I20" s="1104"/>
    </row>
    <row r="21" spans="1:9" s="1598" customFormat="1" ht="19.5" customHeight="1">
      <c r="A21" s="3417"/>
      <c r="B21" s="3417"/>
      <c r="C21" s="1130" t="s">
        <v>1454</v>
      </c>
      <c r="D21" s="1131"/>
      <c r="E21" s="1153">
        <v>0.8</v>
      </c>
      <c r="F21" s="1132" t="s">
        <v>1455</v>
      </c>
      <c r="G21" s="1133"/>
      <c r="H21" s="1104"/>
      <c r="I21" s="1104"/>
    </row>
    <row r="22" spans="1:9" s="1598" customFormat="1" ht="19.5" customHeight="1">
      <c r="A22" s="3417"/>
      <c r="B22" s="3417"/>
      <c r="C22" s="1130" t="s">
        <v>1456</v>
      </c>
      <c r="D22" s="1131"/>
      <c r="E22" s="1153">
        <v>0.5</v>
      </c>
      <c r="F22" s="1132"/>
      <c r="G22" s="1133"/>
      <c r="H22" s="1104"/>
      <c r="I22" s="1104"/>
    </row>
    <row r="23" spans="1:9" s="1598" customFormat="1" ht="19.5" customHeight="1">
      <c r="A23" s="3417" t="s">
        <v>1029</v>
      </c>
      <c r="B23" s="1153" t="s">
        <v>1446</v>
      </c>
      <c r="C23" s="1130" t="s">
        <v>1457</v>
      </c>
      <c r="D23" s="1131"/>
      <c r="E23" s="1153">
        <v>1</v>
      </c>
      <c r="F23" s="1132" t="s">
        <v>1458</v>
      </c>
      <c r="G23" s="1133"/>
      <c r="H23" s="1104"/>
      <c r="I23" s="1104"/>
    </row>
    <row r="24" spans="1:9" s="1598" customFormat="1" ht="19.5" customHeight="1">
      <c r="A24" s="3417"/>
      <c r="B24" s="3417" t="s">
        <v>1449</v>
      </c>
      <c r="C24" s="1130" t="s">
        <v>1459</v>
      </c>
      <c r="D24" s="1131"/>
      <c r="E24" s="1153">
        <v>0.5</v>
      </c>
      <c r="F24" s="1132"/>
      <c r="G24" s="1133"/>
      <c r="H24" s="1104"/>
      <c r="I24" s="1104"/>
    </row>
    <row r="25" spans="1:9" s="1598" customFormat="1" ht="19.5" customHeight="1">
      <c r="A25" s="3417"/>
      <c r="B25" s="3417"/>
      <c r="C25" s="1130" t="s">
        <v>1460</v>
      </c>
      <c r="D25" s="1131"/>
      <c r="E25" s="1153">
        <v>1.1000000000000001</v>
      </c>
      <c r="F25" s="1132"/>
      <c r="G25" s="1133"/>
      <c r="H25" s="1104"/>
      <c r="I25" s="1104"/>
    </row>
    <row r="26" spans="1:9" s="1598" customFormat="1" ht="19.5" customHeight="1">
      <c r="A26" s="3417"/>
      <c r="B26" s="3417"/>
      <c r="C26" s="1130" t="s">
        <v>1461</v>
      </c>
      <c r="D26" s="1131"/>
      <c r="E26" s="1153">
        <v>1.1000000000000001</v>
      </c>
      <c r="F26" s="1132"/>
      <c r="G26" s="1133"/>
      <c r="H26" s="1104"/>
      <c r="I26" s="1104"/>
    </row>
    <row r="27" spans="1:9" s="1598" customFormat="1" ht="19.5" customHeight="1">
      <c r="A27" s="3417"/>
      <c r="B27" s="3417"/>
      <c r="C27" s="1130" t="s">
        <v>1462</v>
      </c>
      <c r="D27" s="1131"/>
      <c r="E27" s="1153">
        <v>0.9</v>
      </c>
      <c r="F27" s="1132" t="s">
        <v>1463</v>
      </c>
      <c r="G27" s="1133"/>
      <c r="H27" s="1104"/>
      <c r="I27" s="1104"/>
    </row>
    <row r="28" spans="1:9" s="1598" customFormat="1" ht="19.5" customHeight="1">
      <c r="A28" s="3417"/>
      <c r="B28" s="3417"/>
      <c r="C28" s="1130" t="s">
        <v>1464</v>
      </c>
      <c r="D28" s="1131"/>
      <c r="E28" s="1153">
        <v>0.9</v>
      </c>
      <c r="F28" s="1132" t="s">
        <v>1465</v>
      </c>
      <c r="G28" s="1133"/>
      <c r="H28" s="1104"/>
      <c r="I28" s="1104"/>
    </row>
    <row r="29" spans="1:9" s="1598" customFormat="1" ht="19.5" customHeight="1">
      <c r="A29" s="3417"/>
      <c r="B29" s="3417"/>
      <c r="C29" s="1130" t="s">
        <v>1466</v>
      </c>
      <c r="D29" s="1131"/>
      <c r="E29" s="1153">
        <v>0.9</v>
      </c>
      <c r="F29" s="1132" t="s">
        <v>1467</v>
      </c>
      <c r="G29" s="1133"/>
      <c r="H29" s="1104"/>
      <c r="I29" s="1104"/>
    </row>
    <row r="30" spans="1:9" s="1598" customFormat="1" ht="19.5" customHeight="1">
      <c r="A30" s="3417"/>
      <c r="B30" s="3417"/>
      <c r="C30" s="1130" t="s">
        <v>1468</v>
      </c>
      <c r="D30" s="1131"/>
      <c r="E30" s="1153">
        <v>0.9</v>
      </c>
      <c r="F30" s="1132" t="s">
        <v>1469</v>
      </c>
      <c r="G30" s="1133"/>
      <c r="H30" s="1104"/>
      <c r="I30" s="1104"/>
    </row>
    <row r="31" spans="1:9" s="1598" customFormat="1" ht="19.5" customHeight="1">
      <c r="A31" s="3417"/>
      <c r="B31" s="3417"/>
      <c r="C31" s="1130" t="s">
        <v>1470</v>
      </c>
      <c r="D31" s="1131"/>
      <c r="E31" s="1153">
        <v>0.8</v>
      </c>
      <c r="F31" s="1132" t="s">
        <v>1471</v>
      </c>
      <c r="G31" s="1133"/>
      <c r="H31" s="1104"/>
      <c r="I31" s="1104"/>
    </row>
    <row r="32" spans="1:9" s="1598" customFormat="1" ht="19.5" customHeight="1">
      <c r="A32" s="3417"/>
      <c r="B32" s="3417"/>
      <c r="C32" s="1130" t="s">
        <v>1472</v>
      </c>
      <c r="D32" s="1131"/>
      <c r="E32" s="1153">
        <v>0.8</v>
      </c>
      <c r="F32" s="1132" t="s">
        <v>1473</v>
      </c>
      <c r="G32" s="1133"/>
      <c r="H32" s="1104"/>
      <c r="I32" s="1104"/>
    </row>
    <row r="33" spans="1:9" s="1598" customFormat="1" ht="19.5" customHeight="1">
      <c r="A33" s="3417" t="s">
        <v>1474</v>
      </c>
      <c r="B33" s="1153" t="s">
        <v>1446</v>
      </c>
      <c r="C33" s="1130" t="s">
        <v>1475</v>
      </c>
      <c r="D33" s="1131"/>
      <c r="E33" s="1153">
        <v>1</v>
      </c>
      <c r="F33" s="1132" t="s">
        <v>1476</v>
      </c>
      <c r="G33" s="1133"/>
      <c r="H33" s="1104"/>
      <c r="I33" s="1104"/>
    </row>
    <row r="34" spans="1:9" s="1598" customFormat="1" ht="19.5" customHeight="1">
      <c r="A34" s="3417"/>
      <c r="B34" s="1153" t="s">
        <v>1449</v>
      </c>
      <c r="C34" s="1130" t="s">
        <v>1477</v>
      </c>
      <c r="D34" s="1131"/>
      <c r="E34" s="1153">
        <v>1.5</v>
      </c>
      <c r="F34" s="1132" t="s">
        <v>1478</v>
      </c>
      <c r="G34" s="1133"/>
      <c r="H34" s="1104"/>
      <c r="I34" s="1104"/>
    </row>
    <row r="35" spans="1:9" s="1598" customFormat="1" ht="19.5" customHeight="1">
      <c r="A35" s="3417" t="s">
        <v>1432</v>
      </c>
      <c r="B35" s="1153" t="s">
        <v>1446</v>
      </c>
      <c r="C35" s="1130" t="s">
        <v>1479</v>
      </c>
      <c r="D35" s="1131"/>
      <c r="E35" s="1153">
        <v>1</v>
      </c>
      <c r="F35" s="1132" t="s">
        <v>1480</v>
      </c>
      <c r="G35" s="1133"/>
      <c r="H35" s="1104"/>
      <c r="I35" s="1104"/>
    </row>
    <row r="36" spans="1:9" s="1598" customFormat="1" ht="19.5" customHeight="1">
      <c r="A36" s="3417"/>
      <c r="B36" s="3417" t="s">
        <v>1449</v>
      </c>
      <c r="C36" s="1130" t="s">
        <v>1481</v>
      </c>
      <c r="D36" s="1131"/>
      <c r="E36" s="1153">
        <v>1</v>
      </c>
      <c r="F36" s="1132" t="s">
        <v>1482</v>
      </c>
      <c r="G36" s="1133"/>
      <c r="H36" s="1104"/>
      <c r="I36" s="1104"/>
    </row>
    <row r="37" spans="1:9" s="1598" customFormat="1" ht="19.5" customHeight="1">
      <c r="A37" s="3417"/>
      <c r="B37" s="3417"/>
      <c r="C37" s="1130" t="s">
        <v>1483</v>
      </c>
      <c r="D37" s="1131"/>
      <c r="E37" s="1153">
        <v>1.5</v>
      </c>
      <c r="F37" s="1132" t="s">
        <v>1484</v>
      </c>
      <c r="G37" s="1133"/>
      <c r="H37" s="1104"/>
      <c r="I37" s="1104"/>
    </row>
    <row r="38" spans="1:9" s="1598" customFormat="1" ht="19.5" customHeight="1">
      <c r="A38" s="3417"/>
      <c r="B38" s="3417"/>
      <c r="C38" s="1130" t="s">
        <v>1485</v>
      </c>
      <c r="D38" s="1131"/>
      <c r="E38" s="1153">
        <v>1</v>
      </c>
      <c r="F38" s="1132" t="s">
        <v>1486</v>
      </c>
      <c r="G38" s="1133"/>
      <c r="H38" s="1104"/>
      <c r="I38" s="1104"/>
    </row>
    <row r="39" spans="1:9" s="1598" customFormat="1" ht="19.5" customHeight="1">
      <c r="A39" s="3417"/>
      <c r="B39" s="3417"/>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17" t="s">
        <v>1501</v>
      </c>
      <c r="C61" s="1067" t="s">
        <v>1502</v>
      </c>
      <c r="D61" s="1067" t="s">
        <v>1503</v>
      </c>
      <c r="E61" s="1138">
        <v>0.5</v>
      </c>
      <c r="F61" s="1153">
        <v>80</v>
      </c>
      <c r="H61" s="1104">
        <f>SUMIF(C59:C119,基准地价!C8,E59:E119)</f>
        <v>0</v>
      </c>
    </row>
    <row r="62" spans="1:8" s="1104" customFormat="1" ht="24">
      <c r="A62" s="1153">
        <v>2</v>
      </c>
      <c r="B62" s="3417"/>
      <c r="C62" s="1067" t="s">
        <v>1504</v>
      </c>
      <c r="D62" s="1067" t="s">
        <v>1505</v>
      </c>
      <c r="E62" s="1138">
        <v>0.5</v>
      </c>
      <c r="F62" s="1153">
        <v>80</v>
      </c>
    </row>
    <row r="63" spans="1:8" s="1104" customFormat="1" ht="36">
      <c r="A63" s="1153">
        <v>3</v>
      </c>
      <c r="B63" s="3417"/>
      <c r="C63" s="1067" t="s">
        <v>1506</v>
      </c>
      <c r="D63" s="1067" t="s">
        <v>1507</v>
      </c>
      <c r="E63" s="1138">
        <v>0.5</v>
      </c>
      <c r="F63" s="1153">
        <v>80</v>
      </c>
    </row>
    <row r="64" spans="1:8" s="1104" customFormat="1" ht="36">
      <c r="A64" s="1153">
        <v>4</v>
      </c>
      <c r="B64" s="3417"/>
      <c r="C64" s="1067" t="s">
        <v>1508</v>
      </c>
      <c r="D64" s="1067" t="s">
        <v>1509</v>
      </c>
      <c r="E64" s="1138">
        <v>0.4</v>
      </c>
      <c r="F64" s="1153">
        <v>60</v>
      </c>
    </row>
    <row r="65" spans="1:6" s="1104" customFormat="1" ht="36">
      <c r="A65" s="1153">
        <v>5</v>
      </c>
      <c r="B65" s="3417"/>
      <c r="C65" s="1067" t="s">
        <v>1510</v>
      </c>
      <c r="D65" s="1067" t="s">
        <v>1511</v>
      </c>
      <c r="E65" s="1138">
        <v>0.2</v>
      </c>
      <c r="F65" s="1153">
        <v>30</v>
      </c>
    </row>
    <row r="66" spans="1:6" s="1104" customFormat="1" ht="36">
      <c r="A66" s="1153">
        <v>6</v>
      </c>
      <c r="B66" s="3417"/>
      <c r="C66" s="1067" t="s">
        <v>1512</v>
      </c>
      <c r="D66" s="1067" t="s">
        <v>1513</v>
      </c>
      <c r="E66" s="1138">
        <v>0.3</v>
      </c>
      <c r="F66" s="1153">
        <v>50</v>
      </c>
    </row>
    <row r="67" spans="1:6" s="1104" customFormat="1" ht="36">
      <c r="A67" s="1153">
        <v>7</v>
      </c>
      <c r="B67" s="3417"/>
      <c r="C67" s="1067" t="s">
        <v>1514</v>
      </c>
      <c r="D67" s="1067" t="s">
        <v>1515</v>
      </c>
      <c r="E67" s="1138">
        <v>0.2</v>
      </c>
      <c r="F67" s="1153">
        <v>30</v>
      </c>
    </row>
    <row r="68" spans="1:6" s="1104" customFormat="1" ht="36">
      <c r="A68" s="1153">
        <v>8</v>
      </c>
      <c r="B68" s="3417"/>
      <c r="C68" s="1067" t="s">
        <v>1516</v>
      </c>
      <c r="D68" s="1067" t="s">
        <v>1517</v>
      </c>
      <c r="E68" s="1138">
        <v>0.2</v>
      </c>
      <c r="F68" s="1153">
        <v>30</v>
      </c>
    </row>
    <row r="69" spans="1:6" s="1104" customFormat="1" ht="36">
      <c r="A69" s="1153">
        <v>9</v>
      </c>
      <c r="B69" s="3417"/>
      <c r="C69" s="1067" t="s">
        <v>1518</v>
      </c>
      <c r="D69" s="1067" t="s">
        <v>1519</v>
      </c>
      <c r="E69" s="1138">
        <v>0.2</v>
      </c>
      <c r="F69" s="1153">
        <v>30</v>
      </c>
    </row>
    <row r="70" spans="1:6" s="1104" customFormat="1" ht="48">
      <c r="A70" s="1153">
        <v>10</v>
      </c>
      <c r="B70" s="3417"/>
      <c r="C70" s="1067" t="s">
        <v>1520</v>
      </c>
      <c r="D70" s="1067" t="s">
        <v>1521</v>
      </c>
      <c r="E70" s="1138">
        <v>0.2</v>
      </c>
      <c r="F70" s="1153">
        <v>30</v>
      </c>
    </row>
    <row r="71" spans="1:6" s="1104" customFormat="1" ht="48">
      <c r="A71" s="1153">
        <v>11</v>
      </c>
      <c r="B71" s="3417"/>
      <c r="C71" s="1067" t="s">
        <v>1522</v>
      </c>
      <c r="D71" s="1067" t="s">
        <v>1523</v>
      </c>
      <c r="E71" s="1138">
        <v>0.2</v>
      </c>
      <c r="F71" s="1153">
        <v>30</v>
      </c>
    </row>
    <row r="72" spans="1:6" s="1104" customFormat="1" ht="36">
      <c r="A72" s="1153">
        <v>12</v>
      </c>
      <c r="B72" s="3417"/>
      <c r="C72" s="1067" t="s">
        <v>1524</v>
      </c>
      <c r="D72" s="1067" t="s">
        <v>1525</v>
      </c>
      <c r="E72" s="1138">
        <v>0.5</v>
      </c>
      <c r="F72" s="1153">
        <v>80</v>
      </c>
    </row>
    <row r="73" spans="1:6" s="1104" customFormat="1" ht="24">
      <c r="A73" s="1153">
        <v>13</v>
      </c>
      <c r="B73" s="3417"/>
      <c r="C73" s="1067" t="s">
        <v>1526</v>
      </c>
      <c r="D73" s="1067" t="s">
        <v>1527</v>
      </c>
      <c r="E73" s="1138">
        <v>0.4</v>
      </c>
      <c r="F73" s="1153">
        <v>60</v>
      </c>
    </row>
    <row r="74" spans="1:6" s="1104" customFormat="1" ht="24">
      <c r="A74" s="1153">
        <v>14</v>
      </c>
      <c r="B74" s="3417"/>
      <c r="C74" s="1067" t="s">
        <v>1528</v>
      </c>
      <c r="D74" s="1067" t="s">
        <v>1529</v>
      </c>
      <c r="E74" s="1138">
        <v>0.2</v>
      </c>
      <c r="F74" s="1153">
        <v>30</v>
      </c>
    </row>
    <row r="75" spans="1:6" s="1104" customFormat="1" ht="24">
      <c r="A75" s="1153">
        <v>15</v>
      </c>
      <c r="B75" s="3417"/>
      <c r="C75" s="1067" t="s">
        <v>1530</v>
      </c>
      <c r="D75" s="1067" t="s">
        <v>1531</v>
      </c>
      <c r="E75" s="1138">
        <v>0.2</v>
      </c>
      <c r="F75" s="1153">
        <v>30</v>
      </c>
    </row>
    <row r="76" spans="1:6" s="1104" customFormat="1" ht="24">
      <c r="A76" s="1153">
        <v>16</v>
      </c>
      <c r="B76" s="3417" t="s">
        <v>1532</v>
      </c>
      <c r="C76" s="1067" t="s">
        <v>1533</v>
      </c>
      <c r="D76" s="1067" t="s">
        <v>1534</v>
      </c>
      <c r="E76" s="1138">
        <v>0.5</v>
      </c>
      <c r="F76" s="1153">
        <v>80</v>
      </c>
    </row>
    <row r="77" spans="1:6" s="1104" customFormat="1" ht="24">
      <c r="A77" s="1153">
        <v>17</v>
      </c>
      <c r="B77" s="3417"/>
      <c r="C77" s="1067" t="s">
        <v>1535</v>
      </c>
      <c r="D77" s="1067" t="s">
        <v>1536</v>
      </c>
      <c r="E77" s="1138">
        <v>0.5</v>
      </c>
      <c r="F77" s="1153">
        <v>80</v>
      </c>
    </row>
    <row r="78" spans="1:6" s="1104" customFormat="1" ht="24">
      <c r="A78" s="1153">
        <v>18</v>
      </c>
      <c r="B78" s="3417"/>
      <c r="C78" s="1067" t="s">
        <v>1537</v>
      </c>
      <c r="D78" s="1067" t="s">
        <v>1538</v>
      </c>
      <c r="E78" s="1138">
        <v>0.2</v>
      </c>
      <c r="F78" s="1153">
        <v>30</v>
      </c>
    </row>
    <row r="79" spans="1:6" s="1104" customFormat="1" ht="24">
      <c r="A79" s="1153">
        <v>19</v>
      </c>
      <c r="B79" s="3417"/>
      <c r="C79" s="1067" t="s">
        <v>1539</v>
      </c>
      <c r="D79" s="1067" t="s">
        <v>1540</v>
      </c>
      <c r="E79" s="1138">
        <v>0.5</v>
      </c>
      <c r="F79" s="1153">
        <v>80</v>
      </c>
    </row>
    <row r="80" spans="1:6" s="1104" customFormat="1" ht="36">
      <c r="A80" s="1153">
        <v>20</v>
      </c>
      <c r="B80" s="3417"/>
      <c r="C80" s="1067" t="s">
        <v>1541</v>
      </c>
      <c r="D80" s="1067" t="s">
        <v>1542</v>
      </c>
      <c r="E80" s="1138">
        <v>0.2</v>
      </c>
      <c r="F80" s="1153">
        <v>30</v>
      </c>
    </row>
    <row r="81" spans="1:6" s="1104" customFormat="1" ht="36">
      <c r="A81" s="1153">
        <v>21</v>
      </c>
      <c r="B81" s="3417"/>
      <c r="C81" s="1067" t="s">
        <v>1543</v>
      </c>
      <c r="D81" s="1067" t="s">
        <v>1544</v>
      </c>
      <c r="E81" s="1138">
        <v>0.2</v>
      </c>
      <c r="F81" s="1153">
        <v>30</v>
      </c>
    </row>
    <row r="82" spans="1:6" s="1104" customFormat="1" ht="48">
      <c r="A82" s="1153">
        <v>22</v>
      </c>
      <c r="B82" s="3417"/>
      <c r="C82" s="1067" t="s">
        <v>1545</v>
      </c>
      <c r="D82" s="1067" t="s">
        <v>1546</v>
      </c>
      <c r="E82" s="1138">
        <v>0.2</v>
      </c>
      <c r="F82" s="1153">
        <v>30</v>
      </c>
    </row>
    <row r="83" spans="1:6" s="1104" customFormat="1" ht="48">
      <c r="A83" s="1153">
        <v>23</v>
      </c>
      <c r="B83" s="3417"/>
      <c r="C83" s="1067" t="s">
        <v>1547</v>
      </c>
      <c r="D83" s="1067" t="s">
        <v>1548</v>
      </c>
      <c r="E83" s="1138">
        <v>0.2</v>
      </c>
      <c r="F83" s="1153">
        <v>30</v>
      </c>
    </row>
    <row r="84" spans="1:6" s="1104" customFormat="1" ht="36">
      <c r="A84" s="1153">
        <v>24</v>
      </c>
      <c r="B84" s="3417"/>
      <c r="C84" s="1067" t="s">
        <v>1549</v>
      </c>
      <c r="D84" s="1067" t="s">
        <v>1550</v>
      </c>
      <c r="E84" s="1138">
        <v>0.2</v>
      </c>
      <c r="F84" s="1153">
        <v>30</v>
      </c>
    </row>
    <row r="85" spans="1:6" s="1104" customFormat="1" ht="36">
      <c r="A85" s="1153">
        <v>25</v>
      </c>
      <c r="B85" s="3417"/>
      <c r="C85" s="1067" t="s">
        <v>1551</v>
      </c>
      <c r="D85" s="1067" t="s">
        <v>1552</v>
      </c>
      <c r="E85" s="1138">
        <v>0.5</v>
      </c>
      <c r="F85" s="1153">
        <v>80</v>
      </c>
    </row>
    <row r="86" spans="1:6" s="1104" customFormat="1" ht="36">
      <c r="A86" s="1153">
        <v>26</v>
      </c>
      <c r="B86" s="3417"/>
      <c r="C86" s="1067" t="s">
        <v>1553</v>
      </c>
      <c r="D86" s="1067" t="s">
        <v>1554</v>
      </c>
      <c r="E86" s="1138">
        <v>0.2</v>
      </c>
      <c r="F86" s="1153">
        <v>30</v>
      </c>
    </row>
    <row r="87" spans="1:6" s="1104" customFormat="1" ht="36">
      <c r="A87" s="1153">
        <v>27</v>
      </c>
      <c r="B87" s="3417"/>
      <c r="C87" s="1067" t="s">
        <v>1555</v>
      </c>
      <c r="D87" s="1067" t="s">
        <v>1556</v>
      </c>
      <c r="E87" s="1138">
        <v>0.2</v>
      </c>
      <c r="F87" s="1153">
        <v>30</v>
      </c>
    </row>
    <row r="88" spans="1:6" s="1104" customFormat="1" ht="36">
      <c r="A88" s="1153">
        <v>28</v>
      </c>
      <c r="B88" s="3417"/>
      <c r="C88" s="1067" t="s">
        <v>1557</v>
      </c>
      <c r="D88" s="1067" t="s">
        <v>1558</v>
      </c>
      <c r="E88" s="1138">
        <v>0.2</v>
      </c>
      <c r="F88" s="1153">
        <v>30</v>
      </c>
    </row>
    <row r="89" spans="1:6" s="1104" customFormat="1" ht="24">
      <c r="A89" s="1153">
        <v>29</v>
      </c>
      <c r="B89" s="3417"/>
      <c r="C89" s="1067" t="s">
        <v>1559</v>
      </c>
      <c r="D89" s="1067" t="s">
        <v>1560</v>
      </c>
      <c r="E89" s="1138">
        <v>0.2</v>
      </c>
      <c r="F89" s="1153">
        <v>30</v>
      </c>
    </row>
    <row r="90" spans="1:6" s="1104" customFormat="1" ht="24">
      <c r="A90" s="1153">
        <v>30</v>
      </c>
      <c r="B90" s="3417"/>
      <c r="C90" s="1067" t="s">
        <v>1561</v>
      </c>
      <c r="D90" s="1067" t="s">
        <v>1562</v>
      </c>
      <c r="E90" s="1138">
        <v>0.2</v>
      </c>
      <c r="F90" s="1153">
        <v>30</v>
      </c>
    </row>
    <row r="91" spans="1:6" s="1104" customFormat="1" ht="36">
      <c r="A91" s="1153">
        <v>31</v>
      </c>
      <c r="B91" s="3417"/>
      <c r="C91" s="1067" t="s">
        <v>1563</v>
      </c>
      <c r="D91" s="1067" t="s">
        <v>1564</v>
      </c>
      <c r="E91" s="1138">
        <v>0.2</v>
      </c>
      <c r="F91" s="1153">
        <v>30</v>
      </c>
    </row>
    <row r="92" spans="1:6" s="1104" customFormat="1" ht="24">
      <c r="A92" s="1153">
        <v>32</v>
      </c>
      <c r="B92" s="3417" t="s">
        <v>1565</v>
      </c>
      <c r="C92" s="1153" t="s">
        <v>1566</v>
      </c>
      <c r="D92" s="1067" t="s">
        <v>1567</v>
      </c>
      <c r="E92" s="1138">
        <v>0.2</v>
      </c>
      <c r="F92" s="1153">
        <v>30</v>
      </c>
    </row>
    <row r="93" spans="1:6" s="1104" customFormat="1" ht="36">
      <c r="A93" s="1153">
        <v>33</v>
      </c>
      <c r="B93" s="3417"/>
      <c r="C93" s="1153" t="s">
        <v>1568</v>
      </c>
      <c r="D93" s="1067" t="s">
        <v>1569</v>
      </c>
      <c r="E93" s="1138">
        <v>0.2</v>
      </c>
      <c r="F93" s="1153">
        <v>30</v>
      </c>
    </row>
    <row r="94" spans="1:6" s="1104" customFormat="1" ht="48">
      <c r="A94" s="1153">
        <v>34</v>
      </c>
      <c r="B94" s="3417"/>
      <c r="C94" s="1153" t="s">
        <v>1570</v>
      </c>
      <c r="D94" s="1067" t="s">
        <v>1571</v>
      </c>
      <c r="E94" s="1138">
        <v>0.2</v>
      </c>
      <c r="F94" s="1153">
        <v>30</v>
      </c>
    </row>
    <row r="95" spans="1:6" s="1104" customFormat="1" ht="36">
      <c r="A95" s="1153">
        <v>35</v>
      </c>
      <c r="B95" s="3417"/>
      <c r="C95" s="1153" t="s">
        <v>1572</v>
      </c>
      <c r="D95" s="1067" t="s">
        <v>1573</v>
      </c>
      <c r="E95" s="1138">
        <v>0.2</v>
      </c>
      <c r="F95" s="1153">
        <v>30</v>
      </c>
    </row>
    <row r="96" spans="1:6" s="1104" customFormat="1" ht="48">
      <c r="A96" s="1153">
        <v>36</v>
      </c>
      <c r="B96" s="3417"/>
      <c r="C96" s="1067" t="s">
        <v>1574</v>
      </c>
      <c r="D96" s="1067" t="s">
        <v>1575</v>
      </c>
      <c r="E96" s="1138">
        <v>0.2</v>
      </c>
      <c r="F96" s="1153">
        <v>30</v>
      </c>
    </row>
    <row r="97" spans="1:6" s="1104" customFormat="1" ht="36">
      <c r="A97" s="1153">
        <v>37</v>
      </c>
      <c r="B97" s="3417"/>
      <c r="C97" s="1153" t="s">
        <v>1576</v>
      </c>
      <c r="D97" s="1067" t="s">
        <v>1577</v>
      </c>
      <c r="E97" s="1138">
        <v>0.2</v>
      </c>
      <c r="F97" s="1153">
        <v>30</v>
      </c>
    </row>
    <row r="98" spans="1:6" s="1104" customFormat="1" ht="36">
      <c r="A98" s="1153">
        <v>38</v>
      </c>
      <c r="B98" s="3417"/>
      <c r="C98" s="1153" t="s">
        <v>1578</v>
      </c>
      <c r="D98" s="1067" t="s">
        <v>1579</v>
      </c>
      <c r="E98" s="1138">
        <v>0.2</v>
      </c>
      <c r="F98" s="1153">
        <v>30</v>
      </c>
    </row>
    <row r="99" spans="1:6" s="1104" customFormat="1" ht="36">
      <c r="A99" s="1153">
        <v>39</v>
      </c>
      <c r="B99" s="3417" t="s">
        <v>1580</v>
      </c>
      <c r="C99" s="1153" t="s">
        <v>1581</v>
      </c>
      <c r="D99" s="1067" t="s">
        <v>1582</v>
      </c>
      <c r="E99" s="1138">
        <v>0.3</v>
      </c>
      <c r="F99" s="1153">
        <v>50</v>
      </c>
    </row>
    <row r="100" spans="1:6" s="1104" customFormat="1" ht="24">
      <c r="A100" s="1153">
        <v>40</v>
      </c>
      <c r="B100" s="3417"/>
      <c r="C100" s="1153" t="s">
        <v>1583</v>
      </c>
      <c r="D100" s="1067" t="s">
        <v>1584</v>
      </c>
      <c r="E100" s="1138">
        <v>0.2</v>
      </c>
      <c r="F100" s="1153">
        <v>30</v>
      </c>
    </row>
    <row r="101" spans="1:6" s="1104" customFormat="1" ht="36">
      <c r="A101" s="1153">
        <v>41</v>
      </c>
      <c r="B101" s="3417"/>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17" t="s">
        <v>1595</v>
      </c>
      <c r="C105" s="1153" t="s">
        <v>1596</v>
      </c>
      <c r="D105" s="1067" t="s">
        <v>1597</v>
      </c>
      <c r="E105" s="1138">
        <v>0.2</v>
      </c>
      <c r="F105" s="1153">
        <v>30</v>
      </c>
    </row>
    <row r="106" spans="1:6" s="1104" customFormat="1" ht="36">
      <c r="A106" s="1153">
        <v>46</v>
      </c>
      <c r="B106" s="3417"/>
      <c r="C106" s="1153" t="s">
        <v>1598</v>
      </c>
      <c r="D106" s="1067" t="s">
        <v>1599</v>
      </c>
      <c r="E106" s="1138">
        <v>0.2</v>
      </c>
      <c r="F106" s="1153">
        <v>30</v>
      </c>
    </row>
    <row r="107" spans="1:6" s="1104" customFormat="1" ht="36">
      <c r="A107" s="1153">
        <v>47</v>
      </c>
      <c r="B107" s="3417" t="s">
        <v>1600</v>
      </c>
      <c r="C107" s="1153" t="s">
        <v>1601</v>
      </c>
      <c r="D107" s="1067" t="s">
        <v>1602</v>
      </c>
      <c r="E107" s="1138">
        <v>0.3</v>
      </c>
      <c r="F107" s="1153">
        <v>50</v>
      </c>
    </row>
    <row r="108" spans="1:6" s="1104" customFormat="1" ht="36">
      <c r="A108" s="1153">
        <v>48</v>
      </c>
      <c r="B108" s="3417"/>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17" t="s">
        <v>1611</v>
      </c>
      <c r="C111" s="1153" t="s">
        <v>1612</v>
      </c>
      <c r="D111" s="1067" t="s">
        <v>1613</v>
      </c>
      <c r="E111" s="1138">
        <v>0.2</v>
      </c>
      <c r="F111" s="1153">
        <v>30</v>
      </c>
    </row>
    <row r="112" spans="1:6" s="1104" customFormat="1" ht="24">
      <c r="A112" s="1153">
        <v>52</v>
      </c>
      <c r="B112" s="3417"/>
      <c r="C112" s="1153" t="s">
        <v>1614</v>
      </c>
      <c r="D112" s="1067" t="s">
        <v>1615</v>
      </c>
      <c r="E112" s="1138">
        <v>0.2</v>
      </c>
      <c r="F112" s="1153">
        <v>30</v>
      </c>
    </row>
    <row r="113" spans="1:14" s="1104" customFormat="1" ht="24">
      <c r="A113" s="1153">
        <v>53</v>
      </c>
      <c r="B113" s="3417"/>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17" t="s">
        <v>1624</v>
      </c>
      <c r="C116" s="1153" t="s">
        <v>1625</v>
      </c>
      <c r="D116" s="1067" t="s">
        <v>1626</v>
      </c>
      <c r="E116" s="1138">
        <v>0.2</v>
      </c>
      <c r="F116" s="1153">
        <v>30</v>
      </c>
    </row>
    <row r="117" spans="1:14" ht="36">
      <c r="A117" s="1153">
        <v>57</v>
      </c>
      <c r="B117" s="3417"/>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16" t="s">
        <v>1633</v>
      </c>
      <c r="B121" s="3416"/>
      <c r="C121" s="3416"/>
      <c r="D121" s="3416"/>
      <c r="E121" s="3416"/>
      <c r="F121" s="3416"/>
      <c r="G121" s="3416"/>
      <c r="H121" s="3416"/>
      <c r="I121" s="3416"/>
      <c r="J121" s="341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1" t="s">
        <v>1039</v>
      </c>
      <c r="B1" s="3421"/>
      <c r="C1" s="3421"/>
      <c r="D1" s="3421"/>
      <c r="E1" s="3421"/>
      <c r="F1" s="3421"/>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22" t="s">
        <v>1052</v>
      </c>
      <c r="B2" s="3422"/>
      <c r="C2" s="3422"/>
      <c r="D2" s="3422"/>
      <c r="E2" s="3422"/>
      <c r="F2" s="3422"/>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23"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24"/>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25" t="s">
        <v>2080</v>
      </c>
      <c r="B1" s="3425"/>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2952</v>
      </c>
      <c r="B1" s="3133"/>
      <c r="C1" s="3133"/>
      <c r="D1" s="3133"/>
      <c r="E1" s="3133"/>
      <c r="F1" s="3133"/>
    </row>
    <row r="2" spans="1:6" ht="14.25">
      <c r="A2" s="3134" t="s">
        <v>2946</v>
      </c>
      <c r="B2" s="3135" t="e">
        <f ca="1">SUMIF(B7:B14,"&lt;&gt;#ref!",B7:B14)</f>
        <v>#DIV/0!</v>
      </c>
      <c r="C2" s="3134" t="s">
        <v>2947</v>
      </c>
      <c r="D2" s="3133"/>
      <c r="E2" s="3133"/>
      <c r="F2" s="3133"/>
    </row>
    <row r="3" spans="1:6" ht="14.25">
      <c r="A3" s="3134" t="s">
        <v>2949</v>
      </c>
      <c r="B3" s="3135" t="e">
        <f ca="1">ROUND(B2*10000/E3,0)</f>
        <v>#DIV/0!</v>
      </c>
      <c r="C3" s="3134" t="s">
        <v>2079</v>
      </c>
      <c r="D3" s="3134" t="s">
        <v>2948</v>
      </c>
      <c r="E3" s="3135" t="e">
        <f ca="1">SUM(E7:E14)</f>
        <v>#REF!</v>
      </c>
      <c r="F3" s="3133"/>
    </row>
    <row r="4" spans="1:6" ht="14.25">
      <c r="A4" s="3134" t="s">
        <v>2956</v>
      </c>
      <c r="B4" s="3135" t="e">
        <f ca="1">ROUND(B2*10000/E4,0)</f>
        <v>#DIV/0!</v>
      </c>
      <c r="C4" s="3134" t="s">
        <v>2079</v>
      </c>
      <c r="D4" s="3134" t="s">
        <v>2957</v>
      </c>
      <c r="E4" s="3135" t="e">
        <f ca="1">SUM(F7:F14)</f>
        <v>#REF!</v>
      </c>
      <c r="F4" s="3133"/>
    </row>
    <row r="5" spans="1:6" ht="14.25">
      <c r="A5" s="3136"/>
      <c r="B5" s="1881"/>
      <c r="C5" s="1881"/>
      <c r="D5" s="1881"/>
      <c r="E5" s="1881"/>
      <c r="F5" s="3133"/>
    </row>
    <row r="6" spans="1:6" ht="28.5">
      <c r="A6" s="3137" t="s">
        <v>2953</v>
      </c>
      <c r="B6" s="3134" t="s">
        <v>2950</v>
      </c>
      <c r="C6" s="3135"/>
      <c r="D6" s="1881"/>
      <c r="E6" s="3134" t="s">
        <v>2951</v>
      </c>
      <c r="F6" s="3134" t="s">
        <v>2955</v>
      </c>
    </row>
    <row r="7" spans="1:6" ht="14.25">
      <c r="A7" s="259" t="s">
        <v>2954</v>
      </c>
      <c r="B7" s="3138" t="e">
        <f ca="1">SUMIF(INDIRECT("'"&amp;A7&amp;"'"&amp;"!A:A"),"总价",INDIRECT("'"&amp;A7&amp;"'"&amp;"!B:B"))</f>
        <v>#DIV/0!</v>
      </c>
      <c r="C7" s="3134" t="s">
        <v>2947</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2947</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2947</v>
      </c>
      <c r="D9" s="1881"/>
      <c r="E9" s="3139" t="e">
        <f t="shared" ca="1" si="1"/>
        <v>#REF!</v>
      </c>
      <c r="F9" s="3139" t="e">
        <f t="shared" ca="1" si="2"/>
        <v>#REF!</v>
      </c>
    </row>
    <row r="10" spans="1:6" ht="14.25">
      <c r="A10" s="259"/>
      <c r="B10" s="3138" t="e">
        <f t="shared" ca="1" si="0"/>
        <v>#REF!</v>
      </c>
      <c r="C10" s="3134" t="s">
        <v>2947</v>
      </c>
      <c r="D10" s="1881"/>
      <c r="E10" s="3139" t="e">
        <f t="shared" ca="1" si="1"/>
        <v>#REF!</v>
      </c>
      <c r="F10" s="3139" t="e">
        <f t="shared" ca="1" si="2"/>
        <v>#REF!</v>
      </c>
    </row>
    <row r="11" spans="1:6" ht="14.25">
      <c r="A11" s="259"/>
      <c r="B11" s="3138" t="e">
        <f t="shared" ca="1" si="0"/>
        <v>#REF!</v>
      </c>
      <c r="C11" s="3134" t="s">
        <v>2947</v>
      </c>
      <c r="D11" s="1881"/>
      <c r="E11" s="3139" t="e">
        <f t="shared" ca="1" si="1"/>
        <v>#REF!</v>
      </c>
      <c r="F11" s="3139" t="e">
        <f t="shared" ca="1" si="2"/>
        <v>#REF!</v>
      </c>
    </row>
    <row r="12" spans="1:6" ht="14.25">
      <c r="A12" s="259"/>
      <c r="B12" s="3138" t="e">
        <f t="shared" ca="1" si="0"/>
        <v>#REF!</v>
      </c>
      <c r="C12" s="3134" t="s">
        <v>2947</v>
      </c>
      <c r="D12" s="1881"/>
      <c r="E12" s="3139" t="e">
        <f t="shared" ca="1" si="1"/>
        <v>#REF!</v>
      </c>
      <c r="F12" s="3139" t="e">
        <f t="shared" ca="1" si="2"/>
        <v>#REF!</v>
      </c>
    </row>
    <row r="13" spans="1:6" ht="14.25">
      <c r="A13" s="259"/>
      <c r="B13" s="3138" t="e">
        <f t="shared" ca="1" si="0"/>
        <v>#REF!</v>
      </c>
      <c r="C13" s="3134" t="s">
        <v>2947</v>
      </c>
      <c r="D13" s="1881"/>
      <c r="E13" s="3139" t="e">
        <f t="shared" ca="1" si="1"/>
        <v>#REF!</v>
      </c>
      <c r="F13" s="3139" t="e">
        <f t="shared" ca="1" si="2"/>
        <v>#REF!</v>
      </c>
    </row>
    <row r="14" spans="1:6" ht="14.25">
      <c r="A14" s="3132"/>
      <c r="B14" s="3138" t="e">
        <f t="shared" ca="1" si="0"/>
        <v>#REF!</v>
      </c>
      <c r="C14" s="3134" t="s">
        <v>2947</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2375</v>
      </c>
      <c r="F1" s="2412">
        <f ca="1">J54</f>
        <v>0</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695</v>
      </c>
      <c r="I3" s="2057"/>
      <c r="J3" s="2057"/>
      <c r="K3" s="2058"/>
      <c r="L3" s="2057"/>
      <c r="M3" s="2057"/>
    </row>
    <row r="4" spans="1:25" ht="18" customHeight="1">
      <c r="A4" s="1645" t="s">
        <v>696</v>
      </c>
      <c r="B4" s="1351">
        <f ca="1">ROUND(B2*10000/'数据-汇总表'!D3,0)</f>
        <v>0</v>
      </c>
      <c r="C4" s="430"/>
      <c r="D4" s="2055"/>
      <c r="E4" s="2056"/>
      <c r="F4" s="2056"/>
      <c r="G4" s="1589"/>
      <c r="H4" s="776"/>
      <c r="I4" s="2057"/>
      <c r="J4" s="2057"/>
      <c r="K4" s="2058"/>
      <c r="L4" s="2057"/>
      <c r="M4" s="2057"/>
    </row>
    <row r="5" spans="1:25" ht="18" customHeight="1" thickBot="1">
      <c r="A5" s="1646"/>
      <c r="B5" s="432">
        <f ca="1">ROUND(B2/('数据-汇总表'!D3/666.67),0)</f>
        <v>0</v>
      </c>
      <c r="C5" s="433"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2460</v>
      </c>
      <c r="C7" s="53">
        <f ca="1">C8+C12+C14</f>
        <v>0</v>
      </c>
      <c r="D7" s="2520" t="s">
        <v>2463</v>
      </c>
      <c r="E7" s="2514"/>
      <c r="F7" s="2515"/>
      <c r="G7" s="1591"/>
      <c r="H7" s="781">
        <v>1</v>
      </c>
      <c r="I7" s="782" t="s">
        <v>2460</v>
      </c>
      <c r="J7" s="53">
        <f ca="1">J8+J12+J14</f>
        <v>0</v>
      </c>
      <c r="K7" s="2520" t="s">
        <v>2463</v>
      </c>
      <c r="L7" s="2514"/>
      <c r="M7" s="2515"/>
    </row>
    <row r="8" spans="1:25" ht="18" customHeight="1">
      <c r="A8" s="1830" t="s">
        <v>1824</v>
      </c>
      <c r="B8" s="3427" t="s">
        <v>2465</v>
      </c>
      <c r="C8" s="1825">
        <f ca="1">ROUND(F8*F10*F9*(1-F11)/10000,0)</f>
        <v>0</v>
      </c>
      <c r="D8" s="1822" t="s">
        <v>2537</v>
      </c>
      <c r="E8" s="61" t="s">
        <v>637</v>
      </c>
      <c r="F8" s="785">
        <f ca="1">INDIRECT("'数据-取费表'!u"&amp;$G$1)</f>
        <v>0</v>
      </c>
      <c r="G8" s="1591"/>
      <c r="H8" s="2528" t="s">
        <v>1824</v>
      </c>
      <c r="I8" s="3427" t="s">
        <v>2465</v>
      </c>
      <c r="J8" s="783">
        <f ca="1">ROUND(M8*M10*M9*(1-M11)/10000,0)</f>
        <v>0</v>
      </c>
      <c r="K8" s="343" t="s">
        <v>2537</v>
      </c>
      <c r="L8" s="784" t="s">
        <v>1738</v>
      </c>
      <c r="M8" s="785">
        <f ca="1">INDIRECT("'数据-取费表'!z"&amp;$G$1)</f>
        <v>0</v>
      </c>
    </row>
    <row r="9" spans="1:25" ht="18" customHeight="1">
      <c r="A9" s="2524"/>
      <c r="B9" s="3428"/>
      <c r="C9" s="1826"/>
      <c r="D9" s="1823"/>
      <c r="E9" s="61" t="s">
        <v>638</v>
      </c>
      <c r="F9" s="785">
        <f ca="1">IF(INDIRECT("'数据-取费表'!ah"&amp;$G$1)="",INDIRECT("'数据-取费表'!k"&amp;$G$1),INDIRECT("'数据-取费表'!ah"&amp;$G$1))</f>
        <v>0</v>
      </c>
      <c r="G9" s="1591"/>
      <c r="H9" s="2513"/>
      <c r="I9" s="3428"/>
      <c r="J9" s="788"/>
      <c r="K9" s="789"/>
      <c r="L9" s="784" t="s">
        <v>1739</v>
      </c>
      <c r="M9" s="785">
        <f ca="1">F9</f>
        <v>0</v>
      </c>
    </row>
    <row r="10" spans="1:25" ht="18" customHeight="1">
      <c r="A10" s="2517"/>
      <c r="B10" s="3429"/>
      <c r="C10" s="1826"/>
      <c r="D10" s="1823"/>
      <c r="E10" s="61" t="s">
        <v>639</v>
      </c>
      <c r="F10" s="785">
        <f ca="1">INDIRECT("'数据-取费表'!ai"&amp;$G$1)</f>
        <v>0</v>
      </c>
      <c r="G10" s="1591"/>
      <c r="H10" s="2513"/>
      <c r="I10" s="3429"/>
      <c r="J10" s="788"/>
      <c r="K10" s="789"/>
      <c r="L10" s="784" t="s">
        <v>1740</v>
      </c>
      <c r="M10" s="785">
        <f ca="1">INDIRECT("'数据-取费表'!ai"&amp;$G$1)</f>
        <v>0</v>
      </c>
    </row>
    <row r="11" spans="1:25" ht="18" customHeight="1">
      <c r="A11" s="786"/>
      <c r="B11" s="3430"/>
      <c r="C11" s="1826"/>
      <c r="D11" s="1823"/>
      <c r="E11" s="61" t="s">
        <v>640</v>
      </c>
      <c r="F11" s="794">
        <f ca="1">INDIRECT("'数据-取费表'!w"&amp;$G$1)</f>
        <v>0</v>
      </c>
      <c r="G11" s="1591"/>
      <c r="H11" s="2529"/>
      <c r="I11" s="3429"/>
      <c r="J11" s="788"/>
      <c r="K11" s="789"/>
      <c r="L11" s="795" t="s">
        <v>1741</v>
      </c>
      <c r="M11" s="796">
        <f ca="1">INDIRECT("'数据-取费表'!ab"&amp;$G$1)</f>
        <v>0</v>
      </c>
    </row>
    <row r="12" spans="1:25" ht="18" customHeight="1">
      <c r="A12" s="1830" t="s">
        <v>1825</v>
      </c>
      <c r="B12" s="2518" t="s">
        <v>2461</v>
      </c>
      <c r="C12" s="799">
        <f ca="1">ROUND(IF(F12="押一",F8*F10*F9/12*F13,IF(F12="押二",F8*F10*F9/12*2*F13,IF(F12="押三",F8*F10*F9/12*3*F13,C13*F13)))/10000,0)</f>
        <v>0</v>
      </c>
      <c r="D12" s="2525" t="s">
        <v>2468</v>
      </c>
      <c r="E12" s="2522" t="s">
        <v>2466</v>
      </c>
      <c r="F12" s="2645"/>
      <c r="G12" s="1591"/>
      <c r="H12" s="2585" t="s">
        <v>1825</v>
      </c>
      <c r="I12" s="2590" t="s">
        <v>2461</v>
      </c>
      <c r="J12" s="783">
        <f ca="1">ROUND(IF(M12="押一",M8*M10*M9/12*M13,IF(M12="押二",M8*M10*M9/12*2*M13,IF(M12="押三",M8*M10*M9/12*3*M13,J13*M13)))/10000,0)</f>
        <v>0</v>
      </c>
      <c r="K12" s="2525" t="s">
        <v>2468</v>
      </c>
      <c r="L12" s="2522" t="s">
        <v>2466</v>
      </c>
      <c r="M12" s="2645"/>
    </row>
    <row r="13" spans="1:25" ht="18" customHeight="1">
      <c r="A13" s="790"/>
      <c r="B13" s="2519" t="s">
        <v>2576</v>
      </c>
      <c r="C13" s="2523"/>
      <c r="D13" s="789"/>
      <c r="E13" s="2522" t="s">
        <v>2458</v>
      </c>
      <c r="F13" s="796">
        <f ca="1">'数据-取费表'!B39</f>
        <v>1.4999999999999999E-2</v>
      </c>
      <c r="G13" s="1591"/>
      <c r="H13" s="2586"/>
      <c r="I13" s="2519" t="s">
        <v>2576</v>
      </c>
      <c r="J13" s="2523"/>
      <c r="K13" s="2587"/>
      <c r="L13" s="2522" t="s">
        <v>2458</v>
      </c>
      <c r="M13" s="2516">
        <f ca="1">'数据-取费表'!B39</f>
        <v>1.4999999999999999E-2</v>
      </c>
    </row>
    <row r="14" spans="1:25" ht="18" customHeight="1" thickBot="1">
      <c r="A14" s="2561" t="s">
        <v>2470</v>
      </c>
      <c r="B14" s="2562" t="s">
        <v>2462</v>
      </c>
      <c r="C14" s="2563"/>
      <c r="D14" s="2564"/>
      <c r="E14" s="2565"/>
      <c r="F14" s="2566"/>
      <c r="G14" s="1591"/>
      <c r="H14" s="2575" t="s">
        <v>2470</v>
      </c>
      <c r="I14" s="2588" t="s">
        <v>2462</v>
      </c>
      <c r="J14" s="2589"/>
      <c r="K14" s="2564"/>
      <c r="L14" s="2565"/>
      <c r="M14" s="2578"/>
    </row>
    <row r="15" spans="1:25" ht="18" customHeight="1" thickTop="1">
      <c r="A15" s="1829" t="s">
        <v>1874</v>
      </c>
      <c r="B15" s="1827" t="s">
        <v>641</v>
      </c>
      <c r="C15" s="792">
        <f ca="1">ROUND(C31*F15,0)</f>
        <v>0</v>
      </c>
      <c r="D15" s="1834" t="s">
        <v>642</v>
      </c>
      <c r="E15" s="795" t="s">
        <v>643</v>
      </c>
      <c r="F15" s="800">
        <f ca="1">INDIRECT("'数据-取费表'!y"&amp;$G$1)</f>
        <v>0</v>
      </c>
      <c r="G15" s="1591"/>
      <c r="H15" s="1829" t="s">
        <v>1826</v>
      </c>
      <c r="I15" s="1827" t="s">
        <v>644</v>
      </c>
      <c r="J15" s="1819">
        <f ca="1">ROUND(J16*J17,0)</f>
        <v>0</v>
      </c>
      <c r="K15" s="1821" t="s">
        <v>642</v>
      </c>
      <c r="L15" s="801"/>
      <c r="M15" s="802"/>
    </row>
    <row r="16" spans="1:25" ht="18" customHeight="1">
      <c r="A16" s="803" t="s">
        <v>1875</v>
      </c>
      <c r="B16" s="784" t="s">
        <v>645</v>
      </c>
      <c r="C16" s="804">
        <f ca="1">INDIRECT("'数据-取费表'!m"&amp;$G$1)+INDIRECT("'数据-取费表'!t"&amp;$G$1)</f>
        <v>0</v>
      </c>
      <c r="D16" s="1979" t="s">
        <v>646</v>
      </c>
      <c r="E16" s="1980"/>
      <c r="F16" s="805"/>
      <c r="G16" s="1591"/>
      <c r="H16" s="803" t="s">
        <v>2070</v>
      </c>
      <c r="I16" s="2231" t="s">
        <v>2830</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150</v>
      </c>
      <c r="G19" s="1592"/>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0" t="s">
        <v>663</v>
      </c>
      <c r="E21" s="1982"/>
      <c r="F21" s="56"/>
      <c r="G21" s="1591"/>
      <c r="H21" s="1830"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0.01</v>
      </c>
      <c r="G22" s="1592"/>
      <c r="H22" s="1832" t="s">
        <v>1850</v>
      </c>
      <c r="I22" s="1822" t="s">
        <v>668</v>
      </c>
      <c r="J22" s="54">
        <f ca="1">ROUND(M22*M23/10000,0)</f>
        <v>0</v>
      </c>
      <c r="K22" s="814" t="s">
        <v>669</v>
      </c>
      <c r="L22" s="784" t="s">
        <v>670</v>
      </c>
      <c r="M22" s="640">
        <f>'数据-取费表'!B52</f>
        <v>8</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0.01</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96" t="str">
        <f>IF(F25&lt;=1,"单利计息。","复利计息。")&amp;"建造成本、管理费用、销售费用产生的利息。"</f>
        <v>复利计息。建造成本、管理费用、销售费用产生的利息。</v>
      </c>
      <c r="E24" s="1982"/>
      <c r="F24" s="56"/>
      <c r="G24" s="1591"/>
      <c r="H24" s="1831" t="s">
        <v>2071</v>
      </c>
      <c r="I24" s="784" t="s">
        <v>676</v>
      </c>
      <c r="J24" s="53">
        <f ca="1">ROUND(J16*M24,0)</f>
        <v>0</v>
      </c>
      <c r="K24" s="1977" t="s">
        <v>677</v>
      </c>
      <c r="L24" s="784" t="s">
        <v>649</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1.5</v>
      </c>
      <c r="G25" s="1592"/>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4.0000000000000002E-4</v>
      </c>
      <c r="D26" s="2595"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0" t="s">
        <v>685</v>
      </c>
      <c r="E27" s="1982"/>
      <c r="F27" s="56"/>
      <c r="G27" s="1591"/>
      <c r="H27" s="797" t="s">
        <v>1828</v>
      </c>
      <c r="I27" s="3037" t="s">
        <v>2827</v>
      </c>
      <c r="J27" s="799">
        <f ca="1">J7-J18</f>
        <v>0</v>
      </c>
      <c r="K27" s="1979" t="s">
        <v>700</v>
      </c>
      <c r="L27" s="1981"/>
      <c r="M27" s="820"/>
    </row>
    <row r="28" spans="1:25" ht="18" customHeight="1">
      <c r="A28" s="803" t="s">
        <v>1875</v>
      </c>
      <c r="B28" s="784" t="s">
        <v>2439</v>
      </c>
      <c r="C28" s="53">
        <f ca="1">ROUND((C21+C22)*F28,0)</f>
        <v>0</v>
      </c>
      <c r="D28" s="812" t="s">
        <v>701</v>
      </c>
      <c r="E28" s="795" t="s">
        <v>702</v>
      </c>
      <c r="F28" s="794">
        <f ca="1">INDIRECT("'数据-取费表'!q"&amp;$G$1)</f>
        <v>0</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2828</v>
      </c>
      <c r="C31" s="2568">
        <f ca="1">ROUND((C21+C22+C25+C28)/(1-F23-C26-C29-C30),0)</f>
        <v>0</v>
      </c>
      <c r="D31" s="2569"/>
      <c r="E31" s="2570"/>
      <c r="F31" s="2571"/>
      <c r="G31" s="1592"/>
      <c r="H31" s="823" t="s">
        <v>1872</v>
      </c>
      <c r="I31" s="3038" t="s">
        <v>2829</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3" t="s">
        <v>668</v>
      </c>
      <c r="C36" s="54">
        <f ca="1">ROUND(F36*F37/10000,1)</f>
        <v>0</v>
      </c>
      <c r="D36" s="814" t="s">
        <v>669</v>
      </c>
      <c r="E36" s="784" t="s">
        <v>670</v>
      </c>
      <c r="F36" s="640">
        <f>'数据-取费表'!B52</f>
        <v>8</v>
      </c>
      <c r="G36" s="2062"/>
      <c r="H36" s="2065"/>
      <c r="I36" s="3426"/>
      <c r="J36" s="2079"/>
      <c r="K36" s="2080"/>
      <c r="L36" s="2079"/>
      <c r="M36" s="2079"/>
    </row>
    <row r="37" spans="1:18" ht="18" customHeight="1">
      <c r="A37" s="815"/>
      <c r="B37" s="793"/>
      <c r="C37" s="69"/>
      <c r="D37" s="816"/>
      <c r="E37" s="784" t="s">
        <v>674</v>
      </c>
      <c r="F37" s="785">
        <f ca="1">INDIRECT("'数据-取费表'!r"&amp;$G$1)</f>
        <v>0</v>
      </c>
      <c r="G37" s="2062"/>
      <c r="H37" s="2065"/>
      <c r="I37" s="3426"/>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1879</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5" t="s">
        <v>712</v>
      </c>
      <c r="E43" s="3152" t="s">
        <v>2965</v>
      </c>
      <c r="F43" s="3153">
        <f ca="1">INDIRECT("'数据-取费表'!j"&amp;$G$1)</f>
        <v>0</v>
      </c>
      <c r="G43" s="2062"/>
      <c r="H43" s="2062"/>
      <c r="I43" s="2062"/>
      <c r="J43" s="2062"/>
      <c r="K43" s="2083"/>
      <c r="L43" s="2062"/>
      <c r="M43" s="2062"/>
    </row>
    <row r="44" spans="1:18" ht="18" customHeight="1">
      <c r="A44" s="803" t="s">
        <v>1878</v>
      </c>
      <c r="B44" s="835" t="s">
        <v>713</v>
      </c>
      <c r="C44" s="1356">
        <f ca="1">C42-C43</f>
        <v>0</v>
      </c>
      <c r="D44" s="465" t="s">
        <v>714</v>
      </c>
      <c r="E44" s="466"/>
      <c r="F44" s="467"/>
      <c r="G44" s="2062"/>
      <c r="H44" s="2062"/>
      <c r="I44" s="2062"/>
      <c r="J44" s="2062"/>
      <c r="K44" s="2083"/>
      <c r="L44" s="2062"/>
      <c r="M44" s="2062"/>
    </row>
    <row r="45" spans="1:18" ht="18" customHeight="1">
      <c r="A45" s="803" t="s">
        <v>1879</v>
      </c>
      <c r="B45" s="1355" t="s">
        <v>715</v>
      </c>
      <c r="C45" s="3064">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54"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9"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31"/>
      <c r="L54" s="3432"/>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6" t="s">
        <v>2356</v>
      </c>
      <c r="J56" s="3150"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9"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51"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8" t="s">
        <v>2944</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9">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30">
        <v>0</v>
      </c>
      <c r="O65" s="2428" t="s">
        <v>2416</v>
      </c>
      <c r="P65" s="1591"/>
      <c r="Q65" s="1603"/>
      <c r="R65" s="1591"/>
    </row>
    <row r="66" spans="1:18" s="2059" customFormat="1" ht="15.75" thickBot="1">
      <c r="A66" s="2096"/>
      <c r="B66" s="2097"/>
      <c r="C66" s="2097"/>
      <c r="I66" s="2409" t="s">
        <v>2373</v>
      </c>
      <c r="J66" s="2410">
        <v>40</v>
      </c>
      <c r="K66" s="2410">
        <v>30</v>
      </c>
      <c r="L66" s="2410">
        <v>50</v>
      </c>
      <c r="M66" s="3129">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39" t="s">
        <v>2579</v>
      </c>
      <c r="C1" s="3439"/>
      <c r="D1" s="3439"/>
      <c r="E1" s="3439"/>
      <c r="F1" s="3439"/>
      <c r="G1" s="3438" t="s">
        <v>2580</v>
      </c>
      <c r="H1" s="3438"/>
      <c r="I1" s="3438"/>
      <c r="J1" s="3438"/>
      <c r="K1" s="3438"/>
      <c r="L1" s="3438"/>
      <c r="N1" s="3438" t="s">
        <v>2581</v>
      </c>
      <c r="O1" s="3438"/>
      <c r="P1" s="3438"/>
      <c r="Q1" s="3438"/>
      <c r="R1" s="2679"/>
      <c r="S1" s="3438" t="s">
        <v>2582</v>
      </c>
      <c r="T1" s="3438"/>
      <c r="U1" s="3438"/>
      <c r="V1" s="3438"/>
      <c r="X1" s="3437" t="s">
        <v>2643</v>
      </c>
      <c r="Y1" s="3438"/>
      <c r="Z1" s="3438"/>
      <c r="AA1" s="3438"/>
      <c r="AB1" s="3438"/>
      <c r="AD1" s="3437" t="s">
        <v>2648</v>
      </c>
      <c r="AE1" s="3438"/>
      <c r="AF1" s="3438"/>
      <c r="AG1" s="3438"/>
      <c r="AH1" s="3438"/>
    </row>
    <row r="2" spans="1:34" s="2781" customFormat="1" ht="14.25" thickBot="1">
      <c r="B2" s="2790" t="s">
        <v>2583</v>
      </c>
      <c r="C2" s="2790" t="s">
        <v>2646</v>
      </c>
      <c r="D2" s="2782" t="s">
        <v>1644</v>
      </c>
      <c r="E2" s="2782" t="s">
        <v>1951</v>
      </c>
      <c r="F2" s="2790" t="s">
        <v>2647</v>
      </c>
      <c r="G2" s="2785"/>
      <c r="H2" s="2784"/>
      <c r="I2" s="2790" t="s">
        <v>2959</v>
      </c>
      <c r="J2" s="2782" t="s">
        <v>2961</v>
      </c>
      <c r="K2" s="2782" t="s">
        <v>2962</v>
      </c>
      <c r="L2" s="2790" t="s">
        <v>2963</v>
      </c>
      <c r="N2" s="2790" t="s">
        <v>2583</v>
      </c>
      <c r="O2" s="2782" t="s">
        <v>2960</v>
      </c>
      <c r="P2" s="2782" t="s">
        <v>1951</v>
      </c>
      <c r="Q2" s="2790" t="s">
        <v>2647</v>
      </c>
      <c r="R2" s="2783"/>
      <c r="S2" s="2790" t="s">
        <v>2583</v>
      </c>
      <c r="T2" s="2782" t="s">
        <v>2960</v>
      </c>
      <c r="U2" s="2782" t="s">
        <v>1951</v>
      </c>
      <c r="V2" s="2790" t="s">
        <v>2647</v>
      </c>
      <c r="X2" s="2790" t="s">
        <v>2583</v>
      </c>
      <c r="Y2" s="2790" t="s">
        <v>2646</v>
      </c>
      <c r="Z2" s="2782" t="s">
        <v>1644</v>
      </c>
      <c r="AA2" s="2782" t="s">
        <v>1951</v>
      </c>
      <c r="AB2" s="2790" t="s">
        <v>2647</v>
      </c>
      <c r="AD2" s="2790" t="s">
        <v>2583</v>
      </c>
      <c r="AE2" s="2790" t="s">
        <v>2646</v>
      </c>
      <c r="AF2" s="2782" t="s">
        <v>1644</v>
      </c>
      <c r="AG2" s="2782" t="s">
        <v>1951</v>
      </c>
      <c r="AH2" s="2790" t="s">
        <v>2647</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2971</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2970</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36">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2644</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2584</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34"/>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2585</v>
      </c>
      <c r="B7" s="2694">
        <f t="shared" si="18"/>
        <v>419.31181600000002</v>
      </c>
      <c r="C7" s="2694">
        <f t="shared" si="18"/>
        <v>313.95436800000004</v>
      </c>
      <c r="D7" s="2694">
        <f t="shared" si="3"/>
        <v>313.95436800000004</v>
      </c>
      <c r="E7" s="2694">
        <f t="shared" si="19"/>
        <v>596.63028431999999</v>
      </c>
      <c r="F7" s="2694">
        <f t="shared" si="19"/>
        <v>274.74220703999998</v>
      </c>
      <c r="G7" s="3434"/>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2586</v>
      </c>
      <c r="B8" s="2694">
        <f t="shared" si="18"/>
        <v>405.524</v>
      </c>
      <c r="C8" s="2694">
        <f t="shared" si="18"/>
        <v>307.79840000000002</v>
      </c>
      <c r="D8" s="2694">
        <f t="shared" si="3"/>
        <v>307.79840000000002</v>
      </c>
      <c r="E8" s="2694">
        <f t="shared" si="19"/>
        <v>574.67759999999998</v>
      </c>
      <c r="F8" s="2694">
        <f t="shared" si="19"/>
        <v>270.20280000000002</v>
      </c>
      <c r="G8" s="3435"/>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970</v>
      </c>
      <c r="B9" s="2686">
        <v>392</v>
      </c>
      <c r="C9" s="2686">
        <v>302</v>
      </c>
      <c r="D9" s="2686">
        <f t="shared" si="3"/>
        <v>302</v>
      </c>
      <c r="E9" s="2686">
        <v>553</v>
      </c>
      <c r="F9" s="2687">
        <v>266</v>
      </c>
      <c r="G9" s="3436">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969</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34"/>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959</v>
      </c>
      <c r="B11" s="2694">
        <f t="shared" si="27"/>
        <v>360.06949782209392</v>
      </c>
      <c r="C11" s="2694">
        <f t="shared" si="27"/>
        <v>289.84672674747821</v>
      </c>
      <c r="D11" s="2694">
        <f t="shared" si="28"/>
        <v>289.84672674747821</v>
      </c>
      <c r="E11" s="2694">
        <f t="shared" si="29"/>
        <v>501.06543001181495</v>
      </c>
      <c r="F11" s="2694">
        <f t="shared" si="29"/>
        <v>256.82882500744967</v>
      </c>
      <c r="G11" s="3434"/>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968</v>
      </c>
      <c r="B12" s="2694">
        <f t="shared" si="27"/>
        <v>346.720748986128</v>
      </c>
      <c r="C12" s="2694">
        <f t="shared" si="27"/>
        <v>284.30282172386285</v>
      </c>
      <c r="D12" s="2694">
        <f t="shared" si="28"/>
        <v>284.30282172386285</v>
      </c>
      <c r="E12" s="2694">
        <f t="shared" si="29"/>
        <v>479.58023546306947</v>
      </c>
      <c r="F12" s="2694">
        <f t="shared" si="29"/>
        <v>253.25788877571213</v>
      </c>
      <c r="G12" s="3435"/>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967</v>
      </c>
      <c r="B13" s="2686">
        <v>333</v>
      </c>
      <c r="C13" s="2686">
        <v>277</v>
      </c>
      <c r="D13" s="2686">
        <f t="shared" si="28"/>
        <v>277</v>
      </c>
      <c r="E13" s="2686">
        <v>459</v>
      </c>
      <c r="F13" s="2687">
        <v>249</v>
      </c>
      <c r="G13" s="3433">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966</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34"/>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965</v>
      </c>
      <c r="B15" s="2694">
        <f t="shared" si="31"/>
        <v>322.34053690220776</v>
      </c>
      <c r="C15" s="2694">
        <f t="shared" si="31"/>
        <v>271.46160770422546</v>
      </c>
      <c r="D15" s="2694">
        <f t="shared" si="28"/>
        <v>271.46160770422546</v>
      </c>
      <c r="E15" s="2694">
        <f t="shared" si="32"/>
        <v>442.69434542172456</v>
      </c>
      <c r="F15" s="2694">
        <f t="shared" si="32"/>
        <v>241.34030753190925</v>
      </c>
      <c r="G15" s="3434"/>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964</v>
      </c>
      <c r="B16" s="2694">
        <f t="shared" si="31"/>
        <v>319.87748030386797</v>
      </c>
      <c r="C16" s="2694">
        <f t="shared" si="31"/>
        <v>269.60135833173649</v>
      </c>
      <c r="D16" s="2694">
        <f t="shared" si="28"/>
        <v>269.60135833173649</v>
      </c>
      <c r="E16" s="2694">
        <f t="shared" si="32"/>
        <v>439.18089823583784</v>
      </c>
      <c r="F16" s="2694">
        <f t="shared" si="32"/>
        <v>239.23503918706311</v>
      </c>
      <c r="G16" s="3435"/>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963</v>
      </c>
      <c r="B17" s="2708">
        <v>318</v>
      </c>
      <c r="C17" s="2708">
        <v>268</v>
      </c>
      <c r="D17" s="2708">
        <f t="shared" si="28"/>
        <v>268</v>
      </c>
      <c r="E17" s="2708">
        <v>437</v>
      </c>
      <c r="F17" s="2709">
        <v>237</v>
      </c>
      <c r="G17" s="3433">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962</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34"/>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961</v>
      </c>
      <c r="B19" s="2694">
        <f t="shared" si="33"/>
        <v>314.72141172386546</v>
      </c>
      <c r="C19" s="2694">
        <f t="shared" si="33"/>
        <v>263.03901319069001</v>
      </c>
      <c r="D19" s="2694">
        <f t="shared" si="28"/>
        <v>263.03901319069001</v>
      </c>
      <c r="E19" s="2694">
        <f t="shared" si="34"/>
        <v>433.65745506782821</v>
      </c>
      <c r="F19" s="2694">
        <f t="shared" si="34"/>
        <v>233.23005080045735</v>
      </c>
      <c r="G19" s="3434"/>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960</v>
      </c>
      <c r="B20" s="2713">
        <f t="shared" si="33"/>
        <v>307.34512863658733</v>
      </c>
      <c r="C20" s="2713">
        <f t="shared" si="33"/>
        <v>257.80556031626975</v>
      </c>
      <c r="D20" s="2713">
        <f t="shared" si="28"/>
        <v>257.80556031626975</v>
      </c>
      <c r="E20" s="2713">
        <f t="shared" si="34"/>
        <v>422.70928459677179</v>
      </c>
      <c r="F20" s="2713">
        <f t="shared" si="34"/>
        <v>229.73803270336617</v>
      </c>
      <c r="G20" s="3435"/>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2645</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2587</v>
      </c>
      <c r="B21" s="2686">
        <v>299</v>
      </c>
      <c r="C21" s="2686">
        <v>252</v>
      </c>
      <c r="D21" s="2686">
        <f t="shared" si="28"/>
        <v>252</v>
      </c>
      <c r="E21" s="2686">
        <v>409</v>
      </c>
      <c r="F21" s="2687">
        <v>227</v>
      </c>
      <c r="G21" s="3440">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2588</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41"/>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2589</v>
      </c>
      <c r="B23" s="2694">
        <f t="shared" si="37"/>
        <v>288.2649053828776</v>
      </c>
      <c r="C23" s="2694">
        <f t="shared" si="37"/>
        <v>243.64564425013293</v>
      </c>
      <c r="D23" s="2694">
        <f t="shared" si="28"/>
        <v>243.64564425013293</v>
      </c>
      <c r="E23" s="2694">
        <f t="shared" si="38"/>
        <v>393.31080825986544</v>
      </c>
      <c r="F23" s="2694">
        <f t="shared" si="38"/>
        <v>223.07903790551154</v>
      </c>
      <c r="G23" s="3441"/>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2590</v>
      </c>
      <c r="B24" s="2694">
        <f t="shared" si="37"/>
        <v>282.50186729015837</v>
      </c>
      <c r="C24" s="2694">
        <f t="shared" si="37"/>
        <v>238.09796174155468</v>
      </c>
      <c r="D24" s="2694">
        <f t="shared" si="28"/>
        <v>238.09796174155468</v>
      </c>
      <c r="E24" s="2694">
        <f t="shared" si="38"/>
        <v>385.33438646014054</v>
      </c>
      <c r="F24" s="2694">
        <f t="shared" si="38"/>
        <v>221.55034055567739</v>
      </c>
      <c r="G24" s="3442"/>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2591</v>
      </c>
      <c r="B25" s="2724">
        <v>278</v>
      </c>
      <c r="C25" s="2724">
        <v>234</v>
      </c>
      <c r="D25" s="2724">
        <f t="shared" si="28"/>
        <v>234</v>
      </c>
      <c r="E25" s="2724">
        <v>379</v>
      </c>
      <c r="F25" s="2725">
        <v>220</v>
      </c>
      <c r="G25" s="3433">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2592</v>
      </c>
      <c r="B26" s="2694">
        <f>B25/(1+N25)</f>
        <v>275.49301357645425</v>
      </c>
      <c r="C26" s="2694">
        <f>C25/(1+O25)</f>
        <v>232.41954707985698</v>
      </c>
      <c r="D26" s="2694">
        <f t="shared" si="28"/>
        <v>232.41954707985698</v>
      </c>
      <c r="E26" s="2694">
        <f t="shared" ref="E26:F28" si="39">E25/(1+P25)</f>
        <v>375.32184591008121</v>
      </c>
      <c r="F26" s="2694">
        <f t="shared" si="39"/>
        <v>218.03766105054513</v>
      </c>
      <c r="G26" s="3434"/>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2593</v>
      </c>
      <c r="B27" s="2694">
        <f>B26/(1+N26)</f>
        <v>275.24529281292263</v>
      </c>
      <c r="C27" s="2694">
        <f>C26/(1+O26)</f>
        <v>231.74747938962707</v>
      </c>
      <c r="D27" s="2694">
        <f t="shared" si="28"/>
        <v>231.74747938962707</v>
      </c>
      <c r="E27" s="2694">
        <f t="shared" si="39"/>
        <v>375.35938184826603</v>
      </c>
      <c r="F27" s="2694">
        <f t="shared" si="39"/>
        <v>216.78033510692495</v>
      </c>
      <c r="G27" s="3434"/>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2594</v>
      </c>
      <c r="B28" s="2694">
        <f>B27/(1+N27)</f>
        <v>275.19025476197027</v>
      </c>
      <c r="C28" s="2726">
        <v>232</v>
      </c>
      <c r="D28" s="2726">
        <f t="shared" si="28"/>
        <v>232</v>
      </c>
      <c r="E28" s="2694">
        <f t="shared" si="39"/>
        <v>375.65990977608692</v>
      </c>
      <c r="F28" s="2694">
        <f t="shared" si="39"/>
        <v>214.12518283971252</v>
      </c>
      <c r="G28" s="3435"/>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2595</v>
      </c>
      <c r="B29" s="2686">
        <v>275</v>
      </c>
      <c r="C29" s="2686">
        <v>232</v>
      </c>
      <c r="D29" s="2686">
        <f t="shared" si="28"/>
        <v>232</v>
      </c>
      <c r="E29" s="2686">
        <v>376</v>
      </c>
      <c r="F29" s="2687">
        <v>213</v>
      </c>
      <c r="G29" s="3433">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2596</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34">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2597</v>
      </c>
      <c r="B31" s="2694">
        <f t="shared" si="40"/>
        <v>275.19335084830601</v>
      </c>
      <c r="C31" s="2694">
        <f t="shared" si="40"/>
        <v>230.18088050139744</v>
      </c>
      <c r="D31" s="2694">
        <f t="shared" si="28"/>
        <v>230.18088050139744</v>
      </c>
      <c r="E31" s="2694">
        <f t="shared" si="41"/>
        <v>377.58482925212331</v>
      </c>
      <c r="F31" s="2694">
        <f t="shared" si="41"/>
        <v>210.90687997847917</v>
      </c>
      <c r="G31" s="3434">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2598</v>
      </c>
      <c r="B32" s="2694">
        <f t="shared" si="40"/>
        <v>276.29854502841971</v>
      </c>
      <c r="C32" s="2694">
        <f t="shared" si="40"/>
        <v>229.79023709833027</v>
      </c>
      <c r="D32" s="2694">
        <f t="shared" si="28"/>
        <v>229.79023709833027</v>
      </c>
      <c r="E32" s="2694">
        <f t="shared" si="41"/>
        <v>379.78759731655936</v>
      </c>
      <c r="F32" s="2694">
        <f t="shared" si="41"/>
        <v>211.32953905659235</v>
      </c>
      <c r="G32" s="3435">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2599</v>
      </c>
      <c r="B33" s="2686">
        <v>269</v>
      </c>
      <c r="C33" s="2686">
        <v>221</v>
      </c>
      <c r="D33" s="2686">
        <f t="shared" si="28"/>
        <v>221</v>
      </c>
      <c r="E33" s="2686">
        <v>373</v>
      </c>
      <c r="F33" s="2687">
        <v>196</v>
      </c>
      <c r="G33" s="3433">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2600</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34">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2601</v>
      </c>
      <c r="B35" s="2694">
        <f t="shared" si="42"/>
        <v>242.95398227588385</v>
      </c>
      <c r="C35" s="2694">
        <f t="shared" si="42"/>
        <v>199.59137053614126</v>
      </c>
      <c r="D35" s="2694">
        <f t="shared" si="28"/>
        <v>199.59137053614126</v>
      </c>
      <c r="E35" s="2694">
        <f t="shared" si="43"/>
        <v>335.92189522342125</v>
      </c>
      <c r="F35" s="2694">
        <f t="shared" si="43"/>
        <v>183.10139991109489</v>
      </c>
      <c r="G35" s="3434">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2602</v>
      </c>
      <c r="B36" s="2694">
        <f t="shared" si="42"/>
        <v>232.06990378821649</v>
      </c>
      <c r="C36" s="2694">
        <f t="shared" si="42"/>
        <v>192.74878854286936</v>
      </c>
      <c r="D36" s="2694">
        <f t="shared" si="28"/>
        <v>192.74878854286936</v>
      </c>
      <c r="E36" s="2694">
        <f t="shared" si="43"/>
        <v>319.71247284992984</v>
      </c>
      <c r="F36" s="2694">
        <f t="shared" si="43"/>
        <v>175.67053622862409</v>
      </c>
      <c r="G36" s="3435">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2603</v>
      </c>
      <c r="B37" s="2686">
        <v>220</v>
      </c>
      <c r="C37" s="2686">
        <v>187</v>
      </c>
      <c r="D37" s="2686">
        <f t="shared" si="28"/>
        <v>187</v>
      </c>
      <c r="E37" s="2686">
        <v>301</v>
      </c>
      <c r="F37" s="2687">
        <v>168</v>
      </c>
      <c r="G37" s="3433">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2604</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34">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2605</v>
      </c>
      <c r="B39" s="2694">
        <f t="shared" si="44"/>
        <v>210.630522469011</v>
      </c>
      <c r="C39" s="2694">
        <f t="shared" si="44"/>
        <v>181.69567812247232</v>
      </c>
      <c r="D39" s="2694">
        <f t="shared" si="28"/>
        <v>181.69567812247232</v>
      </c>
      <c r="E39" s="2694">
        <f t="shared" si="45"/>
        <v>286.13517466736738</v>
      </c>
      <c r="F39" s="2694">
        <f t="shared" si="45"/>
        <v>165.47535084591149</v>
      </c>
      <c r="G39" s="3434">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2606</v>
      </c>
      <c r="B40" s="2694">
        <f t="shared" si="44"/>
        <v>208.83454537875372</v>
      </c>
      <c r="C40" s="2694">
        <f t="shared" si="44"/>
        <v>183.77230517090351</v>
      </c>
      <c r="D40" s="2694">
        <f t="shared" si="28"/>
        <v>183.77230517090351</v>
      </c>
      <c r="E40" s="2694">
        <f t="shared" si="45"/>
        <v>281.10342338870947</v>
      </c>
      <c r="F40" s="2694">
        <f t="shared" si="45"/>
        <v>168.97309388942256</v>
      </c>
      <c r="G40" s="3435">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2607</v>
      </c>
      <c r="B41" s="2724">
        <v>214</v>
      </c>
      <c r="C41" s="2724">
        <v>188</v>
      </c>
      <c r="D41" s="2724">
        <f t="shared" si="28"/>
        <v>188</v>
      </c>
      <c r="E41" s="2724">
        <v>289</v>
      </c>
      <c r="F41" s="2725">
        <v>166</v>
      </c>
      <c r="G41" s="3433">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2608</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34">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2609</v>
      </c>
      <c r="B43" s="2694">
        <f t="shared" si="46"/>
        <v>206.31694671589116</v>
      </c>
      <c r="C43" s="2694">
        <f t="shared" si="46"/>
        <v>183.61041121036101</v>
      </c>
      <c r="D43" s="2694">
        <f t="shared" si="28"/>
        <v>183.61041121036101</v>
      </c>
      <c r="E43" s="2694">
        <f t="shared" si="47"/>
        <v>276.66850301795557</v>
      </c>
      <c r="F43" s="2694">
        <f t="shared" si="47"/>
        <v>165.1360938278614</v>
      </c>
      <c r="G43" s="3434">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2610</v>
      </c>
      <c r="B44" s="2727">
        <f t="shared" si="46"/>
        <v>196.62341248059772</v>
      </c>
      <c r="C44" s="2727">
        <f t="shared" si="46"/>
        <v>170.99125648199012</v>
      </c>
      <c r="D44" s="2727">
        <f t="shared" si="28"/>
        <v>170.99125648199012</v>
      </c>
      <c r="E44" s="2727">
        <f t="shared" si="47"/>
        <v>266.07857570490052</v>
      </c>
      <c r="F44" s="2727">
        <f t="shared" si="47"/>
        <v>154.53499328828505</v>
      </c>
      <c r="G44" s="3435">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2611</v>
      </c>
      <c r="B45" s="2686">
        <v>188</v>
      </c>
      <c r="C45" s="2686">
        <v>165</v>
      </c>
      <c r="D45" s="2686">
        <f t="shared" si="28"/>
        <v>165</v>
      </c>
      <c r="E45" s="2686">
        <v>254</v>
      </c>
      <c r="F45" s="2687">
        <v>148</v>
      </c>
      <c r="G45" s="3433">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2612</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34">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2613</v>
      </c>
      <c r="B47" s="2694">
        <f t="shared" si="50"/>
        <v>168.82017748715555</v>
      </c>
      <c r="C47" s="2694">
        <f t="shared" si="50"/>
        <v>148.06267029972753</v>
      </c>
      <c r="D47" s="2694">
        <f t="shared" si="28"/>
        <v>148.06267029972753</v>
      </c>
      <c r="E47" s="2694">
        <f t="shared" si="51"/>
        <v>216.46288379323747</v>
      </c>
      <c r="F47" s="2694">
        <f t="shared" si="51"/>
        <v>134.23529411764704</v>
      </c>
      <c r="G47" s="3434">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2614</v>
      </c>
      <c r="B48" s="2694">
        <f t="shared" si="50"/>
        <v>163.84913591779542</v>
      </c>
      <c r="C48" s="2694">
        <f t="shared" si="50"/>
        <v>145.0283378746594</v>
      </c>
      <c r="D48" s="2694">
        <f t="shared" si="28"/>
        <v>145.0283378746594</v>
      </c>
      <c r="E48" s="2694">
        <f t="shared" si="51"/>
        <v>204.95180722891567</v>
      </c>
      <c r="F48" s="2694">
        <f t="shared" si="51"/>
        <v>125.95920303605313</v>
      </c>
      <c r="G48" s="3435">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2615</v>
      </c>
      <c r="B49" s="2708">
        <v>159</v>
      </c>
      <c r="C49" s="2708">
        <v>141</v>
      </c>
      <c r="D49" s="2708">
        <f t="shared" si="28"/>
        <v>141</v>
      </c>
      <c r="E49" s="2708">
        <v>195</v>
      </c>
      <c r="F49" s="2709">
        <v>122</v>
      </c>
      <c r="G49" s="3433">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2616</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34">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2617</v>
      </c>
      <c r="B51" s="2694">
        <f t="shared" si="54"/>
        <v>146.57412060301507</v>
      </c>
      <c r="C51" s="2694">
        <f t="shared" si="54"/>
        <v>136.46831955922866</v>
      </c>
      <c r="D51" s="2694">
        <f t="shared" si="28"/>
        <v>136.46831955922866</v>
      </c>
      <c r="E51" s="2694">
        <f t="shared" si="55"/>
        <v>166.73864894795128</v>
      </c>
      <c r="F51" s="2694">
        <f t="shared" si="55"/>
        <v>115.05882352941177</v>
      </c>
      <c r="G51" s="3434">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2618</v>
      </c>
      <c r="B52" s="2694">
        <f t="shared" si="54"/>
        <v>144.04145728643215</v>
      </c>
      <c r="C52" s="2694">
        <f t="shared" si="54"/>
        <v>136.12396694214877</v>
      </c>
      <c r="D52" s="2694">
        <f t="shared" si="28"/>
        <v>136.12396694214877</v>
      </c>
      <c r="E52" s="2694">
        <f t="shared" si="55"/>
        <v>158.32225913621264</v>
      </c>
      <c r="F52" s="2694">
        <f t="shared" si="55"/>
        <v>114.04278074866311</v>
      </c>
      <c r="G52" s="3435">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2619</v>
      </c>
      <c r="B53" s="2708">
        <v>138</v>
      </c>
      <c r="C53" s="2708">
        <v>131</v>
      </c>
      <c r="D53" s="2708">
        <f t="shared" si="28"/>
        <v>131</v>
      </c>
      <c r="E53" s="2708">
        <v>155</v>
      </c>
      <c r="F53" s="2709">
        <v>114</v>
      </c>
      <c r="G53" s="3433">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2620</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34">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2621</v>
      </c>
      <c r="B55" s="2694">
        <f t="shared" si="58"/>
        <v>124.29032258064517</v>
      </c>
      <c r="C55" s="2694">
        <f t="shared" si="58"/>
        <v>123.8968609865471</v>
      </c>
      <c r="D55" s="2694">
        <f t="shared" si="28"/>
        <v>123.8968609865471</v>
      </c>
      <c r="E55" s="2694">
        <f t="shared" si="59"/>
        <v>138.00507614213197</v>
      </c>
      <c r="F55" s="2694">
        <f t="shared" si="59"/>
        <v>107.96106557377048</v>
      </c>
      <c r="G55" s="3434">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2622</v>
      </c>
      <c r="B56" s="2694">
        <f t="shared" si="58"/>
        <v>122.57204301075269</v>
      </c>
      <c r="C56" s="2694">
        <f t="shared" si="58"/>
        <v>123.4932735426009</v>
      </c>
      <c r="D56" s="2694">
        <f t="shared" si="28"/>
        <v>123.4932735426009</v>
      </c>
      <c r="E56" s="2694">
        <f t="shared" si="59"/>
        <v>129.82233502538071</v>
      </c>
      <c r="F56" s="2694">
        <f t="shared" si="59"/>
        <v>107.39446721311475</v>
      </c>
      <c r="G56" s="3435">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2623</v>
      </c>
      <c r="B57" s="2724">
        <v>121</v>
      </c>
      <c r="C57" s="2724">
        <v>122</v>
      </c>
      <c r="D57" s="2724">
        <f t="shared" si="28"/>
        <v>122</v>
      </c>
      <c r="E57" s="2724">
        <v>124</v>
      </c>
      <c r="F57" s="2725">
        <v>107</v>
      </c>
      <c r="G57" s="3433">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2624</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34">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2625</v>
      </c>
      <c r="B59" s="2694">
        <f t="shared" si="62"/>
        <v>116.99099099099099</v>
      </c>
      <c r="C59" s="2694">
        <f t="shared" si="62"/>
        <v>118.84848484848486</v>
      </c>
      <c r="D59" s="2694">
        <f t="shared" si="28"/>
        <v>118.84848484848486</v>
      </c>
      <c r="E59" s="2694">
        <f t="shared" si="63"/>
        <v>117.60960960960961</v>
      </c>
      <c r="F59" s="2694">
        <f t="shared" si="63"/>
        <v>104</v>
      </c>
      <c r="G59" s="3434">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2626</v>
      </c>
      <c r="B60" s="2727">
        <f t="shared" si="62"/>
        <v>112.48648648648648</v>
      </c>
      <c r="C60" s="2727">
        <f t="shared" si="62"/>
        <v>115.21212121212122</v>
      </c>
      <c r="D60" s="2727">
        <f t="shared" si="28"/>
        <v>115.21212121212122</v>
      </c>
      <c r="E60" s="2727">
        <f t="shared" si="63"/>
        <v>110.4024024024024</v>
      </c>
      <c r="F60" s="2727">
        <f t="shared" si="63"/>
        <v>104</v>
      </c>
      <c r="G60" s="3435">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2627</v>
      </c>
      <c r="B61" s="2745">
        <v>111</v>
      </c>
      <c r="C61" s="2745">
        <v>114</v>
      </c>
      <c r="D61" s="2745">
        <f t="shared" si="28"/>
        <v>114</v>
      </c>
      <c r="E61" s="2745">
        <v>108</v>
      </c>
      <c r="F61" s="2746">
        <v>104</v>
      </c>
      <c r="G61" s="3433">
        <v>2003</v>
      </c>
      <c r="H61" s="2735">
        <v>4</v>
      </c>
      <c r="I61" s="2747"/>
      <c r="J61" s="2747"/>
      <c r="K61" s="2747"/>
      <c r="L61" s="2747"/>
      <c r="N61" s="2748"/>
      <c r="O61" s="2747"/>
      <c r="P61" s="2747"/>
      <c r="Q61" s="2747"/>
      <c r="S61" s="2748"/>
      <c r="T61" s="2747"/>
      <c r="U61" s="2747"/>
      <c r="V61" s="2747"/>
      <c r="X61" s="2739"/>
      <c r="Y61" s="2739"/>
      <c r="Z61" s="2739"/>
    </row>
    <row r="62" spans="1:26">
      <c r="A62" s="2680" t="s">
        <v>2628</v>
      </c>
      <c r="B62" s="2749">
        <f t="shared" ref="B62:C64" si="64">B63+(B$61-B$65)/4</f>
        <v>109.75</v>
      </c>
      <c r="C62" s="2749">
        <f t="shared" si="64"/>
        <v>112.25</v>
      </c>
      <c r="D62" s="2749">
        <f t="shared" si="28"/>
        <v>112.25</v>
      </c>
      <c r="E62" s="2749">
        <f t="shared" ref="E62:F64" si="65">E63+(E$61-E$65)/4</f>
        <v>107.25</v>
      </c>
      <c r="F62" s="2749">
        <f t="shared" si="65"/>
        <v>103.5</v>
      </c>
      <c r="G62" s="3434">
        <v>2003</v>
      </c>
      <c r="H62" s="2705">
        <v>3</v>
      </c>
      <c r="I62" s="2747"/>
      <c r="J62" s="2747"/>
      <c r="K62" s="2747"/>
      <c r="L62" s="2747"/>
      <c r="X62" s="2739"/>
      <c r="Y62" s="2739"/>
      <c r="Z62" s="2739"/>
    </row>
    <row r="63" spans="1:26">
      <c r="A63" s="2680" t="s">
        <v>2629</v>
      </c>
      <c r="B63" s="2749">
        <f t="shared" si="64"/>
        <v>108.5</v>
      </c>
      <c r="C63" s="2749">
        <f t="shared" si="64"/>
        <v>110.5</v>
      </c>
      <c r="D63" s="2749">
        <f t="shared" si="28"/>
        <v>110.5</v>
      </c>
      <c r="E63" s="2749">
        <f t="shared" si="65"/>
        <v>106.5</v>
      </c>
      <c r="F63" s="2749">
        <f t="shared" si="65"/>
        <v>103</v>
      </c>
      <c r="G63" s="3434">
        <v>2003</v>
      </c>
      <c r="H63" s="2685">
        <v>2</v>
      </c>
      <c r="I63" s="2747"/>
      <c r="J63" s="2747"/>
      <c r="K63" s="2747"/>
      <c r="L63" s="2747"/>
      <c r="X63" s="2739"/>
      <c r="Y63" s="2739"/>
      <c r="Z63" s="2739"/>
    </row>
    <row r="64" spans="1:26" ht="13.5" thickBot="1">
      <c r="A64" s="2680" t="s">
        <v>2630</v>
      </c>
      <c r="B64" s="2749">
        <f t="shared" si="64"/>
        <v>107.25</v>
      </c>
      <c r="C64" s="2749">
        <f t="shared" si="64"/>
        <v>108.75</v>
      </c>
      <c r="D64" s="2749">
        <f t="shared" si="28"/>
        <v>108.75</v>
      </c>
      <c r="E64" s="2749">
        <f t="shared" si="65"/>
        <v>105.75</v>
      </c>
      <c r="F64" s="2749">
        <f t="shared" si="65"/>
        <v>102.5</v>
      </c>
      <c r="G64" s="3435">
        <v>2003</v>
      </c>
      <c r="H64" s="2750">
        <v>1</v>
      </c>
      <c r="I64" s="2747"/>
      <c r="J64" s="2747"/>
      <c r="K64" s="2747"/>
      <c r="L64" s="2747"/>
      <c r="S64" s="2689"/>
      <c r="T64" s="2690"/>
      <c r="U64" s="2690"/>
      <c r="X64" s="2739"/>
      <c r="Y64" s="2739"/>
      <c r="Z64" s="2739"/>
    </row>
    <row r="65" spans="1:26" ht="13.5" thickBot="1">
      <c r="A65" s="2680" t="s">
        <v>2631</v>
      </c>
      <c r="B65" s="2751">
        <v>106</v>
      </c>
      <c r="C65" s="2751">
        <v>107</v>
      </c>
      <c r="D65" s="2751">
        <f t="shared" si="28"/>
        <v>107</v>
      </c>
      <c r="E65" s="2751">
        <v>105</v>
      </c>
      <c r="F65" s="2752">
        <v>102</v>
      </c>
      <c r="G65" s="3433">
        <v>2002</v>
      </c>
      <c r="H65" s="2700">
        <v>4</v>
      </c>
      <c r="I65" s="2747"/>
      <c r="J65" s="2747"/>
      <c r="K65" s="2747"/>
      <c r="L65" s="2747"/>
      <c r="N65" s="2748"/>
      <c r="O65" s="2747"/>
      <c r="P65" s="2747"/>
      <c r="Q65" s="2747"/>
      <c r="S65" s="2748"/>
      <c r="T65" s="2747"/>
      <c r="U65" s="2747"/>
      <c r="V65" s="2747"/>
      <c r="X65" s="2739"/>
      <c r="Y65" s="2739"/>
      <c r="Z65" s="2739"/>
    </row>
    <row r="66" spans="1:26">
      <c r="A66" s="2680" t="s">
        <v>2632</v>
      </c>
      <c r="B66" s="2749">
        <f t="shared" ref="B66:C68" si="66">B67+(B$65-B$69)/4</f>
        <v>105</v>
      </c>
      <c r="C66" s="2749">
        <f t="shared" si="66"/>
        <v>106</v>
      </c>
      <c r="D66" s="2749">
        <f t="shared" si="28"/>
        <v>106</v>
      </c>
      <c r="E66" s="2749">
        <f t="shared" ref="E66:F68" si="67">E67+(E$65-E$69)/4</f>
        <v>104.5</v>
      </c>
      <c r="F66" s="2749">
        <f t="shared" si="67"/>
        <v>101.5</v>
      </c>
      <c r="G66" s="3434">
        <v>2002</v>
      </c>
      <c r="H66" s="2705">
        <v>3</v>
      </c>
      <c r="I66" s="2747"/>
      <c r="J66" s="2747"/>
      <c r="K66" s="2747"/>
      <c r="L66" s="2747"/>
      <c r="X66" s="2739"/>
      <c r="Y66" s="2739"/>
      <c r="Z66" s="2739"/>
    </row>
    <row r="67" spans="1:26">
      <c r="A67" s="2680" t="s">
        <v>2633</v>
      </c>
      <c r="B67" s="2749">
        <f t="shared" si="66"/>
        <v>104</v>
      </c>
      <c r="C67" s="2749">
        <f t="shared" si="66"/>
        <v>105</v>
      </c>
      <c r="D67" s="2749">
        <f t="shared" si="28"/>
        <v>105</v>
      </c>
      <c r="E67" s="2749">
        <f t="shared" si="67"/>
        <v>104</v>
      </c>
      <c r="F67" s="2749">
        <f t="shared" si="67"/>
        <v>101</v>
      </c>
      <c r="G67" s="3434">
        <v>2002</v>
      </c>
      <c r="H67" s="2685">
        <v>2</v>
      </c>
      <c r="I67" s="2747"/>
      <c r="J67" s="2747"/>
      <c r="K67" s="2747"/>
      <c r="L67" s="2747"/>
      <c r="X67" s="2739"/>
      <c r="Y67" s="2739"/>
      <c r="Z67" s="2739"/>
    </row>
    <row r="68" spans="1:26" s="2716" customFormat="1" ht="13.5" thickBot="1">
      <c r="A68" s="2712" t="s">
        <v>2634</v>
      </c>
      <c r="B68" s="2753">
        <f t="shared" si="66"/>
        <v>103</v>
      </c>
      <c r="C68" s="2753">
        <f t="shared" si="66"/>
        <v>104</v>
      </c>
      <c r="D68" s="2753">
        <f t="shared" si="28"/>
        <v>104</v>
      </c>
      <c r="E68" s="2753">
        <f t="shared" si="67"/>
        <v>103.5</v>
      </c>
      <c r="F68" s="2753">
        <f t="shared" si="67"/>
        <v>100.5</v>
      </c>
      <c r="G68" s="3435">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2635</v>
      </c>
      <c r="G71" s="2763"/>
      <c r="N71" s="2763"/>
      <c r="S71" s="2763"/>
    </row>
    <row r="72" spans="1:26" s="2762" customFormat="1">
      <c r="A72" s="2762" t="s">
        <v>2636</v>
      </c>
      <c r="G72" s="2763"/>
      <c r="N72" s="2763"/>
      <c r="S72" s="2763"/>
    </row>
    <row r="73" spans="1:26" s="2762" customFormat="1">
      <c r="A73" s="2762" t="s">
        <v>2637</v>
      </c>
      <c r="G73" s="2763"/>
      <c r="I73" s="2764"/>
      <c r="J73" s="2764"/>
      <c r="K73" s="2764"/>
      <c r="L73" s="2764"/>
      <c r="N73" s="2765"/>
      <c r="O73" s="2764"/>
      <c r="P73" s="2764"/>
      <c r="Q73" s="2764"/>
      <c r="S73" s="2765"/>
      <c r="T73" s="2764"/>
      <c r="U73" s="2764"/>
      <c r="V73" s="2764"/>
    </row>
    <row r="74" spans="1:26" s="2762" customFormat="1">
      <c r="A74" s="2762" t="s">
        <v>2638</v>
      </c>
      <c r="G74" s="2763"/>
      <c r="N74" s="2763"/>
      <c r="S74" s="2763"/>
    </row>
    <row r="81" spans="7:22" ht="13.5" thickBot="1"/>
    <row r="82" spans="7:22">
      <c r="G82" s="2688"/>
      <c r="S82" s="2766" t="s">
        <v>2639</v>
      </c>
      <c r="T82" s="2767" t="s">
        <v>2640</v>
      </c>
      <c r="U82" s="2767" t="s">
        <v>2641</v>
      </c>
      <c r="V82" s="2767" t="s">
        <v>2642</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受贵公司委托，我公司对湖南省长沙市望城区金山桥街道出让国有建设用地使用权市场价格进行了预评估。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7" spans="1:4" ht="56.25">
      <c r="A7" s="1795" t="s">
        <v>2752</v>
      </c>
    </row>
    <row r="8" spans="1:4" ht="18.75">
      <c r="A8" s="1794" t="s">
        <v>1906</v>
      </c>
    </row>
    <row r="9" spans="1:4" ht="75">
      <c r="A9" s="1796" t="str">
        <f>IF(项目基本情况!B8="抵押",IF(项目基本情况!B5=项目基本情况!B6,定义!C51,定义!B51),定义!D51)</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2017年12月7日（评估专业人员勘察现场之日）</v>
      </c>
    </row>
    <row r="12" spans="1:4" ht="18.75">
      <c r="A12" s="1797" t="s">
        <v>2026</v>
      </c>
    </row>
    <row r="13" spans="1:4" ht="18.75">
      <c r="A13" s="1791" t="s">
        <v>2943</v>
      </c>
    </row>
    <row r="14" spans="1:4" ht="18.75">
      <c r="A14" s="1791" t="str">
        <f>"根据"&amp;项目基本情况!F12&amp;"，本次评估估价对象证载（地类）用途为"&amp;项目基本情况!B12&amp;"。"</f>
        <v>根据《可研报告》，本次评估估价对象证载（地类）用途为。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根据《国有土地使用证》[]，估价对象（分摊）出让国有建设用地使用权面积为105421.08平方米。根据《建设工程规划许可证》[]、《出让合同》[]，估价对象规划建筑面积为231926.37平方米。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本次估价对象为出让国有建设用地使用权，《可研报告》证载土地终止日期为住宅2087年8月7日、商业2057年8月7日。截至估价期日，出让国有建设用地使用权剩余土地使用年限为。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L26" sqref="L26"/>
    </sheetView>
  </sheetViews>
  <sheetFormatPr defaultRowHeight="14.25"/>
  <cols>
    <col min="1" max="1" width="10.5" style="1336" customWidth="1"/>
    <col min="2" max="2" width="15.75" style="1336" customWidth="1"/>
    <col min="3" max="3" width="19.125" style="1336" customWidth="1"/>
    <col min="4" max="4" width="12.25" style="1336" customWidth="1"/>
    <col min="5" max="5" width="17" style="1336" customWidth="1"/>
    <col min="6" max="6" width="12.25" style="1336" customWidth="1"/>
    <col min="7" max="7" width="16.875" style="1336" customWidth="1"/>
    <col min="8" max="8" width="12.25" style="1336" customWidth="1"/>
    <col min="9" max="9" width="18.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2647" t="s">
        <v>719</v>
      </c>
      <c r="C1" s="2648" t="s">
        <v>720</v>
      </c>
      <c r="D1" s="2649" t="s">
        <v>3004</v>
      </c>
      <c r="E1" s="2650"/>
      <c r="F1" s="2833" t="s">
        <v>3071</v>
      </c>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5" t="s">
        <v>466</v>
      </c>
      <c r="B2" s="2646">
        <f>ROUND(B3*D3/10000,0)</f>
        <v>166634</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11" t="s">
        <v>519</v>
      </c>
      <c r="B3" s="851">
        <f>C49</f>
        <v>7407</v>
      </c>
      <c r="C3" s="852" t="s">
        <v>722</v>
      </c>
      <c r="D3" s="851">
        <f>SUMIF('数据-汇总表'!$C19:$C33,D1,'数据-汇总表'!$E19:$E33)</f>
        <v>224968.58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4" t="s">
        <v>521</v>
      </c>
      <c r="B4" s="515"/>
      <c r="C4" s="3360" t="s">
        <v>522</v>
      </c>
      <c r="D4" s="3361"/>
      <c r="E4" s="3394" t="s">
        <v>523</v>
      </c>
      <c r="F4" s="3395"/>
      <c r="G4" s="3360" t="s">
        <v>524</v>
      </c>
      <c r="H4" s="3361"/>
      <c r="I4" s="3360" t="s">
        <v>525</v>
      </c>
      <c r="J4" s="3361"/>
      <c r="K4" s="853" t="s">
        <v>526</v>
      </c>
      <c r="L4" s="2133"/>
      <c r="M4" s="2134"/>
      <c r="N4" s="2134"/>
      <c r="O4" s="2134"/>
      <c r="P4" s="3362" t="s">
        <v>527</v>
      </c>
      <c r="Q4" s="3363"/>
      <c r="R4" s="3368" t="s">
        <v>523</v>
      </c>
      <c r="S4" s="3369"/>
      <c r="T4" s="3368" t="s">
        <v>524</v>
      </c>
      <c r="U4" s="3369"/>
      <c r="V4" s="3355" t="s">
        <v>525</v>
      </c>
      <c r="W4" s="3355"/>
      <c r="X4" s="1566"/>
      <c r="Y4" s="3368" t="s">
        <v>527</v>
      </c>
      <c r="Z4" s="3369"/>
      <c r="AA4" s="3357" t="s">
        <v>523</v>
      </c>
      <c r="AB4" s="3357" t="s">
        <v>524</v>
      </c>
      <c r="AC4" s="3357" t="s">
        <v>525</v>
      </c>
    </row>
    <row r="5" spans="1:29" ht="15">
      <c r="A5" s="517"/>
      <c r="B5" s="518"/>
      <c r="C5" s="3376" t="s">
        <v>2929</v>
      </c>
      <c r="D5" s="3377"/>
      <c r="E5" s="3447" t="s">
        <v>3128</v>
      </c>
      <c r="F5" s="3397"/>
      <c r="G5" s="3446" t="s">
        <v>3133</v>
      </c>
      <c r="H5" s="3377"/>
      <c r="I5" s="3446" t="s">
        <v>3135</v>
      </c>
      <c r="J5" s="3377"/>
      <c r="K5" s="854"/>
      <c r="L5" s="2133"/>
      <c r="M5" s="2134"/>
      <c r="N5" s="2134"/>
      <c r="O5" s="2134"/>
      <c r="P5" s="3364"/>
      <c r="Q5" s="3365"/>
      <c r="R5" s="3370"/>
      <c r="S5" s="3371"/>
      <c r="T5" s="3370"/>
      <c r="U5" s="3371"/>
      <c r="V5" s="3355"/>
      <c r="W5" s="3355"/>
      <c r="X5" s="1566"/>
      <c r="Y5" s="3370"/>
      <c r="Z5" s="3371"/>
      <c r="AA5" s="3358"/>
      <c r="AB5" s="3358"/>
      <c r="AC5" s="3358"/>
    </row>
    <row r="6" spans="1:29" ht="15.75" thickBot="1">
      <c r="A6" s="519"/>
      <c r="B6" s="520"/>
      <c r="C6" s="3374" t="s">
        <v>2933</v>
      </c>
      <c r="D6" s="3375"/>
      <c r="E6" s="3392" t="s">
        <v>2933</v>
      </c>
      <c r="F6" s="3393"/>
      <c r="G6" s="3374" t="s">
        <v>2933</v>
      </c>
      <c r="H6" s="3375"/>
      <c r="I6" s="3374" t="s">
        <v>2933</v>
      </c>
      <c r="J6" s="3375"/>
      <c r="K6" s="854" t="s">
        <v>528</v>
      </c>
      <c r="L6" s="2133"/>
      <c r="M6" s="2134"/>
      <c r="N6" s="2134"/>
      <c r="O6" s="2134"/>
      <c r="P6" s="3366"/>
      <c r="Q6" s="3367"/>
      <c r="R6" s="3370"/>
      <c r="S6" s="3371"/>
      <c r="T6" s="3372"/>
      <c r="U6" s="3373"/>
      <c r="V6" s="3355"/>
      <c r="W6" s="3355"/>
      <c r="X6" s="1566"/>
      <c r="Y6" s="3372"/>
      <c r="Z6" s="3373"/>
      <c r="AA6" s="3359"/>
      <c r="AB6" s="3359"/>
      <c r="AC6" s="3359"/>
    </row>
    <row r="7" spans="1:29" s="1219" customFormat="1" ht="15.75" thickBot="1">
      <c r="A7" s="2938"/>
      <c r="B7" s="2945" t="s">
        <v>529</v>
      </c>
      <c r="C7" s="521">
        <f>'数据-取费表'!B2</f>
        <v>43076</v>
      </c>
      <c r="D7" s="522">
        <v>100</v>
      </c>
      <c r="E7" s="523">
        <v>43080</v>
      </c>
      <c r="F7" s="524">
        <f>SUMIF(58:58,YEAR(E7)&amp;"-"&amp;MONTH(E7),59:59)</f>
        <v>100</v>
      </c>
      <c r="G7" s="525">
        <f>E7</f>
        <v>43080</v>
      </c>
      <c r="H7" s="522">
        <f>SUMIF(58:58,YEAR(G7)&amp;"-"&amp;MONTH(G7),59:59)</f>
        <v>100</v>
      </c>
      <c r="I7" s="525">
        <f>G7</f>
        <v>43080</v>
      </c>
      <c r="J7" s="522">
        <f>SUMIF(58:58,YEAR(I7)&amp;"-"&amp;MONTH(I7),59:59)</f>
        <v>100</v>
      </c>
      <c r="K7" s="855"/>
      <c r="L7" s="2135"/>
      <c r="M7" s="2136"/>
      <c r="N7" s="2136"/>
      <c r="O7" s="2136"/>
      <c r="P7" s="3385" t="s">
        <v>530</v>
      </c>
      <c r="Q7" s="3387"/>
      <c r="R7" s="1567" t="s">
        <v>13</v>
      </c>
      <c r="S7" s="1568">
        <f t="shared" ref="S7:S15" si="0">F7</f>
        <v>100</v>
      </c>
      <c r="T7" s="1567" t="s">
        <v>13</v>
      </c>
      <c r="U7" s="1568">
        <f t="shared" ref="U7:U15" si="1">H7</f>
        <v>100</v>
      </c>
      <c r="V7" s="1567" t="s">
        <v>13</v>
      </c>
      <c r="W7" s="1568">
        <f t="shared" ref="W7:W15" si="2">J7</f>
        <v>100</v>
      </c>
      <c r="X7" s="1569"/>
      <c r="Y7" s="3385" t="s">
        <v>530</v>
      </c>
      <c r="Z7" s="3386"/>
      <c r="AA7" s="1570">
        <f>D7/F7</f>
        <v>1</v>
      </c>
      <c r="AB7" s="1570">
        <f>D7/H7</f>
        <v>1</v>
      </c>
      <c r="AC7" s="1570">
        <f>D7/J7</f>
        <v>1</v>
      </c>
    </row>
    <row r="8" spans="1:29" s="1219" customFormat="1" ht="15.75" thickBot="1">
      <c r="A8" s="2939"/>
      <c r="B8" s="2946" t="s">
        <v>531</v>
      </c>
      <c r="C8" s="527" t="s">
        <v>576</v>
      </c>
      <c r="D8" s="522">
        <v>100</v>
      </c>
      <c r="E8" s="527" t="s">
        <v>576</v>
      </c>
      <c r="F8" s="524">
        <f>SUMIF(61:61,E8,62:62)-SUMIF(61:61,C8,62:62)+100</f>
        <v>100</v>
      </c>
      <c r="G8" s="527" t="s">
        <v>576</v>
      </c>
      <c r="H8" s="522">
        <f>SUMIF(61:61,G8,62:62)-SUMIF(61:61,C8,62:62)+100</f>
        <v>100</v>
      </c>
      <c r="I8" s="527" t="s">
        <v>576</v>
      </c>
      <c r="J8" s="522">
        <f>SUMIF(61:61,I8,62:62)-SUMIF(61:61,C8,62:62)+100</f>
        <v>100</v>
      </c>
      <c r="K8" s="855"/>
      <c r="L8" s="2135"/>
      <c r="M8" s="2136"/>
      <c r="N8" s="2136"/>
      <c r="O8" s="2136"/>
      <c r="P8" s="3385" t="s">
        <v>533</v>
      </c>
      <c r="Q8" s="3386"/>
      <c r="R8" s="1567" t="s">
        <v>13</v>
      </c>
      <c r="S8" s="1568">
        <f t="shared" si="0"/>
        <v>100</v>
      </c>
      <c r="T8" s="1567" t="s">
        <v>13</v>
      </c>
      <c r="U8" s="1568">
        <f t="shared" si="1"/>
        <v>100</v>
      </c>
      <c r="V8" s="1567" t="s">
        <v>13</v>
      </c>
      <c r="W8" s="1568">
        <f t="shared" si="2"/>
        <v>100</v>
      </c>
      <c r="X8" s="1569"/>
      <c r="Y8" s="3385" t="s">
        <v>533</v>
      </c>
      <c r="Z8" s="3386"/>
      <c r="AA8" s="1570">
        <f t="shared" ref="AA8:AA46" si="3">D8/F8</f>
        <v>1</v>
      </c>
      <c r="AB8" s="1570">
        <f t="shared" ref="AB8:AB46" si="4">D8/H8</f>
        <v>1</v>
      </c>
      <c r="AC8" s="1570">
        <f t="shared" ref="AC8:AC46" si="5">D8/J8</f>
        <v>1</v>
      </c>
    </row>
    <row r="9" spans="1:29" s="1219" customFormat="1" ht="15">
      <c r="A9" s="2940"/>
      <c r="B9" s="2947" t="s">
        <v>2761</v>
      </c>
      <c r="C9" s="3176" t="s">
        <v>3057</v>
      </c>
      <c r="D9" s="253">
        <v>100</v>
      </c>
      <c r="E9" s="3176" t="s">
        <v>3057</v>
      </c>
      <c r="F9" s="859">
        <f>SUMIF(63:63,E9,64:64)-SUMIF(63:63,C9,64:64)+100</f>
        <v>100</v>
      </c>
      <c r="G9" s="3176" t="s">
        <v>3057</v>
      </c>
      <c r="H9" s="253">
        <f>SUMIF(63:63,G9,64:64)-SUMIF(63:63,C9,64:64)+100</f>
        <v>100</v>
      </c>
      <c r="I9" s="3176" t="s">
        <v>3057</v>
      </c>
      <c r="J9" s="253">
        <f>SUMIF(63:63,I9,64:64)-SUMIF(63:63,C9,64:64)+100</f>
        <v>100</v>
      </c>
      <c r="K9" s="855"/>
      <c r="L9" s="2135"/>
      <c r="M9" s="2136"/>
      <c r="N9" s="2136"/>
      <c r="O9" s="2137"/>
      <c r="P9" s="3354" t="s">
        <v>535</v>
      </c>
      <c r="Q9" s="1150" t="str">
        <f t="shared" ref="Q9:Q15" si="6">B9</f>
        <v>用途</v>
      </c>
      <c r="R9" s="1567" t="s">
        <v>8</v>
      </c>
      <c r="S9" s="1568">
        <f t="shared" si="0"/>
        <v>100</v>
      </c>
      <c r="T9" s="1567" t="s">
        <v>8</v>
      </c>
      <c r="U9" s="1568">
        <f t="shared" si="1"/>
        <v>100</v>
      </c>
      <c r="V9" s="1567" t="s">
        <v>8</v>
      </c>
      <c r="W9" s="1568">
        <f t="shared" si="2"/>
        <v>100</v>
      </c>
      <c r="X9" s="1569"/>
      <c r="Y9" s="3300" t="s">
        <v>536</v>
      </c>
      <c r="Z9" s="1149" t="str">
        <f t="shared" ref="Z9:Z15" si="7">Q9</f>
        <v>用途</v>
      </c>
      <c r="AA9" s="1570">
        <f t="shared" si="3"/>
        <v>1</v>
      </c>
      <c r="AB9" s="1570">
        <f t="shared" si="4"/>
        <v>1</v>
      </c>
      <c r="AC9" s="1570">
        <f t="shared" si="5"/>
        <v>1</v>
      </c>
    </row>
    <row r="10" spans="1:29" s="1337" customFormat="1" ht="27">
      <c r="A10" s="2941"/>
      <c r="B10" s="2946" t="s">
        <v>2762</v>
      </c>
      <c r="C10" s="861" t="s">
        <v>3058</v>
      </c>
      <c r="D10" s="254">
        <v>100</v>
      </c>
      <c r="E10" s="861" t="s">
        <v>3058</v>
      </c>
      <c r="F10" s="863">
        <f>SUMIF(65:65,E10,66:66)-SUMIF(65:65,C10,66:66)+100</f>
        <v>100</v>
      </c>
      <c r="G10" s="861" t="s">
        <v>3058</v>
      </c>
      <c r="H10" s="254">
        <f>SUMIF(65:65,G10,66:66)-SUMIF(65:65,C10,66:66)+100</f>
        <v>100</v>
      </c>
      <c r="I10" s="861" t="s">
        <v>3058</v>
      </c>
      <c r="J10" s="254">
        <f>SUMIF(65:65,I10,66:66)-SUMIF(65:65,C10,66:66)+100</f>
        <v>100</v>
      </c>
      <c r="K10" s="864">
        <v>1</v>
      </c>
      <c r="L10" s="2138"/>
      <c r="M10" s="2178"/>
      <c r="N10" s="2178"/>
      <c r="O10" s="2139"/>
      <c r="P10" s="3354"/>
      <c r="Q10" s="1150" t="str">
        <f t="shared" si="6"/>
        <v>土地使用年限（年）</v>
      </c>
      <c r="R10" s="1567" t="s">
        <v>8</v>
      </c>
      <c r="S10" s="1568">
        <f t="shared" si="0"/>
        <v>100</v>
      </c>
      <c r="T10" s="1567" t="s">
        <v>8</v>
      </c>
      <c r="U10" s="1568">
        <f t="shared" si="1"/>
        <v>100</v>
      </c>
      <c r="V10" s="1567" t="s">
        <v>8</v>
      </c>
      <c r="W10" s="1568">
        <f t="shared" si="2"/>
        <v>100</v>
      </c>
      <c r="X10" s="1569"/>
      <c r="Y10" s="3300"/>
      <c r="Z10" s="1149" t="str">
        <f t="shared" si="7"/>
        <v>土地使用年限（年）</v>
      </c>
      <c r="AA10" s="1570">
        <f t="shared" si="3"/>
        <v>1</v>
      </c>
      <c r="AB10" s="1570">
        <f t="shared" si="4"/>
        <v>1</v>
      </c>
      <c r="AC10" s="1570">
        <f t="shared" si="5"/>
        <v>1</v>
      </c>
    </row>
    <row r="11" spans="1:29" ht="15">
      <c r="A11" s="2942"/>
      <c r="B11" s="2946" t="s">
        <v>2763</v>
      </c>
      <c r="C11" s="533">
        <f>'比较法-住宅、综合'!C13</f>
        <v>2.2000000000000002</v>
      </c>
      <c r="D11" s="254">
        <v>100</v>
      </c>
      <c r="E11" s="534">
        <v>3.5</v>
      </c>
      <c r="F11" s="863">
        <f>LOOKUP(E11,68:68,69:69)-LOOKUP(C11,68:68,69:69)+100</f>
        <v>98</v>
      </c>
      <c r="G11" s="533">
        <v>3.5</v>
      </c>
      <c r="H11" s="254">
        <f>LOOKUP(G11,68:68,69:69)-LOOKUP(C11,68:68,69:69)+100</f>
        <v>98</v>
      </c>
      <c r="I11" s="533">
        <v>2.77</v>
      </c>
      <c r="J11" s="254">
        <f>LOOKUP(I11,68:68,69:69)-LOOKUP(C11,68:68,69:69)+100</f>
        <v>100</v>
      </c>
      <c r="K11" s="864">
        <v>2</v>
      </c>
      <c r="L11" s="2140"/>
      <c r="M11" s="2134"/>
      <c r="N11" s="2134"/>
      <c r="O11" s="2141"/>
      <c r="P11" s="3354"/>
      <c r="Q11" s="1150" t="str">
        <f t="shared" si="6"/>
        <v>容积率</v>
      </c>
      <c r="R11" s="1567" t="s">
        <v>11</v>
      </c>
      <c r="S11" s="1568">
        <f t="shared" si="0"/>
        <v>98</v>
      </c>
      <c r="T11" s="1567" t="s">
        <v>11</v>
      </c>
      <c r="U11" s="1568">
        <f t="shared" si="1"/>
        <v>98</v>
      </c>
      <c r="V11" s="1567" t="s">
        <v>11</v>
      </c>
      <c r="W11" s="1568">
        <f t="shared" si="2"/>
        <v>100</v>
      </c>
      <c r="X11" s="1569"/>
      <c r="Y11" s="3300"/>
      <c r="Z11" s="1149" t="str">
        <f t="shared" si="7"/>
        <v>容积率</v>
      </c>
      <c r="AA11" s="1570">
        <f t="shared" si="3"/>
        <v>1.0204081632653061</v>
      </c>
      <c r="AB11" s="1570">
        <f t="shared" si="4"/>
        <v>1.0204081632653061</v>
      </c>
      <c r="AC11" s="1570">
        <f t="shared" si="5"/>
        <v>1</v>
      </c>
    </row>
    <row r="12" spans="1:29" s="1219" customFormat="1" ht="15">
      <c r="A12" s="2943"/>
      <c r="B12" s="2949">
        <v>111</v>
      </c>
      <c r="C12" s="530"/>
      <c r="D12" s="538">
        <v>100</v>
      </c>
      <c r="E12" s="530"/>
      <c r="F12" s="863">
        <f>SUMIF(70:70,E12,71:71)-SUMIF(70:70,C12,71:71)+100</f>
        <v>100</v>
      </c>
      <c r="G12" s="530"/>
      <c r="H12" s="254">
        <f>SUMIF(70:70,G12,71:71)-SUMIF(70:70,C12,71:71)+100</f>
        <v>100</v>
      </c>
      <c r="I12" s="530"/>
      <c r="J12" s="254">
        <f>SUMIF(70:70,I12,71:71)-SUMIF(70:70,C12,71:71)+100</f>
        <v>100</v>
      </c>
      <c r="K12" s="865"/>
      <c r="L12" s="2135"/>
      <c r="M12" s="2136"/>
      <c r="N12" s="2136"/>
      <c r="O12" s="2137"/>
      <c r="P12" s="3354"/>
      <c r="Q12" s="1150">
        <f t="shared" si="6"/>
        <v>111</v>
      </c>
      <c r="R12" s="1567" t="s">
        <v>11</v>
      </c>
      <c r="S12" s="1568">
        <f t="shared" si="0"/>
        <v>100</v>
      </c>
      <c r="T12" s="1567" t="s">
        <v>11</v>
      </c>
      <c r="U12" s="1568">
        <f t="shared" si="1"/>
        <v>100</v>
      </c>
      <c r="V12" s="1567" t="s">
        <v>11</v>
      </c>
      <c r="W12" s="1568">
        <f t="shared" si="2"/>
        <v>100</v>
      </c>
      <c r="X12" s="1569"/>
      <c r="Y12" s="3300"/>
      <c r="Z12" s="1149">
        <f t="shared" si="7"/>
        <v>111</v>
      </c>
      <c r="AA12" s="1570">
        <f>D12/F12</f>
        <v>1</v>
      </c>
      <c r="AB12" s="1570">
        <f>D12/H12</f>
        <v>1</v>
      </c>
      <c r="AC12" s="1570">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54"/>
      <c r="Q13" s="1150">
        <f t="shared" si="6"/>
        <v>111</v>
      </c>
      <c r="R13" s="1567" t="s">
        <v>11</v>
      </c>
      <c r="S13" s="1568">
        <f t="shared" si="0"/>
        <v>100</v>
      </c>
      <c r="T13" s="1567" t="s">
        <v>11</v>
      </c>
      <c r="U13" s="1568">
        <f t="shared" si="1"/>
        <v>100</v>
      </c>
      <c r="V13" s="1567" t="s">
        <v>11</v>
      </c>
      <c r="W13" s="1568">
        <f t="shared" si="2"/>
        <v>100</v>
      </c>
      <c r="X13" s="1569"/>
      <c r="Y13" s="3300"/>
      <c r="Z13" s="1149">
        <f t="shared" si="7"/>
        <v>111</v>
      </c>
      <c r="AA13" s="1570">
        <f t="shared" si="3"/>
        <v>1</v>
      </c>
      <c r="AB13" s="1570">
        <f t="shared" si="4"/>
        <v>1</v>
      </c>
      <c r="AC13" s="1570">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54"/>
      <c r="Q14" s="1150">
        <f t="shared" si="6"/>
        <v>111</v>
      </c>
      <c r="R14" s="1567" t="s">
        <v>11</v>
      </c>
      <c r="S14" s="1568">
        <f t="shared" si="0"/>
        <v>100</v>
      </c>
      <c r="T14" s="1567" t="s">
        <v>11</v>
      </c>
      <c r="U14" s="1568">
        <f t="shared" si="1"/>
        <v>100</v>
      </c>
      <c r="V14" s="1567" t="s">
        <v>11</v>
      </c>
      <c r="W14" s="1568">
        <f t="shared" si="2"/>
        <v>100</v>
      </c>
      <c r="X14" s="1569"/>
      <c r="Y14" s="3300"/>
      <c r="Z14" s="1149">
        <f t="shared" si="7"/>
        <v>111</v>
      </c>
      <c r="AA14" s="1570">
        <f t="shared" si="3"/>
        <v>1</v>
      </c>
      <c r="AB14" s="1570">
        <f t="shared" si="4"/>
        <v>1</v>
      </c>
      <c r="AC14" s="1570">
        <f t="shared" si="5"/>
        <v>1</v>
      </c>
    </row>
    <row r="15" spans="1:29" ht="71.25">
      <c r="A15" s="2936" t="s">
        <v>2759</v>
      </c>
      <c r="B15" s="166" t="s">
        <v>294</v>
      </c>
      <c r="C15" s="867" t="str">
        <f>估价对象房地状况!C3</f>
        <v>估价对象周边居住用地比例较低、周边1公里有大汉汉园等项目、综合评价居住社区成熟度较差</v>
      </c>
      <c r="D15" s="549">
        <v>100</v>
      </c>
      <c r="E15" s="3172" t="s">
        <v>3142</v>
      </c>
      <c r="F15" s="551">
        <f>SUMIF(76:76,E16,77:77)-SUMIF(76:76,C16,77:77)+100</f>
        <v>104</v>
      </c>
      <c r="G15" s="3172" t="s">
        <v>3121</v>
      </c>
      <c r="H15" s="549">
        <f>SUMIF(76:76,G16,77:77)-SUMIF(76:76,C16,77:77)+100</f>
        <v>104</v>
      </c>
      <c r="I15" s="3172" t="s">
        <v>3134</v>
      </c>
      <c r="J15" s="549">
        <f>SUMIF(76:76,I16,77:77)-SUMIF(76:76,C16,77:77)+100</f>
        <v>102</v>
      </c>
      <c r="K15" s="868">
        <f>'比较法-住宅、综合'!K17</f>
        <v>2</v>
      </c>
      <c r="L15" s="2142"/>
      <c r="M15" s="2134"/>
      <c r="N15" s="2134"/>
      <c r="O15" s="2141"/>
      <c r="P15" s="3388" t="s">
        <v>540</v>
      </c>
      <c r="Q15" s="1571" t="str">
        <f t="shared" si="6"/>
        <v>居住社区成熟度</v>
      </c>
      <c r="R15" s="1572" t="s">
        <v>11</v>
      </c>
      <c r="S15" s="1573">
        <f t="shared" si="0"/>
        <v>104</v>
      </c>
      <c r="T15" s="1572" t="s">
        <v>11</v>
      </c>
      <c r="U15" s="1573">
        <f t="shared" si="1"/>
        <v>104</v>
      </c>
      <c r="V15" s="1572" t="s">
        <v>11</v>
      </c>
      <c r="W15" s="1573">
        <f t="shared" si="2"/>
        <v>102</v>
      </c>
      <c r="X15" s="1566"/>
      <c r="Y15" s="3388" t="s">
        <v>540</v>
      </c>
      <c r="Z15" s="1574" t="str">
        <f t="shared" si="7"/>
        <v>居住社区成熟度</v>
      </c>
      <c r="AA15" s="1575">
        <f t="shared" si="3"/>
        <v>0.96153846153846156</v>
      </c>
      <c r="AB15" s="1575">
        <f t="shared" si="4"/>
        <v>0.96153846153846156</v>
      </c>
      <c r="AC15" s="1575">
        <f t="shared" si="5"/>
        <v>0.98039215686274506</v>
      </c>
    </row>
    <row r="16" spans="1:29" ht="15">
      <c r="A16" s="532"/>
      <c r="B16" s="869"/>
      <c r="C16" s="576" t="s">
        <v>3118</v>
      </c>
      <c r="D16" s="555"/>
      <c r="E16" s="556" t="s">
        <v>3044</v>
      </c>
      <c r="F16" s="557"/>
      <c r="G16" s="558" t="s">
        <v>3044</v>
      </c>
      <c r="H16" s="559"/>
      <c r="I16" s="556" t="s">
        <v>3043</v>
      </c>
      <c r="J16" s="555"/>
      <c r="K16" s="870"/>
      <c r="L16" s="2142"/>
      <c r="M16" s="2134"/>
      <c r="N16" s="2134"/>
      <c r="O16" s="2141"/>
      <c r="P16" s="3389"/>
      <c r="Q16" s="1571"/>
      <c r="R16" s="1572"/>
      <c r="S16" s="1573"/>
      <c r="T16" s="1572"/>
      <c r="U16" s="1573"/>
      <c r="V16" s="1572"/>
      <c r="W16" s="1573"/>
      <c r="X16" s="1566"/>
      <c r="Y16" s="3389"/>
      <c r="Z16" s="1574"/>
      <c r="AA16" s="1575">
        <v>1</v>
      </c>
      <c r="AB16" s="1575">
        <v>1</v>
      </c>
      <c r="AC16" s="1575">
        <v>1</v>
      </c>
    </row>
    <row r="17" spans="1:29" ht="103.5" customHeight="1">
      <c r="A17" s="532"/>
      <c r="B17" s="871" t="s">
        <v>295</v>
      </c>
      <c r="C17" s="872" t="str">
        <f>估价对象房地状况!C6</f>
        <v>估价对象周边1公里有357、355路等公交车经过，公共交通通达情况一般、停车便捷程度较好，综合评价交通便捷度较差</v>
      </c>
      <c r="D17" s="559">
        <v>100</v>
      </c>
      <c r="E17" s="564" t="s">
        <v>3129</v>
      </c>
      <c r="F17" s="563">
        <f>SUMIF(78:78,E18,79:79)-SUMIF(78:78,C18,79:79)+100</f>
        <v>100</v>
      </c>
      <c r="G17" s="564" t="s">
        <v>3126</v>
      </c>
      <c r="H17" s="565">
        <f>SUMIF(78:78,G18,79:79)-SUMIF(78:78,C18,79:79)+100</f>
        <v>102</v>
      </c>
      <c r="I17" s="564" t="s">
        <v>3137</v>
      </c>
      <c r="J17" s="565">
        <f>SUMIF(78:78,I18,79:79)-SUMIF(78:78,C18,79:79)+100</f>
        <v>102</v>
      </c>
      <c r="K17" s="868">
        <f>'比较法-住宅、综合'!K19</f>
        <v>2</v>
      </c>
      <c r="L17" s="2142"/>
      <c r="M17" s="2134"/>
      <c r="N17" s="2134"/>
      <c r="O17" s="2141"/>
      <c r="P17" s="3389"/>
      <c r="Q17" s="1571" t="str">
        <f>B17</f>
        <v>交通便捷度</v>
      </c>
      <c r="R17" s="1572" t="s">
        <v>11</v>
      </c>
      <c r="S17" s="1573">
        <f>F17</f>
        <v>100</v>
      </c>
      <c r="T17" s="1572" t="s">
        <v>11</v>
      </c>
      <c r="U17" s="1573">
        <f>H17</f>
        <v>102</v>
      </c>
      <c r="V17" s="1572" t="s">
        <v>11</v>
      </c>
      <c r="W17" s="1573">
        <f>J17</f>
        <v>102</v>
      </c>
      <c r="X17" s="1566"/>
      <c r="Y17" s="3389"/>
      <c r="Z17" s="1574" t="str">
        <f>Q17</f>
        <v>交通便捷度</v>
      </c>
      <c r="AA17" s="1575">
        <f t="shared" si="3"/>
        <v>1</v>
      </c>
      <c r="AB17" s="1575">
        <f t="shared" si="4"/>
        <v>0.98039215686274506</v>
      </c>
      <c r="AC17" s="1575">
        <f t="shared" si="5"/>
        <v>0.98039215686274506</v>
      </c>
    </row>
    <row r="18" spans="1:29" ht="15">
      <c r="A18" s="532"/>
      <c r="B18" s="595"/>
      <c r="C18" s="873" t="s">
        <v>3118</v>
      </c>
      <c r="D18" s="559"/>
      <c r="E18" s="568" t="s">
        <v>3118</v>
      </c>
      <c r="F18" s="563"/>
      <c r="G18" s="569" t="s">
        <v>3043</v>
      </c>
      <c r="H18" s="555"/>
      <c r="I18" s="568" t="s">
        <v>3043</v>
      </c>
      <c r="J18" s="555"/>
      <c r="K18" s="870"/>
      <c r="L18" s="2142"/>
      <c r="M18" s="2134"/>
      <c r="N18" s="2134"/>
      <c r="O18" s="2141"/>
      <c r="P18" s="3389"/>
      <c r="Q18" s="1571"/>
      <c r="R18" s="1572"/>
      <c r="S18" s="1573"/>
      <c r="T18" s="1572"/>
      <c r="U18" s="1573"/>
      <c r="V18" s="1572"/>
      <c r="W18" s="1573"/>
      <c r="X18" s="1566"/>
      <c r="Y18" s="3389"/>
      <c r="Z18" s="1574"/>
      <c r="AA18" s="1575">
        <v>1</v>
      </c>
      <c r="AB18" s="1575">
        <v>1</v>
      </c>
      <c r="AC18" s="1575">
        <v>1</v>
      </c>
    </row>
    <row r="19" spans="1:29" ht="42.75">
      <c r="A19" s="532"/>
      <c r="B19" s="2624" t="s">
        <v>2549</v>
      </c>
      <c r="C19" s="872" t="str">
        <f>估价对象房地状况!C7</f>
        <v>估价对象所在区域公共配套设施齐备情况一般</v>
      </c>
      <c r="D19" s="565">
        <v>100</v>
      </c>
      <c r="E19" s="570" t="s">
        <v>3038</v>
      </c>
      <c r="F19" s="571">
        <f>SUMIF(80:80,E20,81:81)-SUMIF(80:80,C20,81:81)+100</f>
        <v>100</v>
      </c>
      <c r="G19" s="570" t="s">
        <v>3038</v>
      </c>
      <c r="H19" s="559">
        <f>SUMIF(80:80,G20,81:81)-SUMIF(80:80,C20,81:81)+100</f>
        <v>100</v>
      </c>
      <c r="I19" s="570" t="s">
        <v>3038</v>
      </c>
      <c r="J19" s="559">
        <f>SUMIF(80:80,I20,81:81)-SUMIF(80:80,C20,81:81)+100</f>
        <v>100</v>
      </c>
      <c r="K19" s="868">
        <f>'比较法-住宅、综合'!K23</f>
        <v>1</v>
      </c>
      <c r="L19" s="2142"/>
      <c r="M19" s="2134"/>
      <c r="N19" s="2134"/>
      <c r="O19" s="2141"/>
      <c r="P19" s="3389"/>
      <c r="Q19" s="1571" t="str">
        <f>B19</f>
        <v>公共配套设施</v>
      </c>
      <c r="R19" s="1572" t="s">
        <v>11</v>
      </c>
      <c r="S19" s="1573">
        <f>F19</f>
        <v>100</v>
      </c>
      <c r="T19" s="1572" t="s">
        <v>11</v>
      </c>
      <c r="U19" s="1573">
        <f>H19</f>
        <v>100</v>
      </c>
      <c r="V19" s="1572" t="s">
        <v>11</v>
      </c>
      <c r="W19" s="1573">
        <f>J19</f>
        <v>100</v>
      </c>
      <c r="X19" s="1566"/>
      <c r="Y19" s="3389"/>
      <c r="Z19" s="1574" t="str">
        <f>Q19</f>
        <v>公共配套设施</v>
      </c>
      <c r="AA19" s="1575">
        <f t="shared" si="3"/>
        <v>1</v>
      </c>
      <c r="AB19" s="1575">
        <f t="shared" si="4"/>
        <v>1</v>
      </c>
      <c r="AC19" s="1575">
        <f t="shared" si="5"/>
        <v>1</v>
      </c>
    </row>
    <row r="20" spans="1:29" ht="15">
      <c r="A20" s="532"/>
      <c r="B20" s="595"/>
      <c r="C20" s="576" t="s">
        <v>3043</v>
      </c>
      <c r="D20" s="555"/>
      <c r="E20" s="576" t="s">
        <v>3043</v>
      </c>
      <c r="F20" s="557"/>
      <c r="G20" s="576" t="s">
        <v>3043</v>
      </c>
      <c r="H20" s="555"/>
      <c r="I20" s="556" t="s">
        <v>3043</v>
      </c>
      <c r="J20" s="555"/>
      <c r="K20" s="870"/>
      <c r="L20" s="2142"/>
      <c r="M20" s="2134"/>
      <c r="N20" s="2134"/>
      <c r="O20" s="2141"/>
      <c r="P20" s="3389"/>
      <c r="Q20" s="1571"/>
      <c r="R20" s="1572"/>
      <c r="S20" s="1573"/>
      <c r="T20" s="1572"/>
      <c r="U20" s="1573"/>
      <c r="V20" s="1572"/>
      <c r="W20" s="1573"/>
      <c r="X20" s="1566"/>
      <c r="Y20" s="3389"/>
      <c r="Z20" s="1574"/>
      <c r="AA20" s="1575">
        <v>1</v>
      </c>
      <c r="AB20" s="1575">
        <v>1</v>
      </c>
      <c r="AC20" s="1575">
        <v>1</v>
      </c>
    </row>
    <row r="21" spans="1:29" ht="28.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2"/>
      <c r="M21" s="2134"/>
      <c r="N21" s="2134"/>
      <c r="O21" s="2141"/>
      <c r="P21" s="3389"/>
      <c r="Q21" s="2603" t="str">
        <f>B21</f>
        <v>基础设施水平</v>
      </c>
      <c r="R21" s="1572" t="s">
        <v>11</v>
      </c>
      <c r="S21" s="1573">
        <f>F21</f>
        <v>100</v>
      </c>
      <c r="T21" s="1572" t="s">
        <v>11</v>
      </c>
      <c r="U21" s="1573">
        <f>H21</f>
        <v>100</v>
      </c>
      <c r="V21" s="1572" t="s">
        <v>11</v>
      </c>
      <c r="W21" s="1573">
        <f>J21</f>
        <v>100</v>
      </c>
      <c r="X21" s="2605"/>
      <c r="Y21" s="3389"/>
      <c r="Z21" s="2604" t="str">
        <f>Q21</f>
        <v>基础设施水平</v>
      </c>
      <c r="AA21" s="1575">
        <f t="shared" ref="AA21" si="8">D21/F21</f>
        <v>1</v>
      </c>
      <c r="AB21" s="1575">
        <f t="shared" ref="AB21" si="9">D21/H21</f>
        <v>1</v>
      </c>
      <c r="AC21" s="1575">
        <f t="shared" ref="AC21" si="10">D21/J21</f>
        <v>1</v>
      </c>
    </row>
    <row r="22" spans="1:29" ht="15">
      <c r="A22" s="532"/>
      <c r="B22" s="921"/>
      <c r="C22" s="873" t="s">
        <v>3045</v>
      </c>
      <c r="D22" s="555"/>
      <c r="E22" s="873" t="s">
        <v>3045</v>
      </c>
      <c r="F22" s="557"/>
      <c r="G22" s="873" t="s">
        <v>3045</v>
      </c>
      <c r="H22" s="555"/>
      <c r="I22" s="873" t="s">
        <v>3045</v>
      </c>
      <c r="J22" s="555"/>
      <c r="K22" s="2623"/>
      <c r="L22" s="2142"/>
      <c r="M22" s="2134"/>
      <c r="N22" s="2134"/>
      <c r="O22" s="2141"/>
      <c r="P22" s="3389"/>
      <c r="Q22" s="2603"/>
      <c r="R22" s="1572"/>
      <c r="S22" s="1573"/>
      <c r="T22" s="1572"/>
      <c r="U22" s="1573"/>
      <c r="V22" s="1572"/>
      <c r="W22" s="1573"/>
      <c r="X22" s="2605"/>
      <c r="Y22" s="3389"/>
      <c r="Z22" s="2604"/>
      <c r="AA22" s="1575">
        <v>1</v>
      </c>
      <c r="AB22" s="1575">
        <v>1</v>
      </c>
      <c r="AC22" s="1575">
        <v>1</v>
      </c>
    </row>
    <row r="23" spans="1:29" ht="46.5" customHeight="1">
      <c r="A23" s="532"/>
      <c r="B23" s="871" t="s">
        <v>296</v>
      </c>
      <c r="C23" s="872" t="str">
        <f>估价对象房地状况!C9</f>
        <v>周边2公里内有长沙医学院、观音岩水库，区域自然环境较好</v>
      </c>
      <c r="D23" s="559">
        <v>100</v>
      </c>
      <c r="E23" s="564" t="s">
        <v>3082</v>
      </c>
      <c r="F23" s="563">
        <f>SUMIF(84:84,E24,85:85)-SUMIF(84:84,C24,85:85)+100</f>
        <v>100</v>
      </c>
      <c r="G23" s="564" t="s">
        <v>3082</v>
      </c>
      <c r="H23" s="559">
        <f>SUMIF(84:84,G24,85:85)-SUMIF(84:84,C24,85:85)+100</f>
        <v>100</v>
      </c>
      <c r="I23" s="564" t="s">
        <v>3136</v>
      </c>
      <c r="J23" s="559">
        <f>SUMIF(84:84,I24,85:85)-SUMIF(84:84,C24,85:85)+100</f>
        <v>90</v>
      </c>
      <c r="K23" s="868">
        <v>10</v>
      </c>
      <c r="L23" s="2142"/>
      <c r="M23" s="2134"/>
      <c r="N23" s="2134"/>
      <c r="O23" s="2141"/>
      <c r="P23" s="3389"/>
      <c r="Q23" s="1571" t="str">
        <f>B23</f>
        <v>自然及人文环境</v>
      </c>
      <c r="R23" s="1572" t="s">
        <v>11</v>
      </c>
      <c r="S23" s="1573">
        <f>F23</f>
        <v>100</v>
      </c>
      <c r="T23" s="1572" t="s">
        <v>11</v>
      </c>
      <c r="U23" s="1573">
        <f>H23</f>
        <v>100</v>
      </c>
      <c r="V23" s="1572" t="s">
        <v>11</v>
      </c>
      <c r="W23" s="1573">
        <f>J23</f>
        <v>90</v>
      </c>
      <c r="X23" s="1566"/>
      <c r="Y23" s="3389"/>
      <c r="Z23" s="1574" t="str">
        <f>Q23</f>
        <v>自然及人文环境</v>
      </c>
      <c r="AA23" s="1575">
        <f t="shared" si="3"/>
        <v>1</v>
      </c>
      <c r="AB23" s="1575">
        <f t="shared" si="4"/>
        <v>1</v>
      </c>
      <c r="AC23" s="1575">
        <f t="shared" si="5"/>
        <v>1.1111111111111112</v>
      </c>
    </row>
    <row r="24" spans="1:29" ht="15">
      <c r="A24" s="532"/>
      <c r="B24" s="595"/>
      <c r="C24" s="576" t="s">
        <v>3044</v>
      </c>
      <c r="D24" s="555"/>
      <c r="E24" s="576" t="s">
        <v>3044</v>
      </c>
      <c r="F24" s="557"/>
      <c r="G24" s="576" t="s">
        <v>3044</v>
      </c>
      <c r="H24" s="555"/>
      <c r="I24" s="556" t="s">
        <v>3043</v>
      </c>
      <c r="J24" s="555"/>
      <c r="K24" s="870"/>
      <c r="L24" s="2142"/>
      <c r="M24" s="2134"/>
      <c r="N24" s="2134"/>
      <c r="O24" s="2141"/>
      <c r="P24" s="3389"/>
      <c r="Q24" s="1571"/>
      <c r="R24" s="1572"/>
      <c r="S24" s="1573"/>
      <c r="T24" s="1572"/>
      <c r="U24" s="1573"/>
      <c r="V24" s="1572"/>
      <c r="W24" s="1573"/>
      <c r="X24" s="1566"/>
      <c r="Y24" s="3389"/>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9"/>
      <c r="Q25" s="1571" t="str">
        <f t="shared" ref="Q25:Q46" si="11">B25</f>
        <v>楼层-1</v>
      </c>
      <c r="R25" s="1572" t="s">
        <v>11</v>
      </c>
      <c r="S25" s="1573">
        <f>F25</f>
        <v>100</v>
      </c>
      <c r="T25" s="1572" t="s">
        <v>11</v>
      </c>
      <c r="U25" s="1573">
        <f>H25</f>
        <v>100</v>
      </c>
      <c r="V25" s="1572" t="s">
        <v>11</v>
      </c>
      <c r="W25" s="1573">
        <f>J25</f>
        <v>100</v>
      </c>
      <c r="X25" s="1566"/>
      <c r="Y25" s="3389"/>
      <c r="Z25" s="1574" t="str">
        <f>Q25</f>
        <v>楼层-1</v>
      </c>
      <c r="AA25" s="1575">
        <f t="shared" si="3"/>
        <v>1</v>
      </c>
      <c r="AB25" s="1575">
        <f t="shared" si="4"/>
        <v>1</v>
      </c>
      <c r="AC25" s="1575">
        <f t="shared" si="5"/>
        <v>1</v>
      </c>
    </row>
    <row r="26" spans="1:29" ht="15">
      <c r="A26" s="532"/>
      <c r="B26" s="529"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9"/>
      <c r="Q26" s="1571" t="str">
        <f t="shared" si="11"/>
        <v>朝向</v>
      </c>
      <c r="R26" s="1572" t="s">
        <v>11</v>
      </c>
      <c r="S26" s="1573">
        <f>F26</f>
        <v>100</v>
      </c>
      <c r="T26" s="1572" t="s">
        <v>11</v>
      </c>
      <c r="U26" s="1573">
        <f>H26</f>
        <v>100</v>
      </c>
      <c r="V26" s="1572" t="s">
        <v>11</v>
      </c>
      <c r="W26" s="1573">
        <f>J26</f>
        <v>100</v>
      </c>
      <c r="X26" s="1566"/>
      <c r="Y26" s="3389"/>
      <c r="Z26" s="1574" t="str">
        <f>Q26</f>
        <v>朝向</v>
      </c>
      <c r="AA26" s="1575">
        <f t="shared" si="3"/>
        <v>1</v>
      </c>
      <c r="AB26" s="1575">
        <f t="shared" si="4"/>
        <v>1</v>
      </c>
      <c r="AC26" s="1575">
        <f t="shared" si="5"/>
        <v>1</v>
      </c>
    </row>
    <row r="27" spans="1:29" s="1219" customFormat="1" ht="15">
      <c r="A27" s="536"/>
      <c r="B27" s="537" t="s">
        <v>724</v>
      </c>
      <c r="C27" s="530" t="str">
        <f>'比较法-住宅、综合'!C35</f>
        <v>快速路</v>
      </c>
      <c r="D27" s="875">
        <v>100</v>
      </c>
      <c r="E27" s="530" t="s">
        <v>3130</v>
      </c>
      <c r="F27" s="876">
        <f>SUMIF(90:90,E27,91:91)-SUMIF(90:90,C27,91:91)+100</f>
        <v>99</v>
      </c>
      <c r="G27" s="530" t="str">
        <f>'比较法-住宅、综合'!G35</f>
        <v>快速路</v>
      </c>
      <c r="H27" s="875">
        <f>SUMIF(90:90,G27,91:91)-SUMIF(90:90,C27,91:91)+100</f>
        <v>100</v>
      </c>
      <c r="I27" s="3482" t="s">
        <v>3139</v>
      </c>
      <c r="J27" s="875">
        <f>SUMIF(90:90,I27,91:91)-SUMIF(90:90,C27,91:91)+100</f>
        <v>97</v>
      </c>
      <c r="K27" s="865"/>
      <c r="L27" s="2135"/>
      <c r="M27" s="2136"/>
      <c r="N27" s="2136"/>
      <c r="O27" s="2137"/>
      <c r="P27" s="3389"/>
      <c r="Q27" s="1150" t="str">
        <f t="shared" si="11"/>
        <v>道路级别</v>
      </c>
      <c r="R27" s="1567" t="s">
        <v>11</v>
      </c>
      <c r="S27" s="1568">
        <f>F27</f>
        <v>99</v>
      </c>
      <c r="T27" s="1567" t="s">
        <v>11</v>
      </c>
      <c r="U27" s="1568">
        <f>H27</f>
        <v>100</v>
      </c>
      <c r="V27" s="1567" t="s">
        <v>11</v>
      </c>
      <c r="W27" s="1568">
        <f>J27</f>
        <v>97</v>
      </c>
      <c r="X27" s="1569"/>
      <c r="Y27" s="3389"/>
      <c r="Z27" s="1149" t="str">
        <f>Q27</f>
        <v>道路级别</v>
      </c>
      <c r="AA27" s="1575">
        <f>D27/F27</f>
        <v>1.0101010101010102</v>
      </c>
      <c r="AB27" s="1575">
        <f>D27/H27</f>
        <v>1</v>
      </c>
      <c r="AC27" s="1575">
        <f>D27/J27</f>
        <v>1.0309278350515463</v>
      </c>
    </row>
    <row r="28" spans="1:29" ht="15">
      <c r="A28" s="532"/>
      <c r="B28" s="877"/>
      <c r="C28" s="539"/>
      <c r="D28" s="540">
        <v>100</v>
      </c>
      <c r="E28" s="3481" t="s">
        <v>3131</v>
      </c>
      <c r="F28" s="575">
        <f>SUMIF(92:92,E28,93:93)-SUMIF(92:92,C28,93:93)+100</f>
        <v>100</v>
      </c>
      <c r="G28" s="539"/>
      <c r="H28" s="540">
        <f>SUMIF(92:92,G28,93:93)-SUMIF(92:92,C28,93:93)+100</f>
        <v>100</v>
      </c>
      <c r="I28" s="3481" t="s">
        <v>3138</v>
      </c>
      <c r="J28" s="540">
        <f>SUMIF(92:92,I28,93:93)-SUMIF(92:92,C28,93:93)+100</f>
        <v>100</v>
      </c>
      <c r="K28" s="865"/>
      <c r="L28" s="2142"/>
      <c r="M28" s="2134"/>
      <c r="N28" s="2134"/>
      <c r="O28" s="2141"/>
      <c r="P28" s="3389"/>
      <c r="Q28" s="1571">
        <f t="shared" si="11"/>
        <v>0</v>
      </c>
      <c r="R28" s="1572" t="s">
        <v>11</v>
      </c>
      <c r="S28" s="1573">
        <f t="shared" ref="S28:S46" si="12">F28</f>
        <v>100</v>
      </c>
      <c r="T28" s="1572" t="s">
        <v>11</v>
      </c>
      <c r="U28" s="1573">
        <f t="shared" ref="U28:U46" si="13">H28</f>
        <v>100</v>
      </c>
      <c r="V28" s="1572" t="s">
        <v>11</v>
      </c>
      <c r="W28" s="1573">
        <f t="shared" ref="W28:W46" si="14">J28</f>
        <v>100</v>
      </c>
      <c r="X28" s="1566"/>
      <c r="Y28" s="3389"/>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9"/>
      <c r="Q29" s="1571">
        <f t="shared" si="11"/>
        <v>0</v>
      </c>
      <c r="R29" s="1572" t="s">
        <v>11</v>
      </c>
      <c r="S29" s="1573">
        <f t="shared" si="12"/>
        <v>100</v>
      </c>
      <c r="T29" s="1572" t="s">
        <v>11</v>
      </c>
      <c r="U29" s="1573">
        <f t="shared" si="13"/>
        <v>100</v>
      </c>
      <c r="V29" s="1572" t="s">
        <v>11</v>
      </c>
      <c r="W29" s="1573">
        <f t="shared" si="14"/>
        <v>100</v>
      </c>
      <c r="X29" s="1566"/>
      <c r="Y29" s="3389"/>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9"/>
      <c r="Q30" s="1571">
        <f t="shared" si="11"/>
        <v>0</v>
      </c>
      <c r="R30" s="1572" t="s">
        <v>11</v>
      </c>
      <c r="S30" s="1573">
        <f t="shared" si="12"/>
        <v>100</v>
      </c>
      <c r="T30" s="1572" t="s">
        <v>11</v>
      </c>
      <c r="U30" s="1573">
        <f t="shared" si="13"/>
        <v>100</v>
      </c>
      <c r="V30" s="1572" t="s">
        <v>11</v>
      </c>
      <c r="W30" s="1573">
        <f t="shared" si="14"/>
        <v>100</v>
      </c>
      <c r="X30" s="1566"/>
      <c r="Y30" s="3389"/>
      <c r="Z30" s="1574">
        <f t="shared" si="15"/>
        <v>0</v>
      </c>
      <c r="AA30" s="1575">
        <f t="shared" si="3"/>
        <v>1</v>
      </c>
      <c r="AB30" s="1575">
        <f t="shared" si="4"/>
        <v>1</v>
      </c>
      <c r="AC30" s="157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9"/>
      <c r="Q31" s="1571">
        <f t="shared" si="11"/>
        <v>0</v>
      </c>
      <c r="R31" s="1572" t="s">
        <v>11</v>
      </c>
      <c r="S31" s="1573">
        <f t="shared" si="12"/>
        <v>100</v>
      </c>
      <c r="T31" s="1572" t="s">
        <v>11</v>
      </c>
      <c r="U31" s="1573">
        <f t="shared" si="13"/>
        <v>100</v>
      </c>
      <c r="V31" s="1572" t="s">
        <v>11</v>
      </c>
      <c r="W31" s="1573">
        <f t="shared" si="14"/>
        <v>100</v>
      </c>
      <c r="X31" s="1566"/>
      <c r="Y31" s="3389"/>
      <c r="Z31" s="1574">
        <f t="shared" si="15"/>
        <v>0</v>
      </c>
      <c r="AA31" s="1575">
        <f t="shared" si="3"/>
        <v>1</v>
      </c>
      <c r="AB31" s="1575">
        <f t="shared" si="4"/>
        <v>1</v>
      </c>
      <c r="AC31" s="1575">
        <f t="shared" si="5"/>
        <v>1</v>
      </c>
    </row>
    <row r="32" spans="1:29" ht="15">
      <c r="A32" s="2933" t="s">
        <v>2760</v>
      </c>
      <c r="B32" s="172" t="s">
        <v>725</v>
      </c>
      <c r="C32" s="878" t="s">
        <v>3048</v>
      </c>
      <c r="D32" s="597">
        <v>100</v>
      </c>
      <c r="E32" s="878" t="s">
        <v>3048</v>
      </c>
      <c r="F32" s="575">
        <f>SUMIF(100:100,E32,101:101)-SUMIF(100:100,C32,101:101)+100</f>
        <v>100</v>
      </c>
      <c r="G32" s="878" t="s">
        <v>3048</v>
      </c>
      <c r="H32" s="597">
        <f>SUMIF(100:100,G32,101:101)-SUMIF(100:100,C32,101:101)+100</f>
        <v>100</v>
      </c>
      <c r="I32" s="878" t="s">
        <v>3048</v>
      </c>
      <c r="J32" s="540">
        <f>SUMIF(100:100,I32,101:101)-SUMIF(100:100,C32,101:101)+100</f>
        <v>100</v>
      </c>
      <c r="K32" s="864">
        <v>5</v>
      </c>
      <c r="L32" s="2142"/>
      <c r="M32" s="2134"/>
      <c r="N32" s="2134"/>
      <c r="O32" s="2141"/>
      <c r="P32" s="3390" t="s">
        <v>550</v>
      </c>
      <c r="Q32" s="1571" t="str">
        <f t="shared" si="11"/>
        <v>建筑类型</v>
      </c>
      <c r="R32" s="1572" t="s">
        <v>11</v>
      </c>
      <c r="S32" s="1573">
        <f t="shared" si="12"/>
        <v>100</v>
      </c>
      <c r="T32" s="1572" t="s">
        <v>11</v>
      </c>
      <c r="U32" s="1573">
        <f t="shared" si="13"/>
        <v>100</v>
      </c>
      <c r="V32" s="1572" t="s">
        <v>11</v>
      </c>
      <c r="W32" s="1573">
        <f t="shared" si="14"/>
        <v>100</v>
      </c>
      <c r="X32" s="1566"/>
      <c r="Y32" s="3391" t="s">
        <v>550</v>
      </c>
      <c r="Z32" s="1574" t="str">
        <f t="shared" si="15"/>
        <v>建筑类型</v>
      </c>
      <c r="AA32" s="1575">
        <f t="shared" si="3"/>
        <v>1</v>
      </c>
      <c r="AB32" s="1575">
        <f t="shared" si="4"/>
        <v>1</v>
      </c>
      <c r="AC32" s="1575">
        <f t="shared" si="5"/>
        <v>1</v>
      </c>
    </row>
    <row r="33" spans="1:29" s="1338" customFormat="1" ht="15">
      <c r="A33" s="603"/>
      <c r="B33" s="529" t="s">
        <v>726</v>
      </c>
      <c r="C33" s="879"/>
      <c r="D33" s="254">
        <v>100</v>
      </c>
      <c r="E33" s="879"/>
      <c r="F33" s="863">
        <f>LOOKUP(E33,103:103,104:104)-LOOKUP(C33,103:103,104:104)+100</f>
        <v>100</v>
      </c>
      <c r="G33" s="879"/>
      <c r="H33" s="254">
        <f>LOOKUP(G33,103:103,104:104)-LOOKUP(C33,103:103,104:104)+100</f>
        <v>100</v>
      </c>
      <c r="I33" s="879"/>
      <c r="J33" s="254">
        <f>LOOKUP(I33,103:103,104:104)-LOOKUP(C33,103:103,104:104)+100</f>
        <v>100</v>
      </c>
      <c r="K33" s="865"/>
      <c r="L33" s="2140"/>
      <c r="M33" s="2171"/>
      <c r="N33" s="2171"/>
      <c r="O33" s="2143"/>
      <c r="P33" s="3391"/>
      <c r="Q33" s="1604" t="str">
        <f t="shared" si="11"/>
        <v>项目建筑规模</v>
      </c>
      <c r="R33" s="1576" t="s">
        <v>11</v>
      </c>
      <c r="S33" s="1577">
        <f t="shared" si="12"/>
        <v>100</v>
      </c>
      <c r="T33" s="1576" t="s">
        <v>11</v>
      </c>
      <c r="U33" s="1577">
        <f t="shared" si="13"/>
        <v>100</v>
      </c>
      <c r="V33" s="1576" t="s">
        <v>11</v>
      </c>
      <c r="W33" s="1577">
        <f t="shared" si="14"/>
        <v>100</v>
      </c>
      <c r="X33" s="1578"/>
      <c r="Y33" s="3391"/>
      <c r="Z33" s="1579" t="str">
        <f t="shared" si="15"/>
        <v>项目建筑规模</v>
      </c>
      <c r="AA33" s="1575">
        <f t="shared" si="3"/>
        <v>1</v>
      </c>
      <c r="AB33" s="1575">
        <f t="shared" si="4"/>
        <v>1</v>
      </c>
      <c r="AC33" s="1575">
        <f t="shared" si="5"/>
        <v>1</v>
      </c>
    </row>
    <row r="34" spans="1:29" ht="15">
      <c r="A34" s="594"/>
      <c r="B34" s="529" t="s">
        <v>727</v>
      </c>
      <c r="C34" s="880" t="s">
        <v>3009</v>
      </c>
      <c r="D34" s="540">
        <v>100</v>
      </c>
      <c r="E34" s="880" t="s">
        <v>3009</v>
      </c>
      <c r="F34" s="575">
        <f>SUMIF(105:105,E34,106:106)-SUMIF(105:105,C34,106:106)+100</f>
        <v>100</v>
      </c>
      <c r="G34" s="880" t="s">
        <v>3009</v>
      </c>
      <c r="H34" s="540">
        <f>SUMIF(105:105,G34,106:106)-SUMIF(105:105,C34,106:106)+100</f>
        <v>100</v>
      </c>
      <c r="I34" s="881" t="s">
        <v>3009</v>
      </c>
      <c r="J34" s="540">
        <f>SUMIF(105:105,I34,106:106)-SUMIF(105:105,C34,106:106)+100</f>
        <v>100</v>
      </c>
      <c r="K34" s="864">
        <v>1</v>
      </c>
      <c r="L34" s="2142"/>
      <c r="M34" s="2134"/>
      <c r="N34" s="2134"/>
      <c r="O34" s="2141"/>
      <c r="P34" s="3391"/>
      <c r="Q34" s="1571" t="str">
        <f t="shared" si="11"/>
        <v>建筑结构</v>
      </c>
      <c r="R34" s="1572" t="s">
        <v>11</v>
      </c>
      <c r="S34" s="1573">
        <f t="shared" si="12"/>
        <v>100</v>
      </c>
      <c r="T34" s="1572" t="s">
        <v>11</v>
      </c>
      <c r="U34" s="1573">
        <f t="shared" si="13"/>
        <v>100</v>
      </c>
      <c r="V34" s="1572" t="s">
        <v>11</v>
      </c>
      <c r="W34" s="1573">
        <f t="shared" si="14"/>
        <v>100</v>
      </c>
      <c r="X34" s="1566"/>
      <c r="Y34" s="3391"/>
      <c r="Z34" s="1574" t="str">
        <f t="shared" si="15"/>
        <v>建筑结构</v>
      </c>
      <c r="AA34" s="1575">
        <f t="shared" si="3"/>
        <v>1</v>
      </c>
      <c r="AB34" s="1575">
        <f t="shared" si="4"/>
        <v>1</v>
      </c>
      <c r="AC34" s="1575">
        <f t="shared" si="5"/>
        <v>1</v>
      </c>
    </row>
    <row r="35" spans="1:29" ht="15">
      <c r="A35" s="594"/>
      <c r="B35" s="529"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91"/>
      <c r="Q35" s="1571" t="str">
        <f t="shared" si="11"/>
        <v>建筑品质</v>
      </c>
      <c r="R35" s="1572" t="s">
        <v>11</v>
      </c>
      <c r="S35" s="1573">
        <f t="shared" si="12"/>
        <v>100</v>
      </c>
      <c r="T35" s="1572" t="s">
        <v>11</v>
      </c>
      <c r="U35" s="1573">
        <f t="shared" si="13"/>
        <v>100</v>
      </c>
      <c r="V35" s="1572" t="s">
        <v>11</v>
      </c>
      <c r="W35" s="1573">
        <f t="shared" si="14"/>
        <v>100</v>
      </c>
      <c r="X35" s="1566"/>
      <c r="Y35" s="3391"/>
      <c r="Z35" s="1574" t="str">
        <f t="shared" si="15"/>
        <v>建筑品质</v>
      </c>
      <c r="AA35" s="1575">
        <f t="shared" si="3"/>
        <v>1</v>
      </c>
      <c r="AB35" s="1575">
        <f t="shared" si="4"/>
        <v>1</v>
      </c>
      <c r="AC35" s="1575">
        <f t="shared" si="5"/>
        <v>1</v>
      </c>
    </row>
    <row r="36" spans="1:29" ht="15">
      <c r="A36" s="594"/>
      <c r="B36" s="529" t="s">
        <v>729</v>
      </c>
      <c r="C36" s="599" t="s">
        <v>3059</v>
      </c>
      <c r="D36" s="540">
        <v>100</v>
      </c>
      <c r="E36" s="599" t="s">
        <v>3059</v>
      </c>
      <c r="F36" s="575">
        <f>SUMIF(109:109,E36,110:110)-SUMIF(109:109,C36,110:110)+100</f>
        <v>100</v>
      </c>
      <c r="G36" s="599" t="s">
        <v>3059</v>
      </c>
      <c r="H36" s="540">
        <f>SUMIF(109:109,G36,110:110)-SUMIF(109:109,C36,110:110)+100</f>
        <v>100</v>
      </c>
      <c r="I36" s="599" t="s">
        <v>3059</v>
      </c>
      <c r="J36" s="540">
        <f>SUMIF(109:109,I36,110:110)-SUMIF(109:109,C36,110:110)+100</f>
        <v>100</v>
      </c>
      <c r="K36" s="864">
        <v>3</v>
      </c>
      <c r="L36" s="2142"/>
      <c r="M36" s="2134"/>
      <c r="N36" s="2134"/>
      <c r="O36" s="2141"/>
      <c r="P36" s="3391"/>
      <c r="Q36" s="1571" t="str">
        <f t="shared" si="11"/>
        <v>公共部分装修</v>
      </c>
      <c r="R36" s="1572" t="s">
        <v>11</v>
      </c>
      <c r="S36" s="1573">
        <f t="shared" si="12"/>
        <v>100</v>
      </c>
      <c r="T36" s="1572" t="s">
        <v>11</v>
      </c>
      <c r="U36" s="1573">
        <f t="shared" si="13"/>
        <v>100</v>
      </c>
      <c r="V36" s="1572" t="s">
        <v>11</v>
      </c>
      <c r="W36" s="1573">
        <f t="shared" si="14"/>
        <v>100</v>
      </c>
      <c r="X36" s="1566"/>
      <c r="Y36" s="3391"/>
      <c r="Z36" s="1574" t="str">
        <f t="shared" si="15"/>
        <v>公共部分装修</v>
      </c>
      <c r="AA36" s="1575">
        <f t="shared" si="3"/>
        <v>1</v>
      </c>
      <c r="AB36" s="1575">
        <f t="shared" si="4"/>
        <v>1</v>
      </c>
      <c r="AC36" s="1575">
        <f t="shared" si="5"/>
        <v>1</v>
      </c>
    </row>
    <row r="37" spans="1:29" s="1219" customFormat="1" ht="15">
      <c r="A37" s="600"/>
      <c r="B37" s="1895" t="s">
        <v>3074</v>
      </c>
      <c r="C37" s="882">
        <v>1</v>
      </c>
      <c r="D37" s="254">
        <v>100</v>
      </c>
      <c r="E37" s="3053">
        <f>ROUND(1-(1-0%)*(2017-2016)/60,2)</f>
        <v>0.98</v>
      </c>
      <c r="F37" s="863">
        <f>LOOKUP(E37,112:112,113:113)-LOOKUP(C37,112:112,113:113)+100</f>
        <v>100</v>
      </c>
      <c r="G37" s="3053">
        <f>ROUND(1-(1-0%)*(2017-2013)/60,2)</f>
        <v>0.93</v>
      </c>
      <c r="H37" s="254">
        <f>LOOKUP(G37,112:112,113:113)-LOOKUP(C37,112:112,113:113)+100</f>
        <v>100</v>
      </c>
      <c r="I37" s="3053">
        <f>ROUND(1-(1-0%)*(2017-2016)/60,2)</f>
        <v>0.98</v>
      </c>
      <c r="J37" s="254">
        <f>LOOKUP(I37,112:112,113:113)-LOOKUP(C37,112:112,113:113)+100</f>
        <v>100</v>
      </c>
      <c r="K37" s="864">
        <v>2</v>
      </c>
      <c r="L37" s="2135"/>
      <c r="M37" s="2136"/>
      <c r="N37" s="2136"/>
      <c r="O37" s="2137"/>
      <c r="P37" s="3391"/>
      <c r="Q37" s="1150" t="str">
        <f t="shared" si="11"/>
        <v>成新度</v>
      </c>
      <c r="R37" s="1567" t="s">
        <v>11</v>
      </c>
      <c r="S37" s="1568">
        <f t="shared" si="12"/>
        <v>100</v>
      </c>
      <c r="T37" s="1567" t="s">
        <v>11</v>
      </c>
      <c r="U37" s="1568">
        <f t="shared" si="13"/>
        <v>100</v>
      </c>
      <c r="V37" s="1567" t="s">
        <v>11</v>
      </c>
      <c r="W37" s="1568">
        <f t="shared" si="14"/>
        <v>100</v>
      </c>
      <c r="X37" s="1569"/>
      <c r="Y37" s="3391"/>
      <c r="Z37" s="1149" t="str">
        <f t="shared" si="15"/>
        <v>成新度</v>
      </c>
      <c r="AA37" s="1570">
        <f t="shared" si="3"/>
        <v>1</v>
      </c>
      <c r="AB37" s="1570">
        <f t="shared" si="4"/>
        <v>1</v>
      </c>
      <c r="AC37" s="1570">
        <f t="shared" si="5"/>
        <v>1</v>
      </c>
    </row>
    <row r="38" spans="1:29" ht="15">
      <c r="A38" s="594"/>
      <c r="B38" s="529" t="s">
        <v>730</v>
      </c>
      <c r="C38" s="599" t="s">
        <v>3069</v>
      </c>
      <c r="D38" s="540">
        <v>100</v>
      </c>
      <c r="E38" s="599" t="s">
        <v>3069</v>
      </c>
      <c r="F38" s="575">
        <f>SUMIF(114:114,E38,115:115)-SUMIF(114:114,C38,115:115)+100</f>
        <v>100</v>
      </c>
      <c r="G38" s="599" t="s">
        <v>3069</v>
      </c>
      <c r="H38" s="540">
        <f>SUMIF(114:114,G38,115:115)-SUMIF(114:114,C38,115:115)+100</f>
        <v>100</v>
      </c>
      <c r="I38" s="599" t="s">
        <v>3069</v>
      </c>
      <c r="J38" s="540">
        <f>SUMIF(114:114,I38,115:115)-SUMIF(114:114,C38,115:115)+100</f>
        <v>100</v>
      </c>
      <c r="K38" s="864">
        <v>2</v>
      </c>
      <c r="L38" s="2142"/>
      <c r="M38" s="2134"/>
      <c r="N38" s="2134"/>
      <c r="O38" s="2141"/>
      <c r="P38" s="3391" t="s">
        <v>550</v>
      </c>
      <c r="Q38" s="1571" t="str">
        <f t="shared" si="11"/>
        <v>物业管理</v>
      </c>
      <c r="R38" s="1572" t="s">
        <v>11</v>
      </c>
      <c r="S38" s="1573">
        <f t="shared" si="12"/>
        <v>100</v>
      </c>
      <c r="T38" s="1572" t="s">
        <v>11</v>
      </c>
      <c r="U38" s="1573">
        <f t="shared" si="13"/>
        <v>100</v>
      </c>
      <c r="V38" s="1572" t="s">
        <v>11</v>
      </c>
      <c r="W38" s="1573">
        <f t="shared" si="14"/>
        <v>100</v>
      </c>
      <c r="X38" s="1566"/>
      <c r="Y38" s="3391" t="s">
        <v>550</v>
      </c>
      <c r="Z38" s="1574" t="str">
        <f t="shared" si="15"/>
        <v>物业管理</v>
      </c>
      <c r="AA38" s="1575">
        <f t="shared" si="3"/>
        <v>1</v>
      </c>
      <c r="AB38" s="1575">
        <f t="shared" si="4"/>
        <v>1</v>
      </c>
      <c r="AC38" s="1575">
        <f t="shared" si="5"/>
        <v>1</v>
      </c>
    </row>
    <row r="39" spans="1:29" ht="15">
      <c r="A39" s="594"/>
      <c r="B39" s="1895" t="s">
        <v>2567</v>
      </c>
      <c r="C39" s="599" t="s">
        <v>3045</v>
      </c>
      <c r="D39" s="540">
        <v>100</v>
      </c>
      <c r="E39" s="599" t="s">
        <v>3045</v>
      </c>
      <c r="F39" s="575">
        <f>SUMIF(116:116,E39,117:117)-SUMIF(116:116,C39,117:117)+100</f>
        <v>100</v>
      </c>
      <c r="G39" s="599" t="s">
        <v>3045</v>
      </c>
      <c r="H39" s="540">
        <f>SUMIF(116:116,G39,117:117)-SUMIF(116:116,C39,117:117)+100</f>
        <v>100</v>
      </c>
      <c r="I39" s="599" t="s">
        <v>3045</v>
      </c>
      <c r="J39" s="540">
        <f>SUMIF(116:116,I39,117:117)-SUMIF(116:116,C39,117:117)+100</f>
        <v>100</v>
      </c>
      <c r="K39" s="864">
        <v>1</v>
      </c>
      <c r="L39" s="2142"/>
      <c r="M39" s="2134"/>
      <c r="N39" s="2134"/>
      <c r="O39" s="2141"/>
      <c r="P39" s="3391"/>
      <c r="Q39" s="1571" t="str">
        <f t="shared" si="11"/>
        <v>市政基础设施</v>
      </c>
      <c r="R39" s="1572" t="s">
        <v>11</v>
      </c>
      <c r="S39" s="1573">
        <f t="shared" si="12"/>
        <v>100</v>
      </c>
      <c r="T39" s="1572" t="s">
        <v>11</v>
      </c>
      <c r="U39" s="1573">
        <f t="shared" si="13"/>
        <v>100</v>
      </c>
      <c r="V39" s="1572" t="s">
        <v>11</v>
      </c>
      <c r="W39" s="1573">
        <f t="shared" si="14"/>
        <v>100</v>
      </c>
      <c r="X39" s="1566"/>
      <c r="Y39" s="3391"/>
      <c r="Z39" s="1574" t="str">
        <f t="shared" si="15"/>
        <v>市政基础设施</v>
      </c>
      <c r="AA39" s="1575">
        <f t="shared" si="3"/>
        <v>1</v>
      </c>
      <c r="AB39" s="1575">
        <f t="shared" si="4"/>
        <v>1</v>
      </c>
      <c r="AC39" s="1575">
        <f t="shared" si="5"/>
        <v>1</v>
      </c>
    </row>
    <row r="40" spans="1:29" ht="15">
      <c r="A40" s="594"/>
      <c r="B40" s="529"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1"/>
      <c r="Q40" s="1571" t="str">
        <f t="shared" si="11"/>
        <v>房型</v>
      </c>
      <c r="R40" s="1572" t="s">
        <v>11</v>
      </c>
      <c r="S40" s="1573">
        <f t="shared" si="12"/>
        <v>100</v>
      </c>
      <c r="T40" s="1572" t="s">
        <v>11</v>
      </c>
      <c r="U40" s="1573">
        <f t="shared" si="13"/>
        <v>100</v>
      </c>
      <c r="V40" s="1572" t="s">
        <v>11</v>
      </c>
      <c r="W40" s="1573">
        <f t="shared" si="14"/>
        <v>100</v>
      </c>
      <c r="X40" s="1566"/>
      <c r="Y40" s="3391"/>
      <c r="Z40" s="1574" t="str">
        <f t="shared" si="15"/>
        <v>房型</v>
      </c>
      <c r="AA40" s="1575">
        <f t="shared" si="3"/>
        <v>1</v>
      </c>
      <c r="AB40" s="1575">
        <f t="shared" si="4"/>
        <v>1</v>
      </c>
      <c r="AC40" s="1575">
        <f t="shared" si="5"/>
        <v>1</v>
      </c>
    </row>
    <row r="41" spans="1:29" s="1338" customFormat="1" ht="28.5">
      <c r="A41" s="603"/>
      <c r="B41" s="529" t="s">
        <v>732</v>
      </c>
      <c r="C41" s="3184"/>
      <c r="D41" s="254">
        <v>100</v>
      </c>
      <c r="E41" s="534"/>
      <c r="F41" s="863">
        <f>SUMIF(120:120,E41,121:121)-SUMIF(120:120,C41,121:121)+100</f>
        <v>100</v>
      </c>
      <c r="G41" s="533"/>
      <c r="H41" s="254">
        <f>SUMIF(120:120,G41,121:121)-SUMIF(120:120,C41,121:121)+100</f>
        <v>100</v>
      </c>
      <c r="I41" s="586"/>
      <c r="J41" s="540">
        <f>SUMIF(120:120,I41,121:121)-SUMIF(120:120,C41,121:121)+100</f>
        <v>100</v>
      </c>
      <c r="K41" s="865"/>
      <c r="L41" s="2140"/>
      <c r="M41" s="2171"/>
      <c r="N41" s="2171"/>
      <c r="O41" s="2143"/>
      <c r="P41" s="3391"/>
      <c r="Q41" s="1604" t="str">
        <f t="shared" si="11"/>
        <v>单套/主力户型建筑面积</v>
      </c>
      <c r="R41" s="1576" t="s">
        <v>11</v>
      </c>
      <c r="S41" s="1577">
        <f t="shared" si="12"/>
        <v>100</v>
      </c>
      <c r="T41" s="1576" t="s">
        <v>11</v>
      </c>
      <c r="U41" s="1577">
        <f t="shared" si="13"/>
        <v>100</v>
      </c>
      <c r="V41" s="1576" t="s">
        <v>11</v>
      </c>
      <c r="W41" s="1577">
        <f t="shared" si="14"/>
        <v>100</v>
      </c>
      <c r="X41" s="1578"/>
      <c r="Y41" s="3391"/>
      <c r="Z41" s="1579" t="str">
        <f t="shared" si="15"/>
        <v>单套/主力户型建筑面积</v>
      </c>
      <c r="AA41" s="1575">
        <f t="shared" si="3"/>
        <v>1</v>
      </c>
      <c r="AB41" s="1575">
        <f t="shared" si="4"/>
        <v>1</v>
      </c>
      <c r="AC41" s="1575">
        <f t="shared" si="5"/>
        <v>1</v>
      </c>
    </row>
    <row r="42" spans="1:29" ht="15">
      <c r="A42" s="594"/>
      <c r="B42" s="529" t="s">
        <v>733</v>
      </c>
      <c r="C42" s="874" t="s">
        <v>3070</v>
      </c>
      <c r="D42" s="540">
        <v>100</v>
      </c>
      <c r="E42" s="874" t="s">
        <v>3132</v>
      </c>
      <c r="F42" s="575">
        <f>SUMIF(122:122,E42,123:123)-SUMIF(122:122,C42,123:123)+100</f>
        <v>104</v>
      </c>
      <c r="G42" s="874" t="s">
        <v>3132</v>
      </c>
      <c r="H42" s="540">
        <f>SUMIF(122:122,G42,123:123)-SUMIF(122:122,C42,123:123)+100</f>
        <v>104</v>
      </c>
      <c r="I42" s="874" t="s">
        <v>3070</v>
      </c>
      <c r="J42" s="540">
        <f>SUMIF(122:122,I42,123:123)-SUMIF(122:122,C42,123:123)+100</f>
        <v>100</v>
      </c>
      <c r="K42" s="864">
        <v>2</v>
      </c>
      <c r="L42" s="2142"/>
      <c r="M42" s="2134"/>
      <c r="N42" s="2134"/>
      <c r="O42" s="2141"/>
      <c r="P42" s="3391"/>
      <c r="Q42" s="1571" t="str">
        <f t="shared" si="11"/>
        <v>内部装修</v>
      </c>
      <c r="R42" s="1572" t="s">
        <v>11</v>
      </c>
      <c r="S42" s="1573">
        <f t="shared" si="12"/>
        <v>104</v>
      </c>
      <c r="T42" s="1572" t="s">
        <v>11</v>
      </c>
      <c r="U42" s="1573">
        <f t="shared" si="13"/>
        <v>104</v>
      </c>
      <c r="V42" s="1572" t="s">
        <v>11</v>
      </c>
      <c r="W42" s="1573">
        <f t="shared" si="14"/>
        <v>100</v>
      </c>
      <c r="X42" s="1566"/>
      <c r="Y42" s="3391"/>
      <c r="Z42" s="1574" t="str">
        <f t="shared" si="15"/>
        <v>内部装修</v>
      </c>
      <c r="AA42" s="1575">
        <f t="shared" si="3"/>
        <v>0.96153846153846156</v>
      </c>
      <c r="AB42" s="1575">
        <f t="shared" si="4"/>
        <v>0.96153846153846156</v>
      </c>
      <c r="AC42" s="1575">
        <f t="shared" si="5"/>
        <v>1</v>
      </c>
    </row>
    <row r="43" spans="1:29" ht="27">
      <c r="A43" s="594"/>
      <c r="B43" s="529" t="s">
        <v>734</v>
      </c>
      <c r="C43" s="599" t="s">
        <v>3044</v>
      </c>
      <c r="D43" s="540">
        <v>100</v>
      </c>
      <c r="E43" s="599" t="s">
        <v>3044</v>
      </c>
      <c r="F43" s="575">
        <f>SUMIF(124:124,E43,125:125)-SUMIF(124:124,C43,125:125)+100</f>
        <v>100</v>
      </c>
      <c r="G43" s="599" t="s">
        <v>3044</v>
      </c>
      <c r="H43" s="540">
        <f>SUMIF(124:124,G43,125:125)-SUMIF(124:124,C43,125:125)+100</f>
        <v>100</v>
      </c>
      <c r="I43" s="599" t="s">
        <v>3044</v>
      </c>
      <c r="J43" s="540">
        <f>SUMIF(124:124,I43,125:125)-SUMIF(124:124,C43,125:125)+100</f>
        <v>100</v>
      </c>
      <c r="K43" s="864">
        <v>2</v>
      </c>
      <c r="L43" s="2142"/>
      <c r="M43" s="2134"/>
      <c r="N43" s="2134"/>
      <c r="O43" s="2141"/>
      <c r="P43" s="3391"/>
      <c r="Q43" s="1571" t="str">
        <f t="shared" si="11"/>
        <v>内部装修维护情况</v>
      </c>
      <c r="R43" s="1572" t="s">
        <v>11</v>
      </c>
      <c r="S43" s="1573">
        <f t="shared" si="12"/>
        <v>100</v>
      </c>
      <c r="T43" s="1572" t="s">
        <v>11</v>
      </c>
      <c r="U43" s="1573">
        <f t="shared" si="13"/>
        <v>100</v>
      </c>
      <c r="V43" s="1572" t="s">
        <v>11</v>
      </c>
      <c r="W43" s="1573">
        <f t="shared" si="14"/>
        <v>100</v>
      </c>
      <c r="X43" s="1566"/>
      <c r="Y43" s="3391"/>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879"/>
      <c r="F44" s="863">
        <f>SUMIF(126:126,E44,127:127)-SUMIF(126:126,C44,127:127)+100</f>
        <v>100</v>
      </c>
      <c r="G44" s="879"/>
      <c r="H44" s="254">
        <f>SUMIF(126:126,G44,127:127)-SUMIF(126:126,C44,127:127)+100</f>
        <v>100</v>
      </c>
      <c r="I44" s="879"/>
      <c r="J44" s="254">
        <f>SUMIF(126:126,I44,127:127)-SUMIF(126:126,C44,127:127)+100</f>
        <v>100</v>
      </c>
      <c r="K44" s="865"/>
      <c r="L44" s="2135"/>
      <c r="M44" s="2136"/>
      <c r="N44" s="2136"/>
      <c r="O44" s="2137"/>
      <c r="P44" s="3391"/>
      <c r="Q44" s="1150">
        <f t="shared" si="11"/>
        <v>111</v>
      </c>
      <c r="R44" s="1567" t="s">
        <v>11</v>
      </c>
      <c r="S44" s="1568">
        <f t="shared" si="12"/>
        <v>100</v>
      </c>
      <c r="T44" s="1567" t="s">
        <v>11</v>
      </c>
      <c r="U44" s="1568">
        <f t="shared" si="13"/>
        <v>100</v>
      </c>
      <c r="V44" s="1567" t="s">
        <v>11</v>
      </c>
      <c r="W44" s="1568">
        <f t="shared" si="14"/>
        <v>100</v>
      </c>
      <c r="X44" s="1569"/>
      <c r="Y44" s="3391"/>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1"/>
      <c r="Q45" s="1571">
        <f t="shared" si="11"/>
        <v>111</v>
      </c>
      <c r="R45" s="1572" t="s">
        <v>11</v>
      </c>
      <c r="S45" s="1573">
        <f t="shared" si="12"/>
        <v>100</v>
      </c>
      <c r="T45" s="1572" t="s">
        <v>11</v>
      </c>
      <c r="U45" s="1573">
        <f t="shared" si="13"/>
        <v>100</v>
      </c>
      <c r="V45" s="1572" t="s">
        <v>11</v>
      </c>
      <c r="W45" s="1573">
        <f t="shared" si="14"/>
        <v>100</v>
      </c>
      <c r="X45" s="1566"/>
      <c r="Y45" s="3391"/>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45"/>
      <c r="Q46" s="1571">
        <f t="shared" si="11"/>
        <v>111</v>
      </c>
      <c r="R46" s="1572" t="s">
        <v>10</v>
      </c>
      <c r="S46" s="1573">
        <f t="shared" si="12"/>
        <v>100</v>
      </c>
      <c r="T46" s="1572" t="s">
        <v>10</v>
      </c>
      <c r="U46" s="1573">
        <f t="shared" si="13"/>
        <v>100</v>
      </c>
      <c r="V46" s="1572" t="s">
        <v>10</v>
      </c>
      <c r="W46" s="1573">
        <f t="shared" si="14"/>
        <v>100</v>
      </c>
      <c r="X46" s="1566"/>
      <c r="Y46" s="3445"/>
      <c r="Z46" s="1574">
        <f t="shared" si="15"/>
        <v>111</v>
      </c>
      <c r="AA46" s="1575">
        <f t="shared" si="3"/>
        <v>1</v>
      </c>
      <c r="AB46" s="1575">
        <f t="shared" si="4"/>
        <v>1</v>
      </c>
      <c r="AC46" s="1575">
        <f t="shared" si="5"/>
        <v>1</v>
      </c>
    </row>
    <row r="47" spans="1:29" ht="15">
      <c r="A47" s="607" t="s">
        <v>735</v>
      </c>
      <c r="B47" s="886"/>
      <c r="C47" s="2651" t="s">
        <v>9</v>
      </c>
      <c r="D47" s="2652"/>
      <c r="E47" s="2653">
        <v>7835</v>
      </c>
      <c r="F47" s="2654"/>
      <c r="G47" s="2653">
        <f>ROUND(7857*1,0)</f>
        <v>7857</v>
      </c>
      <c r="H47" s="2656"/>
      <c r="I47" s="2653">
        <v>6800</v>
      </c>
      <c r="J47" s="2656"/>
      <c r="K47" s="1605"/>
      <c r="L47" s="2144"/>
      <c r="M47" s="2145"/>
      <c r="N47" s="2134"/>
      <c r="O47" s="2145"/>
      <c r="P47" s="3354" t="str">
        <f>A47</f>
        <v>成交单价（元/平方米）</v>
      </c>
      <c r="Q47" s="3354"/>
      <c r="R47" s="3444">
        <f>E47</f>
        <v>7835</v>
      </c>
      <c r="S47" s="3444"/>
      <c r="T47" s="3444">
        <f>G47</f>
        <v>7857</v>
      </c>
      <c r="U47" s="3444"/>
      <c r="V47" s="3444">
        <f>I47</f>
        <v>6800</v>
      </c>
      <c r="W47" s="3444"/>
      <c r="X47" s="1558"/>
      <c r="Y47" s="1580"/>
      <c r="Z47" s="1558"/>
      <c r="AA47" s="1558"/>
      <c r="AB47" s="1558"/>
      <c r="AC47" s="1558"/>
    </row>
    <row r="48" spans="1:29" ht="15.75" thickBot="1">
      <c r="A48" s="615" t="s">
        <v>2765</v>
      </c>
      <c r="B48" s="887"/>
      <c r="C48" s="2657">
        <f>R49</f>
        <v>7407</v>
      </c>
      <c r="D48" s="2658"/>
      <c r="E48" s="2659">
        <f>R48</f>
        <v>7466</v>
      </c>
      <c r="F48" s="2659"/>
      <c r="G48" s="2657">
        <f>T48</f>
        <v>7267</v>
      </c>
      <c r="H48" s="2658"/>
      <c r="I48" s="2659">
        <f>V48</f>
        <v>7487</v>
      </c>
      <c r="J48" s="2658"/>
      <c r="K48" s="1606"/>
      <c r="L48" s="2144"/>
      <c r="M48" s="2145"/>
      <c r="N48" s="2145"/>
      <c r="O48" s="2145"/>
      <c r="P48" s="3354" t="str">
        <f>A48</f>
        <v>比较价格（元/平方米）</v>
      </c>
      <c r="Q48" s="3354"/>
      <c r="R48" s="3444">
        <f>IF(F1="售价",ROUND(PRODUCT(R47,AA7:AA46),0),ROUND(PRODUCT(R47,AA7:AA46),1))</f>
        <v>7466</v>
      </c>
      <c r="S48" s="3444"/>
      <c r="T48" s="3444">
        <f>IF(F1="售价",ROUND(PRODUCT(T47,AB7:AB46),0),ROUND(PRODUCT(T47,AB7:AB46),1))</f>
        <v>7267</v>
      </c>
      <c r="U48" s="3444"/>
      <c r="V48" s="3444">
        <f>IF(F1="售价",ROUND(PRODUCT(V47,AC7:AC46),0),ROUND(PRODUCT(V47,AC7:AC46),1))</f>
        <v>7487</v>
      </c>
      <c r="W48" s="3444"/>
      <c r="X48" s="1558"/>
      <c r="Y48" s="1558"/>
      <c r="Z48" s="1558"/>
      <c r="AA48" s="1558"/>
      <c r="AB48" s="1558"/>
      <c r="AC48" s="1558"/>
    </row>
    <row r="49" spans="1:29" ht="33" customHeight="1" thickBot="1">
      <c r="A49" s="621" t="s">
        <v>2935</v>
      </c>
      <c r="B49" s="622"/>
      <c r="C49" s="2660">
        <f>R49</f>
        <v>7407</v>
      </c>
      <c r="D49" s="2660"/>
      <c r="E49" s="2660"/>
      <c r="F49" s="2660"/>
      <c r="G49" s="2660"/>
      <c r="H49" s="2660"/>
      <c r="I49" s="2660"/>
      <c r="J49" s="2660"/>
      <c r="K49" s="1607"/>
      <c r="L49" s="2144"/>
      <c r="M49" s="2145"/>
      <c r="N49" s="2145"/>
      <c r="O49" s="2145"/>
      <c r="P49" s="3351" t="str">
        <f>A49</f>
        <v>估价对象XX用房的比较价格（楼面单价，元/平方米）</v>
      </c>
      <c r="Q49" s="3352"/>
      <c r="R49" s="3443">
        <f>IF(F1="售价",ROUND(AVERAGE(R48:V48),0),ROUND(AVERAGE(R48:V48),1))</f>
        <v>7407</v>
      </c>
      <c r="S49" s="3443"/>
      <c r="T49" s="3443"/>
      <c r="U49" s="3443"/>
      <c r="V49" s="3443"/>
      <c r="W49" s="344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4.9424055719260673E-2</v>
      </c>
      <c r="F52" s="627" t="str">
        <f>IF(OR(E52&gt;=0.3,E52&lt;=-0.3),"超过30%","")</f>
        <v/>
      </c>
      <c r="G52" s="626">
        <f>IF(G47&lt;G48,G48/G47-1,G47/G48-1)</f>
        <v>8.1188936287326374E-2</v>
      </c>
      <c r="H52" s="627" t="str">
        <f>IF(OR(G52&gt;=0.3,G52&lt;=-0.3),"超过30%","")</f>
        <v/>
      </c>
      <c r="I52" s="626">
        <f>IF(I47&lt;I48,I48/I47-1,I47/I48-1)</f>
        <v>0.10102941176470592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2.7384064951148979E-2</v>
      </c>
      <c r="F53" s="627" t="str">
        <f>IF(OR(E53&gt;=0.2,E53&lt;=-0.2),"超过20%","")</f>
        <v/>
      </c>
      <c r="G53" s="626">
        <f>IF(G48&lt;I48,I48/G48-1,G48/I48-1)</f>
        <v>3.0273840649511552E-2</v>
      </c>
      <c r="H53" s="627" t="str">
        <f>IF(OR(G53&gt;=0.2,G53&lt;=-0.2),"超过20%","")</f>
        <v/>
      </c>
      <c r="I53" s="626">
        <f>IF(I48&lt;E48,E48/I48-1,I48/E48-1)</f>
        <v>2.8127511384945514E-3</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2.8079132099554371E-3</v>
      </c>
      <c r="F54" s="627" t="str">
        <f>IF(OR(E54&gt;=0.3,E54&lt;=-0.3),"超过30%","")</f>
        <v/>
      </c>
      <c r="G54" s="626">
        <f>IF(G47&lt;I47,I47/G47-1,G47/I47-1)</f>
        <v>0.1554411764705883</v>
      </c>
      <c r="H54" s="627" t="str">
        <f>IF(OR(G54&gt;=0.3,G54&lt;=-0.3),"超过30%","")</f>
        <v/>
      </c>
      <c r="I54" s="626">
        <f>IF(I47&lt;E47,E47/I47-1,I47/E47-1)</f>
        <v>0.15220588235294108</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730">
        <v>99.8</v>
      </c>
      <c r="E59" s="730">
        <v>99.6</v>
      </c>
      <c r="F59" s="730">
        <v>99.4</v>
      </c>
      <c r="G59" s="730">
        <v>99.2</v>
      </c>
      <c r="H59" s="730">
        <v>99</v>
      </c>
      <c r="I59" s="730">
        <v>98.8</v>
      </c>
      <c r="J59" s="730">
        <v>98.6</v>
      </c>
      <c r="K59" s="730">
        <v>98.4</v>
      </c>
      <c r="L59" s="730">
        <v>98.2</v>
      </c>
      <c r="M59" s="2818">
        <v>98</v>
      </c>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90</v>
      </c>
      <c r="E85" s="679">
        <f>D85-$K23</f>
        <v>80</v>
      </c>
      <c r="F85" s="679">
        <f>E85-$K23</f>
        <v>70</v>
      </c>
      <c r="G85" s="679">
        <f>F85-$K23</f>
        <v>60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t="s">
        <v>3014</v>
      </c>
      <c r="D90" s="688" t="s">
        <v>3015</v>
      </c>
      <c r="E90" s="688" t="s">
        <v>3016</v>
      </c>
      <c r="F90" s="688" t="s">
        <v>3017</v>
      </c>
      <c r="G90" s="688" t="s">
        <v>3018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746</v>
      </c>
      <c r="C100" s="3165" t="s">
        <v>3050</v>
      </c>
      <c r="D100" s="3165" t="s">
        <v>3049</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0(含)-500000</v>
      </c>
      <c r="D102" s="708" t="str">
        <f t="shared" ref="D102:L102" si="23">D103&amp;"(含)"&amp;"-"&amp;E103</f>
        <v>500000(含)-1000000</v>
      </c>
      <c r="E102" s="708" t="str">
        <f t="shared" si="23"/>
        <v>1000000(含)-1500000</v>
      </c>
      <c r="F102" s="708" t="str">
        <f t="shared" si="23"/>
        <v>1500000(含)-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500000</v>
      </c>
      <c r="E103" s="730">
        <v>1000000</v>
      </c>
      <c r="F103" s="730">
        <v>1500000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103</v>
      </c>
      <c r="E104" s="671">
        <v>106</v>
      </c>
      <c r="F104" s="671">
        <v>109</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t="s">
        <v>3067</v>
      </c>
      <c r="D105" s="718" t="s">
        <v>3068</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t="s">
        <v>3051</v>
      </c>
      <c r="D109" s="688" t="s">
        <v>3052</v>
      </c>
      <c r="E109" s="688" t="s">
        <v>3053</v>
      </c>
      <c r="F109" s="718"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t="s">
        <v>3060</v>
      </c>
      <c r="D114" s="688" t="s">
        <v>3061</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2559</v>
      </c>
      <c r="C116" s="688" t="s">
        <v>3062</v>
      </c>
      <c r="D116" s="688" t="s">
        <v>3063</v>
      </c>
      <c r="E116" s="688" t="s">
        <v>3064</v>
      </c>
      <c r="F116" s="688" t="s">
        <v>3065</v>
      </c>
      <c r="G116" s="688" t="s">
        <v>3066</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t="s">
        <v>3051</v>
      </c>
      <c r="D122" s="688" t="s">
        <v>3052</v>
      </c>
      <c r="E122" s="688" t="s">
        <v>3053</v>
      </c>
      <c r="F122" s="718"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C42 G42 I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E19" sqref="E19"/>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3006</v>
      </c>
      <c r="D1" s="3155" t="s">
        <v>3085</v>
      </c>
      <c r="E1" s="2411" t="s">
        <v>2375</v>
      </c>
      <c r="F1" s="2412">
        <f ca="1">J53</f>
        <v>38.19</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1726</v>
      </c>
      <c r="B2" s="775">
        <f ca="1">C40+J29+L46</f>
        <v>7512</v>
      </c>
      <c r="C2" s="2057"/>
      <c r="D2" s="2055"/>
      <c r="E2" s="2056"/>
      <c r="F2" s="2056"/>
      <c r="G2" s="1589"/>
      <c r="H2" s="2057"/>
      <c r="I2" s="2057"/>
      <c r="J2" s="2057"/>
      <c r="K2" s="2058"/>
      <c r="L2" s="2057"/>
      <c r="M2" s="2057"/>
    </row>
    <row r="3" spans="1:33" ht="18" customHeight="1" thickBot="1">
      <c r="A3" s="833" t="s">
        <v>1727</v>
      </c>
      <c r="B3" s="834">
        <f ca="1">IF(ISERROR(B2*10000/F43),0,ROUND(B2*10000/F43,0))</f>
        <v>10797</v>
      </c>
      <c r="C3" s="2057"/>
      <c r="D3" s="2055"/>
      <c r="E3" s="2056"/>
      <c r="F3" s="2056"/>
      <c r="G3" s="1589"/>
      <c r="H3" s="776" t="s">
        <v>695</v>
      </c>
      <c r="I3" s="1362"/>
      <c r="J3" s="1362"/>
      <c r="K3" s="1590"/>
      <c r="L3" s="1362"/>
      <c r="M3" s="1362"/>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433</v>
      </c>
      <c r="D5" s="2520" t="s">
        <v>2463</v>
      </c>
      <c r="E5" s="2514"/>
      <c r="F5" s="2515"/>
      <c r="G5" s="1591"/>
      <c r="H5" s="781">
        <v>1</v>
      </c>
      <c r="I5" s="782" t="s">
        <v>2460</v>
      </c>
      <c r="J5" s="55">
        <f ca="1">J6+J10+J12</f>
        <v>0</v>
      </c>
      <c r="K5" s="2520" t="s">
        <v>2463</v>
      </c>
      <c r="L5" s="2514"/>
      <c r="M5" s="2515"/>
    </row>
    <row r="6" spans="1:33" ht="18" customHeight="1">
      <c r="A6" s="1830" t="s">
        <v>1824</v>
      </c>
      <c r="B6" s="3427" t="s">
        <v>2465</v>
      </c>
      <c r="C6" s="783">
        <f ca="1">ROUND(F6*F8*F7*(1-F9)/10000,0)</f>
        <v>432</v>
      </c>
      <c r="D6" s="2521" t="s">
        <v>2464</v>
      </c>
      <c r="E6" s="784" t="s">
        <v>1738</v>
      </c>
      <c r="F6" s="785">
        <f ca="1">INDIRECT("'数据-取费表'!u"&amp;$G$1)</f>
        <v>2</v>
      </c>
      <c r="G6" s="1591"/>
      <c r="H6" s="2528" t="s">
        <v>2471</v>
      </c>
      <c r="I6" s="3427" t="s">
        <v>2465</v>
      </c>
      <c r="J6" s="783">
        <f ca="1">ROUND(M6*M8*M7*(1-M9)/10000,0)</f>
        <v>0</v>
      </c>
      <c r="K6" s="343" t="s">
        <v>1737</v>
      </c>
      <c r="L6" s="784" t="s">
        <v>1738</v>
      </c>
      <c r="M6" s="785">
        <f ca="1">INDIRECT("'数据-取费表'!z"&amp;$G$1)</f>
        <v>0</v>
      </c>
    </row>
    <row r="7" spans="1:33" ht="18" customHeight="1">
      <c r="A7" s="2524"/>
      <c r="B7" s="3428"/>
      <c r="C7" s="788"/>
      <c r="D7" s="789"/>
      <c r="E7" s="784" t="s">
        <v>1739</v>
      </c>
      <c r="F7" s="785">
        <f ca="1">IF(INDIRECT("'数据-取费表'!ah"&amp;$G$1)="",INDIRECT("'数据-取费表'!k"&amp;$G$1),INDIRECT("'数据-取费表'!ah"&amp;$G$1))</f>
        <v>6957.79</v>
      </c>
      <c r="G7" s="1591"/>
      <c r="H7" s="2513"/>
      <c r="I7" s="3428"/>
      <c r="J7" s="788"/>
      <c r="K7" s="789"/>
      <c r="L7" s="784" t="s">
        <v>1739</v>
      </c>
      <c r="M7" s="785">
        <f ca="1">F7</f>
        <v>6957.79</v>
      </c>
    </row>
    <row r="8" spans="1:33" ht="18" customHeight="1">
      <c r="A8" s="2517"/>
      <c r="B8" s="3429"/>
      <c r="C8" s="788"/>
      <c r="D8" s="789"/>
      <c r="E8" s="784" t="s">
        <v>1740</v>
      </c>
      <c r="F8" s="785">
        <f ca="1">INDIRECT("'数据-取费表'!ai"&amp;$G$1)</f>
        <v>365</v>
      </c>
      <c r="G8" s="1591"/>
      <c r="H8" s="2513"/>
      <c r="I8" s="3429"/>
      <c r="J8" s="788"/>
      <c r="K8" s="789"/>
      <c r="L8" s="784" t="s">
        <v>1740</v>
      </c>
      <c r="M8" s="785">
        <f ca="1">INDIRECT("'数据-取费表'!ai"&amp;$G$1)</f>
        <v>365</v>
      </c>
    </row>
    <row r="9" spans="1:33" ht="18" customHeight="1">
      <c r="A9" s="786"/>
      <c r="B9" s="3430"/>
      <c r="C9" s="788"/>
      <c r="D9" s="789"/>
      <c r="E9" s="784" t="s">
        <v>1741</v>
      </c>
      <c r="F9" s="794">
        <f ca="1">INDIRECT("'数据-取费表'!w"&amp;$G$1)</f>
        <v>0.15</v>
      </c>
      <c r="G9" s="1591"/>
      <c r="H9" s="2529"/>
      <c r="I9" s="3429"/>
      <c r="J9" s="788"/>
      <c r="K9" s="789"/>
      <c r="L9" s="795" t="s">
        <v>1741</v>
      </c>
      <c r="M9" s="796">
        <f ca="1">INDIRECT("'数据-取费表'!ab"&amp;$G$1)</f>
        <v>0</v>
      </c>
    </row>
    <row r="10" spans="1:33" ht="18" customHeight="1">
      <c r="A10" s="1830" t="s">
        <v>2469</v>
      </c>
      <c r="B10" s="2518" t="s">
        <v>2461</v>
      </c>
      <c r="C10" s="799">
        <f ca="1">ROUND(IF(F10="押一",F6*F8*F7/12*F11,IF(F10="押二",F6*F8*F7/12*2*F11,IF(F10="押三",F6*F8*F7/12*3*F11,C11*F11)))/10000,0)</f>
        <v>1</v>
      </c>
      <c r="D10" s="2525" t="s">
        <v>2468</v>
      </c>
      <c r="E10" s="2522" t="s">
        <v>2466</v>
      </c>
      <c r="F10" s="2645" t="s">
        <v>3010</v>
      </c>
      <c r="G10" s="1591"/>
      <c r="H10" s="2585" t="s">
        <v>2472</v>
      </c>
      <c r="I10" s="2590" t="s">
        <v>2461</v>
      </c>
      <c r="J10" s="783">
        <f ca="1">ROUND(IF(M10="押一",M6*M8*M7/12*M11,IF(M10="押二",M6*M8*M7/12*2*M11,IF(M10="押三",M6*M8*M7/12*3*M11,J11*M11)))/10000,0)</f>
        <v>0</v>
      </c>
      <c r="K10" s="2525" t="s">
        <v>2468</v>
      </c>
      <c r="L10" s="2522" t="s">
        <v>2466</v>
      </c>
      <c r="M10" s="2645"/>
    </row>
    <row r="11" spans="1:33" ht="18" customHeight="1">
      <c r="A11" s="790"/>
      <c r="B11" s="2519" t="s">
        <v>2576</v>
      </c>
      <c r="C11" s="2523"/>
      <c r="D11" s="789"/>
      <c r="E11" s="2522" t="s">
        <v>2467</v>
      </c>
      <c r="F11" s="796">
        <f ca="1">'数据-取费表'!B39</f>
        <v>1.4999999999999999E-2</v>
      </c>
      <c r="G11" s="1591"/>
      <c r="H11" s="2586"/>
      <c r="I11" s="2519" t="s">
        <v>2576</v>
      </c>
      <c r="J11" s="2523"/>
      <c r="K11" s="2587"/>
      <c r="L11" s="2522" t="s">
        <v>2467</v>
      </c>
      <c r="M11" s="2516">
        <f ca="1">'数据-取费表'!B39</f>
        <v>1.4999999999999999E-2</v>
      </c>
    </row>
    <row r="12" spans="1:33" ht="18" customHeight="1" thickBot="1">
      <c r="A12" s="2561" t="s">
        <v>2470</v>
      </c>
      <c r="B12" s="2562" t="s">
        <v>2462</v>
      </c>
      <c r="C12" s="2563"/>
      <c r="D12" s="2564"/>
      <c r="E12" s="2565"/>
      <c r="F12" s="2566"/>
      <c r="G12" s="1591"/>
      <c r="H12" s="2575" t="s">
        <v>2473</v>
      </c>
      <c r="I12" s="2588" t="s">
        <v>2462</v>
      </c>
      <c r="J12" s="2589"/>
      <c r="K12" s="2564"/>
      <c r="L12" s="2565"/>
      <c r="M12" s="2578"/>
    </row>
    <row r="13" spans="1:33" ht="18" customHeight="1" thickTop="1">
      <c r="A13" s="1829">
        <v>2</v>
      </c>
      <c r="B13" s="1827" t="s">
        <v>1742</v>
      </c>
      <c r="C13" s="792">
        <f ca="1">ROUND(C29*F13,0)</f>
        <v>0</v>
      </c>
      <c r="D13" s="1834" t="s">
        <v>2298</v>
      </c>
      <c r="E13" s="1834" t="s">
        <v>1744</v>
      </c>
      <c r="F13" s="2560">
        <f ca="1">INDIRECT("'数据-取费表'!y"&amp;$G$1)</f>
        <v>0</v>
      </c>
      <c r="G13" s="1591"/>
      <c r="H13" s="1829">
        <v>2</v>
      </c>
      <c r="I13" s="1827" t="s">
        <v>1742</v>
      </c>
      <c r="J13" s="1819">
        <f ca="1">ROUND(J14*J15,0)</f>
        <v>0</v>
      </c>
      <c r="K13" s="1821" t="s">
        <v>1743</v>
      </c>
      <c r="L13" s="2576"/>
      <c r="M13" s="2577"/>
    </row>
    <row r="14" spans="1:33" ht="18" customHeight="1">
      <c r="A14" s="1647" t="s">
        <v>1884</v>
      </c>
      <c r="B14" s="784" t="s">
        <v>645</v>
      </c>
      <c r="C14" s="804">
        <f ca="1">INDIRECT("'数据-取费表'!m"&amp;$G$1)+INDIRECT("'数据-取费表'!t"&amp;$G$1)</f>
        <v>1183</v>
      </c>
      <c r="D14" s="1979" t="s">
        <v>1745</v>
      </c>
      <c r="E14" s="1980"/>
      <c r="F14" s="805"/>
      <c r="G14" s="1591"/>
      <c r="H14" s="1648" t="s">
        <v>1830</v>
      </c>
      <c r="I14" s="2231" t="s">
        <v>2831</v>
      </c>
      <c r="J14" s="53">
        <f ca="1">C29</f>
        <v>1716</v>
      </c>
      <c r="K14" s="26"/>
      <c r="L14" s="801"/>
      <c r="M14" s="802"/>
    </row>
    <row r="15" spans="1:33" s="2064" customFormat="1" ht="18" customHeight="1" thickBot="1">
      <c r="A15" s="1647" t="s">
        <v>1885</v>
      </c>
      <c r="B15" s="784" t="s">
        <v>647</v>
      </c>
      <c r="C15" s="53">
        <f ca="1">ROUND(C14*F15,0)</f>
        <v>35</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43</v>
      </c>
      <c r="K16" s="1821" t="s">
        <v>1750</v>
      </c>
      <c r="L16" s="2510"/>
      <c r="M16" s="2515"/>
    </row>
    <row r="17" spans="1:33" s="2064" customFormat="1" ht="18" customHeight="1">
      <c r="A17" s="1647" t="s">
        <v>1887</v>
      </c>
      <c r="B17" s="784" t="s">
        <v>653</v>
      </c>
      <c r="C17" s="53">
        <f ca="1">ROUND(F17*(F43+INDIRECT("'数据-取费表'!S"&amp;$G$1))/10000,0)</f>
        <v>104</v>
      </c>
      <c r="D17" s="784" t="s">
        <v>1751</v>
      </c>
      <c r="E17" s="784" t="s">
        <v>1752</v>
      </c>
      <c r="F17" s="56">
        <f>'数据-取费表'!B35</f>
        <v>150</v>
      </c>
      <c r="G17" s="1592"/>
      <c r="H17" s="1648" t="s">
        <v>1830</v>
      </c>
      <c r="I17" s="784" t="s">
        <v>656</v>
      </c>
      <c r="J17" s="53">
        <f ca="1">ROUND(IF(项目基本情况!B11="自然人",J5*M17,J18+J19+J20),0)</f>
        <v>17</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659</v>
      </c>
      <c r="C18" s="53">
        <f ca="1">ROUND(C14*F18,0)</f>
        <v>18</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662</v>
      </c>
      <c r="C19" s="53">
        <f ca="1">SUM(C14:C18)</f>
        <v>1340</v>
      </c>
      <c r="D19" s="260" t="s">
        <v>1757</v>
      </c>
      <c r="E19" s="1982"/>
      <c r="F19" s="56"/>
      <c r="G19" s="1591"/>
      <c r="H19" s="1647" t="s">
        <v>1885</v>
      </c>
      <c r="I19" s="784" t="s">
        <v>1758</v>
      </c>
      <c r="J19" s="53">
        <f ca="1">IF(K19="按租金收入计税",ROUND(J5*M19,1),ROUND(C29*F33*0.7,1))</f>
        <v>14.4</v>
      </c>
      <c r="K19" s="811" t="s">
        <v>665</v>
      </c>
      <c r="L19" s="784" t="s">
        <v>1747</v>
      </c>
      <c r="M19" s="809">
        <f>IF(K19="按租金收入计税",'数据-取费表'!B51,'数据-取费表'!B50)</f>
        <v>1.2E-2</v>
      </c>
    </row>
    <row r="20" spans="1:33" s="2064" customFormat="1" ht="18" customHeight="1">
      <c r="A20" s="1648" t="s">
        <v>1889</v>
      </c>
      <c r="B20" s="784" t="s">
        <v>666</v>
      </c>
      <c r="C20" s="53">
        <f ca="1">ROUND(C19*F20,0)</f>
        <v>13</v>
      </c>
      <c r="D20" s="812" t="s">
        <v>1759</v>
      </c>
      <c r="E20" s="784" t="s">
        <v>1747</v>
      </c>
      <c r="F20" s="809">
        <f>'数据-取费表'!B37</f>
        <v>0.01</v>
      </c>
      <c r="G20" s="1592"/>
      <c r="H20" s="1650" t="s">
        <v>1880</v>
      </c>
      <c r="I20" s="343" t="s">
        <v>1760</v>
      </c>
      <c r="J20" s="54">
        <f ca="1">ROUND(M20*M21/10000,0)</f>
        <v>3</v>
      </c>
      <c r="K20" s="814" t="s">
        <v>1761</v>
      </c>
      <c r="L20" s="784" t="s">
        <v>1762</v>
      </c>
      <c r="M20" s="640">
        <f>'数据-取费表'!B52</f>
        <v>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2299</v>
      </c>
      <c r="E21" s="784" t="s">
        <v>1765</v>
      </c>
      <c r="F21" s="809">
        <f>'数据-取费表'!B38</f>
        <v>0.01</v>
      </c>
      <c r="G21" s="1592"/>
      <c r="H21" s="2530"/>
      <c r="I21" s="793"/>
      <c r="J21" s="69"/>
      <c r="K21" s="816"/>
      <c r="L21" s="784" t="s">
        <v>1766</v>
      </c>
      <c r="M21" s="785">
        <f ca="1">INDIRECT("'数据-取费表'!r"&amp;$G$1)</f>
        <v>3162.63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26</v>
      </c>
      <c r="K22" s="2508" t="s">
        <v>1769</v>
      </c>
      <c r="L22" s="784" t="s">
        <v>1747</v>
      </c>
      <c r="M22" s="817">
        <f ca="1">INDIRECT("'数据-取费表'!Ak"&amp;$G$1)</f>
        <v>1.4999999999999999E-2</v>
      </c>
    </row>
    <row r="23" spans="1:33" s="2064" customFormat="1" ht="18" customHeight="1">
      <c r="A23" s="1647" t="s">
        <v>1831</v>
      </c>
      <c r="B23" s="784" t="s">
        <v>2538</v>
      </c>
      <c r="C23" s="53">
        <f ca="1">ROUND(IF('数据-取费表'!B22&lt;=1,(C19+C20)*F24*F23/2,(C19+C20)*(POWER((1+F24),F23/2)-1)),0)</f>
        <v>48</v>
      </c>
      <c r="D23" s="2595" t="str">
        <f>IF(F23&lt;=1,"(建造成本+管理费用)×利率×(建设周期÷2)","(建造成本+管理费用)×((1+利率)^(建设周期÷2)-1)")</f>
        <v>(建造成本+管理费用)×((1+利率)^(建设周期÷2)-1)</v>
      </c>
      <c r="E23" s="784" t="s">
        <v>1770</v>
      </c>
      <c r="F23" s="640">
        <f>'数据-取费表'!B20</f>
        <v>1.5</v>
      </c>
      <c r="G23" s="1592"/>
      <c r="H23" s="1648" t="s">
        <v>1890</v>
      </c>
      <c r="I23" s="784" t="s">
        <v>679</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4.0000000000000002E-4</v>
      </c>
      <c r="D24" s="2595" t="str">
        <f>IF(F23&lt;=1,"销售费用×利率×(建设周期÷2)","销售费用×((1+利率)^(建设周期÷2)-1)")</f>
        <v>销售费用×((1+利率)^(建设周期÷2)-1)</v>
      </c>
      <c r="E24" s="784" t="s">
        <v>1773</v>
      </c>
      <c r="F24" s="819">
        <f ca="1">'数据-取费表'!B40</f>
        <v>4.7500000000000001E-2</v>
      </c>
      <c r="G24" s="1592"/>
      <c r="H24" s="2575" t="s">
        <v>1891</v>
      </c>
      <c r="I24" s="2570" t="s">
        <v>666</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684</v>
      </c>
      <c r="C25" s="53"/>
      <c r="D25" s="260" t="s">
        <v>1775</v>
      </c>
      <c r="E25" s="1982"/>
      <c r="F25" s="56"/>
      <c r="G25" s="1591"/>
      <c r="H25" s="1829" t="s">
        <v>1776</v>
      </c>
      <c r="I25" s="3036" t="s">
        <v>2827</v>
      </c>
      <c r="J25" s="792">
        <f ca="1">J5-J16</f>
        <v>-43</v>
      </c>
      <c r="K25" s="2572" t="s">
        <v>1777</v>
      </c>
      <c r="L25" s="2573"/>
      <c r="M25" s="2574"/>
    </row>
    <row r="26" spans="1:33" ht="18" customHeight="1">
      <c r="A26" s="1647" t="s">
        <v>1831</v>
      </c>
      <c r="B26" s="784" t="s">
        <v>2439</v>
      </c>
      <c r="C26" s="53">
        <f ca="1">ROUND((C19+C20)*F26,0)</f>
        <v>203</v>
      </c>
      <c r="D26" s="812" t="s">
        <v>1778</v>
      </c>
      <c r="E26" s="795" t="s">
        <v>1779</v>
      </c>
      <c r="F26" s="794">
        <f ca="1">INDIRECT("'数据-取费表'!q"&amp;$G$1)</f>
        <v>0.15</v>
      </c>
      <c r="G26" s="1591"/>
      <c r="H26" s="2526" t="s">
        <v>1780</v>
      </c>
      <c r="I26" s="2232" t="s">
        <v>2832</v>
      </c>
      <c r="J26" s="783">
        <f ca="1">IF(J5&lt;&gt;0,ROUND(J25*(1-((1+M28)/(1+M26))^M27)/(M26-M28),0),0)</f>
        <v>0</v>
      </c>
      <c r="K26" s="814" t="s">
        <v>1781</v>
      </c>
      <c r="L26" s="784" t="s">
        <v>2420</v>
      </c>
      <c r="M26" s="794">
        <f ca="1">INDIRECT("'数据-取费表'!I"&amp;$G$1)</f>
        <v>5.5E-2</v>
      </c>
    </row>
    <row r="27" spans="1:33" ht="18" customHeight="1">
      <c r="A27" s="1647" t="s">
        <v>1832</v>
      </c>
      <c r="B27" s="784" t="s">
        <v>686</v>
      </c>
      <c r="C27" s="53">
        <f ca="1">ROUND(F21*F26,4)</f>
        <v>1.5E-3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687</v>
      </c>
      <c r="C28" s="53">
        <f>ROUND(F28/(1+'数据-取费表'!C42),4)</f>
        <v>5.33E-2</v>
      </c>
      <c r="D28" s="812" t="s">
        <v>2300</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2301</v>
      </c>
      <c r="C29" s="2568">
        <f ca="1">ROUND((C19+C20+C23+C26)/(1-F21-C24-C27-C28),0)</f>
        <v>1716</v>
      </c>
      <c r="D29" s="2569"/>
      <c r="E29" s="2570"/>
      <c r="F29" s="2571"/>
      <c r="G29" s="1592"/>
      <c r="H29" s="823" t="s">
        <v>1787</v>
      </c>
      <c r="I29" s="824" t="s">
        <v>1788</v>
      </c>
      <c r="J29" s="825">
        <f ca="1">ROUND(J26/(1+F40)^F41,0)</f>
        <v>0</v>
      </c>
      <c r="K29" s="826" t="s">
        <v>1789</v>
      </c>
      <c r="L29" s="827"/>
      <c r="M29" s="828">
        <f ca="1">INDIRECT("'数据-取费表'!k"&amp;$G$1)</f>
        <v>6957.79</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70</v>
      </c>
      <c r="D30" s="1821" t="s">
        <v>1791</v>
      </c>
      <c r="E30" s="2510"/>
      <c r="F30" s="2515"/>
      <c r="G30" s="2062"/>
      <c r="H30" s="2065"/>
      <c r="I30" s="2066"/>
      <c r="J30" s="2067"/>
      <c r="K30" s="2068"/>
      <c r="L30" s="2069"/>
      <c r="M30" s="2070"/>
    </row>
    <row r="31" spans="1:33" ht="18" customHeight="1">
      <c r="A31" s="1648" t="s">
        <v>1830</v>
      </c>
      <c r="B31" s="784" t="s">
        <v>656</v>
      </c>
      <c r="C31" s="53">
        <f ca="1">ROUND(IF(项目基本情况!B11="自然人",C5*F31,C32+C33+C34),1)</f>
        <v>40</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23.1</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14.4</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3" t="s">
        <v>1798</v>
      </c>
      <c r="C34" s="54">
        <f ca="1">ROUND(F34*F35/10000,1)</f>
        <v>2.5</v>
      </c>
      <c r="D34" s="814" t="s">
        <v>1799</v>
      </c>
      <c r="E34" s="784" t="s">
        <v>1800</v>
      </c>
      <c r="F34" s="640">
        <f>'数据-取费表'!B52</f>
        <v>8</v>
      </c>
      <c r="G34" s="2062"/>
      <c r="H34" s="2065"/>
      <c r="I34" s="835" t="s">
        <v>1813</v>
      </c>
      <c r="J34" s="836"/>
      <c r="K34" s="2080"/>
      <c r="L34" s="2079"/>
      <c r="M34" s="2079"/>
    </row>
    <row r="35" spans="1:18" ht="18" customHeight="1">
      <c r="A35" s="815"/>
      <c r="B35" s="793"/>
      <c r="C35" s="69"/>
      <c r="D35" s="816"/>
      <c r="E35" s="784" t="s">
        <v>1801</v>
      </c>
      <c r="F35" s="785">
        <f ca="1">INDIRECT("'数据-取费表'!r"&amp;$G$1)</f>
        <v>3162.63</v>
      </c>
      <c r="G35" s="2062"/>
      <c r="H35" s="2065"/>
      <c r="I35" s="837" t="s">
        <v>1814</v>
      </c>
      <c r="J35" s="838">
        <f ca="1">ROUND(C13*J36,0)</f>
        <v>0</v>
      </c>
      <c r="K35" s="2078"/>
      <c r="L35" s="2077"/>
      <c r="M35" s="2077"/>
    </row>
    <row r="36" spans="1:18" ht="18" customHeight="1">
      <c r="A36" s="1648" t="s">
        <v>1889</v>
      </c>
      <c r="B36" s="784" t="s">
        <v>1802</v>
      </c>
      <c r="C36" s="53">
        <f ca="1">ROUND(C29*F36,1)</f>
        <v>25.7</v>
      </c>
      <c r="D36" s="1977" t="s">
        <v>1803</v>
      </c>
      <c r="E36" s="784" t="s">
        <v>1796</v>
      </c>
      <c r="F36" s="817">
        <f ca="1">INDIRECT("'数据-取费表'!Ak"&amp;$G$1)</f>
        <v>1.4999999999999999E-2</v>
      </c>
      <c r="G36" s="2062"/>
      <c r="H36" s="2077"/>
      <c r="I36" s="839" t="s">
        <v>1815</v>
      </c>
      <c r="J36" s="840">
        <f ca="1">INDIRECT("'数据-取费表'!j"&amp;$G$1)</f>
        <v>0.08</v>
      </c>
      <c r="K36" s="2082"/>
      <c r="L36" s="2077"/>
      <c r="M36" s="2077"/>
    </row>
    <row r="37" spans="1:18" ht="18" customHeight="1">
      <c r="A37" s="1648" t="s">
        <v>1890</v>
      </c>
      <c r="B37" s="784" t="s">
        <v>679</v>
      </c>
      <c r="C37" s="53">
        <f ca="1">ROUND(C13*F37,1)</f>
        <v>0</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666</v>
      </c>
      <c r="C38" s="2568">
        <f ca="1">ROUND(C5*F38,1)</f>
        <v>4.3</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6" t="s">
        <v>2827</v>
      </c>
      <c r="C39" s="792">
        <f ca="1">C5-C30</f>
        <v>363</v>
      </c>
      <c r="D39" s="2572" t="s">
        <v>1806</v>
      </c>
      <c r="E39" s="2573"/>
      <c r="F39" s="2574"/>
      <c r="G39" s="2062"/>
      <c r="H39" s="2077"/>
      <c r="I39" s="837" t="s">
        <v>1818</v>
      </c>
      <c r="J39" s="845">
        <f ca="1">ROUND(J35/C39,3)</f>
        <v>0</v>
      </c>
      <c r="K39" s="2083"/>
      <c r="L39" s="2077"/>
      <c r="M39" s="2077"/>
    </row>
    <row r="40" spans="1:18" ht="18" customHeight="1">
      <c r="A40" s="781" t="s">
        <v>1895</v>
      </c>
      <c r="B40" s="2232" t="s">
        <v>2302</v>
      </c>
      <c r="C40" s="783">
        <f ca="1">ROUND(C39*(1-((1+F42)/(1+F40))^F41)/(F40-F42),0)</f>
        <v>7512</v>
      </c>
      <c r="D40" s="814" t="s">
        <v>1807</v>
      </c>
      <c r="E40" s="784" t="s">
        <v>2420</v>
      </c>
      <c r="F40" s="794">
        <f ca="1">INDIRECT("'数据-取费表'!I"&amp;$G$1)</f>
        <v>5.5E-2</v>
      </c>
      <c r="G40" s="2062"/>
      <c r="H40" s="2062"/>
      <c r="I40" s="837" t="s">
        <v>1819</v>
      </c>
      <c r="J40" s="845">
        <f ca="1">1-J39</f>
        <v>1</v>
      </c>
      <c r="K40" s="2083"/>
      <c r="L40" s="2062"/>
      <c r="M40" s="2062"/>
    </row>
    <row r="41" spans="1:18" ht="18" customHeight="1">
      <c r="A41" s="786"/>
      <c r="B41" s="787"/>
      <c r="C41" s="788"/>
      <c r="D41" s="821" t="s">
        <v>1808</v>
      </c>
      <c r="E41" s="784" t="s">
        <v>2967</v>
      </c>
      <c r="F41" s="822">
        <f ca="1">IF(INDIRECT("'数据-取费表'!af"&amp;$G$1)=0,INDIRECT("'数据-取费表'!ae"&amp;$G$1),INDIRECT("'数据-取费表'!af"&amp;$G$1))</f>
        <v>38.19</v>
      </c>
      <c r="G41" s="2062"/>
      <c r="H41" s="1988"/>
      <c r="I41" s="843" t="s">
        <v>1820</v>
      </c>
      <c r="J41" s="846"/>
      <c r="K41" s="2082"/>
      <c r="L41" s="1988"/>
      <c r="M41" s="1988"/>
    </row>
    <row r="42" spans="1:18" ht="18" customHeight="1">
      <c r="A42" s="790"/>
      <c r="B42" s="791"/>
      <c r="C42" s="792"/>
      <c r="D42" s="816"/>
      <c r="E42" s="784" t="s">
        <v>1809</v>
      </c>
      <c r="F42" s="794">
        <f ca="1">INDIRECT("'数据-取费表'!v"&amp;$G$1)</f>
        <v>0.02</v>
      </c>
      <c r="G42" s="2062"/>
      <c r="H42" s="1988"/>
      <c r="I42" s="847" t="s">
        <v>1821</v>
      </c>
      <c r="J42" s="845">
        <f ca="1">ROUND(C13/C40,3)</f>
        <v>0</v>
      </c>
      <c r="K42" s="2082"/>
      <c r="L42" s="1988"/>
      <c r="M42" s="1988"/>
    </row>
    <row r="43" spans="1:18" ht="18" customHeight="1" thickBot="1">
      <c r="A43" s="823" t="s">
        <v>1787</v>
      </c>
      <c r="B43" s="824" t="s">
        <v>1810</v>
      </c>
      <c r="C43" s="825">
        <f ca="1">ROUND(C40*10000/F43,0)</f>
        <v>10797</v>
      </c>
      <c r="D43" s="826" t="s">
        <v>1811</v>
      </c>
      <c r="E43" s="827" t="s">
        <v>1812</v>
      </c>
      <c r="F43" s="828">
        <f ca="1">INDIRECT("'数据-取费表'!k"&amp;$G$1)</f>
        <v>6957.79</v>
      </c>
      <c r="G43" s="2062"/>
      <c r="H43" s="1988"/>
      <c r="I43" s="847" t="s">
        <v>1822</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-8193</v>
      </c>
      <c r="D46" s="2085"/>
      <c r="E46" s="2085"/>
      <c r="F46" s="2085"/>
      <c r="I46" s="2378" t="s">
        <v>3084</v>
      </c>
      <c r="J46" s="2379"/>
      <c r="K46" s="2380"/>
      <c r="L46" s="2381" t="str">
        <f ca="1">IF(M47="住宅",0,IF(L48&gt;J51,L60,J60))</f>
        <v>0</v>
      </c>
      <c r="O46" s="2418" t="s">
        <v>2411</v>
      </c>
      <c r="P46" s="1591"/>
      <c r="Q46" s="1603"/>
      <c r="R46" s="1591"/>
    </row>
    <row r="47" spans="1:18" s="2059" customFormat="1" ht="18" customHeight="1" thickBot="1">
      <c r="A47" s="2372">
        <v>1</v>
      </c>
      <c r="B47" s="2373" t="s">
        <v>635</v>
      </c>
      <c r="C47" s="2598">
        <f ca="1">C48+C52+C54</f>
        <v>0</v>
      </c>
      <c r="D47" s="2085"/>
      <c r="E47" s="2085"/>
      <c r="F47" s="2085"/>
      <c r="I47" s="2382" t="s">
        <v>2344</v>
      </c>
      <c r="J47" s="2387" t="s">
        <v>3009</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7" t="s">
        <v>2540</v>
      </c>
      <c r="B48" s="2668" t="s">
        <v>2541</v>
      </c>
      <c r="C48" s="2374">
        <f ca="1">ROUND(F48*F50*F49*(1-F51)/10000,0)</f>
        <v>0</v>
      </c>
      <c r="D48" s="2375" t="s">
        <v>636</v>
      </c>
      <c r="E48" s="2376" t="s">
        <v>2297</v>
      </c>
      <c r="F48" s="2377"/>
      <c r="G48" s="2090"/>
      <c r="I48" s="2383" t="s">
        <v>2345</v>
      </c>
      <c r="J48" s="2390" t="s">
        <v>2351</v>
      </c>
      <c r="K48" s="2391" t="s">
        <v>2352</v>
      </c>
      <c r="L48" s="2392">
        <f ca="1">INDIRECT("'数据-取费表'!f"&amp;$G$1)</f>
        <v>39.69</v>
      </c>
      <c r="O48" s="2422" t="s">
        <v>2380</v>
      </c>
      <c r="P48" s="2423" t="s">
        <v>2406</v>
      </c>
      <c r="Q48" s="2424">
        <f ca="1">C40+J29</f>
        <v>7512</v>
      </c>
      <c r="R48" s="2423" t="s">
        <v>2381</v>
      </c>
    </row>
    <row r="49" spans="1:18" s="2059" customFormat="1" ht="18" customHeight="1" thickBot="1">
      <c r="A49" s="786"/>
      <c r="B49" s="787"/>
      <c r="C49" s="788"/>
      <c r="D49" s="789"/>
      <c r="E49" s="784" t="s">
        <v>1739</v>
      </c>
      <c r="F49" s="785">
        <f ca="1">F7</f>
        <v>6957.79</v>
      </c>
      <c r="G49" s="2090"/>
      <c r="H49" s="2093"/>
      <c r="I49" s="2383" t="s">
        <v>2346</v>
      </c>
      <c r="J49" s="2393">
        <v>2017</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1716</v>
      </c>
      <c r="R50" s="2423" t="s">
        <v>2381</v>
      </c>
    </row>
    <row r="51" spans="1:18" s="2059" customFormat="1" ht="18" customHeight="1" thickBot="1">
      <c r="A51" s="786"/>
      <c r="B51" s="787"/>
      <c r="C51" s="788"/>
      <c r="D51" s="789"/>
      <c r="E51" s="784" t="s">
        <v>640</v>
      </c>
      <c r="F51" s="2371"/>
      <c r="H51" s="2093"/>
      <c r="I51" s="2384" t="s">
        <v>2348</v>
      </c>
      <c r="J51" s="2397">
        <f>IF(J49="",J50,J49+J50-YEAR('数据-取费表'!B2))</f>
        <v>60</v>
      </c>
      <c r="K51" s="2383" t="s">
        <v>2355</v>
      </c>
      <c r="L51" s="2398">
        <f ca="1">ROUND(-PV(INDIRECT("'数据-取费表'!h"&amp;$G$1),L48,(C39-C13*J36),0),0)</f>
        <v>6213</v>
      </c>
      <c r="O51" s="2425" t="s">
        <v>2385</v>
      </c>
      <c r="P51" s="2423" t="s">
        <v>2386</v>
      </c>
      <c r="Q51" s="2426" t="e">
        <f ca="1">J58</f>
        <v>#VALUE!</v>
      </c>
      <c r="R51" s="2427"/>
    </row>
    <row r="52" spans="1:18" s="2059" customFormat="1" ht="18" customHeight="1" thickBot="1">
      <c r="A52" s="781" t="s">
        <v>2539</v>
      </c>
      <c r="B52" s="2518" t="s">
        <v>2461</v>
      </c>
      <c r="C52" s="799">
        <f ca="1">ROUND(IF(F52="押一",F48*F50*F49/12*F11,IF(F52="押二",F48*F50*F49/12*2*F11,IF(F52="押三",F48*F50*F49/12*3*F11,C53*F11)))/10000,0)</f>
        <v>0</v>
      </c>
      <c r="D52" s="2525" t="s">
        <v>2468</v>
      </c>
      <c r="E52" s="2522" t="s">
        <v>2466</v>
      </c>
      <c r="F52" s="2645"/>
      <c r="I52" s="2385" t="s">
        <v>2422</v>
      </c>
      <c r="J52" s="2399">
        <v>0.08</v>
      </c>
      <c r="K52" s="2385" t="s">
        <v>2421</v>
      </c>
      <c r="L52" s="2399"/>
      <c r="O52" s="2425" t="s">
        <v>2387</v>
      </c>
      <c r="P52" s="2423" t="s">
        <v>2388</v>
      </c>
      <c r="Q52" s="2426">
        <f>J52</f>
        <v>0.08</v>
      </c>
      <c r="R52" s="2427"/>
    </row>
    <row r="53" spans="1:18" s="2059" customFormat="1" ht="39.75" customHeight="1" thickBot="1">
      <c r="A53" s="786"/>
      <c r="B53" s="2519" t="s">
        <v>2576</v>
      </c>
      <c r="C53" s="2523"/>
      <c r="D53" s="2525"/>
      <c r="E53" s="2522"/>
      <c r="F53" s="800"/>
      <c r="I53" s="2386" t="s">
        <v>2349</v>
      </c>
      <c r="J53" s="2400">
        <f ca="1">IF(M47="住宅",J51,IF(D1="——",MIN(J51,L48),IF(D1="土地（套用方法）",MIN(J51,L48-'数据-取费表'!B20))))</f>
        <v>38.19</v>
      </c>
      <c r="K53" s="3448" t="s">
        <v>2969</v>
      </c>
      <c r="L53" s="3449"/>
      <c r="O53" s="2425" t="s">
        <v>2389</v>
      </c>
      <c r="P53" s="2423" t="s">
        <v>2390</v>
      </c>
      <c r="Q53" s="2424">
        <f ca="1">J53</f>
        <v>38.19</v>
      </c>
      <c r="R53" s="2423" t="s">
        <v>2391</v>
      </c>
    </row>
    <row r="54" spans="1:18" s="2059" customFormat="1" ht="18" customHeight="1" thickBot="1">
      <c r="A54" s="2561" t="s">
        <v>2470</v>
      </c>
      <c r="B54" s="2562" t="s">
        <v>2462</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7512</v>
      </c>
      <c r="R54" s="2427" t="s">
        <v>2393</v>
      </c>
    </row>
    <row r="55" spans="1:18" s="2059" customFormat="1" ht="18" customHeight="1" thickTop="1" thickBot="1">
      <c r="A55" s="797">
        <v>2</v>
      </c>
      <c r="B55" s="798" t="s">
        <v>644</v>
      </c>
      <c r="C55" s="799">
        <f ca="1">C13</f>
        <v>0</v>
      </c>
      <c r="D55" s="795"/>
      <c r="E55" s="795"/>
      <c r="F55" s="800"/>
      <c r="I55" s="3126" t="s">
        <v>2356</v>
      </c>
      <c r="J55" s="3125" t="e">
        <f ca="1">ROUND(IF(J47="钢混",J57/J50,1-(1-2%)*(J50-J57)/J50),3)</f>
        <v>#VALUE!</v>
      </c>
      <c r="K55" s="2401" t="s">
        <v>2357</v>
      </c>
      <c r="L55" s="2402"/>
      <c r="O55" s="2428" t="s">
        <v>2412</v>
      </c>
      <c r="P55" s="1591"/>
      <c r="Q55" s="1603"/>
      <c r="R55" s="1591"/>
    </row>
    <row r="56" spans="1:18" s="2059" customFormat="1" ht="42.75" customHeight="1" thickBot="1">
      <c r="A56" s="1649"/>
      <c r="B56" s="2231" t="s">
        <v>2303</v>
      </c>
      <c r="C56" s="53">
        <f ca="1">C29</f>
        <v>1716</v>
      </c>
      <c r="D56" s="2664"/>
      <c r="E56" s="784"/>
      <c r="F56" s="809"/>
      <c r="I56" s="2403" t="s">
        <v>2358</v>
      </c>
      <c r="J56" s="3149"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651</v>
      </c>
      <c r="C57" s="799">
        <f ca="1">ROUND(C58+C63+C64+C65,0)</f>
        <v>43</v>
      </c>
      <c r="D57" s="26" t="s">
        <v>1750</v>
      </c>
      <c r="E57" s="2665"/>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7512</v>
      </c>
      <c r="R57" s="2423" t="s">
        <v>2381</v>
      </c>
    </row>
    <row r="58" spans="1:18" s="2059" customFormat="1" ht="28.5" customHeight="1" thickBot="1">
      <c r="A58" s="1648" t="s">
        <v>1824</v>
      </c>
      <c r="B58" s="784" t="s">
        <v>656</v>
      </c>
      <c r="C58" s="53">
        <f ca="1">ROUND(IF(项目基本情况!B11="自然人",C47*F58,C59+C60+C61),1)</f>
        <v>16.899999999999999</v>
      </c>
      <c r="D58" s="2663" t="s">
        <v>657</v>
      </c>
      <c r="E58" s="2664" t="s">
        <v>690</v>
      </c>
      <c r="F58" s="810" t="str">
        <f ca="1">IF(项目基本情况!B11="企业","",IF(INDIRECT("'数据-取费表'!c"&amp;$G$1)="住宅",5%,IF(F48*F49*F50/12/(1+'数据-取费表'!C42)&gt;20000,12%,7%)))</f>
        <v/>
      </c>
      <c r="I58" s="2404" t="s">
        <v>2360</v>
      </c>
      <c r="J58" s="3127"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660</v>
      </c>
      <c r="C59" s="53">
        <f ca="1">ROUND(C47*F59/1.05,1)</f>
        <v>0</v>
      </c>
      <c r="D59" s="2664" t="s">
        <v>1756</v>
      </c>
      <c r="E59" s="784" t="s">
        <v>1747</v>
      </c>
      <c r="F59" s="809">
        <f t="shared" ref="F59:F65" si="0">F32</f>
        <v>5.6000000000000001E-2</v>
      </c>
      <c r="I59" s="2404" t="s">
        <v>2361</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14.4</v>
      </c>
      <c r="D60" s="2664"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3" t="s">
        <v>668</v>
      </c>
      <c r="C61" s="54">
        <f ca="1">ROUND(F61*F62/10000,1)</f>
        <v>2.5</v>
      </c>
      <c r="D61" s="814" t="s">
        <v>669</v>
      </c>
      <c r="E61" s="784" t="s">
        <v>670</v>
      </c>
      <c r="F61" s="640">
        <f t="shared" si="0"/>
        <v>8</v>
      </c>
      <c r="K61" s="2086"/>
      <c r="O61" s="2425" t="s">
        <v>2387</v>
      </c>
      <c r="P61" s="2423" t="s">
        <v>2395</v>
      </c>
      <c r="Q61" s="2424" t="e">
        <f ca="1">L58</f>
        <v>#DIV/0!</v>
      </c>
      <c r="R61" s="2427" t="s">
        <v>2396</v>
      </c>
    </row>
    <row r="62" spans="1:18" s="2059" customFormat="1" ht="15.75" thickBot="1">
      <c r="A62" s="815"/>
      <c r="B62" s="793"/>
      <c r="C62" s="69"/>
      <c r="D62" s="816"/>
      <c r="E62" s="784" t="s">
        <v>674</v>
      </c>
      <c r="F62" s="785">
        <f t="shared" ca="1" si="0"/>
        <v>3162.63</v>
      </c>
      <c r="I62" s="2409" t="s">
        <v>2368</v>
      </c>
      <c r="J62" s="2410" t="s">
        <v>2369</v>
      </c>
      <c r="K62" s="2410" t="s">
        <v>2370</v>
      </c>
      <c r="L62" s="2410" t="s">
        <v>2351</v>
      </c>
      <c r="M62" s="3128" t="s">
        <v>2944</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676</v>
      </c>
      <c r="C63" s="53">
        <f ca="1">ROUND(C56*F63,1)</f>
        <v>25.7</v>
      </c>
      <c r="D63" s="2664" t="s">
        <v>1803</v>
      </c>
      <c r="E63" s="784" t="s">
        <v>1747</v>
      </c>
      <c r="F63" s="817">
        <f t="shared" ca="1" si="0"/>
        <v>1.4999999999999999E-2</v>
      </c>
      <c r="I63" s="2409" t="s">
        <v>2371</v>
      </c>
      <c r="J63" s="2410">
        <v>70</v>
      </c>
      <c r="K63" s="2410">
        <v>50</v>
      </c>
      <c r="L63" s="2410">
        <v>80</v>
      </c>
      <c r="M63" s="3129">
        <v>0.02</v>
      </c>
      <c r="O63" s="2422" t="s">
        <v>2392</v>
      </c>
      <c r="P63" s="2423" t="s">
        <v>2409</v>
      </c>
      <c r="Q63" s="2424">
        <f ca="1">Q57+Q58</f>
        <v>7512</v>
      </c>
      <c r="R63" s="2427" t="s">
        <v>2393</v>
      </c>
    </row>
    <row r="64" spans="1:18" s="2059" customFormat="1" ht="16.5" thickBot="1">
      <c r="A64" s="1648" t="s">
        <v>1890</v>
      </c>
      <c r="B64" s="784" t="s">
        <v>679</v>
      </c>
      <c r="C64" s="53">
        <f ca="1">ROUND(C55*F64,1)</f>
        <v>0</v>
      </c>
      <c r="D64" s="2664" t="s">
        <v>680</v>
      </c>
      <c r="E64" s="784" t="s">
        <v>1747</v>
      </c>
      <c r="F64" s="818">
        <f t="shared" ca="1" si="0"/>
        <v>1.5E-3</v>
      </c>
      <c r="I64" s="2409" t="s">
        <v>2372</v>
      </c>
      <c r="J64" s="2410">
        <v>50</v>
      </c>
      <c r="K64" s="2410">
        <v>35</v>
      </c>
      <c r="L64" s="2410">
        <v>60</v>
      </c>
      <c r="M64" s="3130">
        <v>0</v>
      </c>
      <c r="O64" s="2428" t="s">
        <v>2416</v>
      </c>
      <c r="P64" s="1591"/>
      <c r="Q64" s="1603"/>
      <c r="R64" s="1591"/>
    </row>
    <row r="65" spans="1:18" s="2059" customFormat="1" ht="15.75" thickBot="1">
      <c r="A65" s="1648" t="s">
        <v>1891</v>
      </c>
      <c r="B65" s="784" t="s">
        <v>666</v>
      </c>
      <c r="C65" s="53">
        <f ca="1">ROUND(C47*F65,1)</f>
        <v>0</v>
      </c>
      <c r="D65" s="2664" t="s">
        <v>683</v>
      </c>
      <c r="E65" s="784" t="s">
        <v>1747</v>
      </c>
      <c r="F65" s="794">
        <f t="shared" ca="1" si="0"/>
        <v>0.01</v>
      </c>
      <c r="I65" s="2409" t="s">
        <v>2373</v>
      </c>
      <c r="J65" s="2410">
        <v>40</v>
      </c>
      <c r="K65" s="2410">
        <v>30</v>
      </c>
      <c r="L65" s="2410">
        <v>50</v>
      </c>
      <c r="M65" s="3129">
        <v>0.02</v>
      </c>
      <c r="O65" s="2419" t="s">
        <v>2376</v>
      </c>
      <c r="P65" s="2420" t="s">
        <v>2377</v>
      </c>
      <c r="Q65" s="2421" t="s">
        <v>2378</v>
      </c>
      <c r="R65" s="2420" t="s">
        <v>2379</v>
      </c>
    </row>
    <row r="66" spans="1:18" s="2059" customFormat="1" ht="24.75" thickBot="1">
      <c r="A66" s="797" t="s">
        <v>1776</v>
      </c>
      <c r="B66" s="3037" t="s">
        <v>2827</v>
      </c>
      <c r="C66" s="799">
        <f ca="1">C47-C57</f>
        <v>-43</v>
      </c>
      <c r="D66" s="2663" t="s">
        <v>700</v>
      </c>
      <c r="E66" s="2662"/>
      <c r="F66" s="820"/>
      <c r="K66" s="2086"/>
      <c r="O66" s="2422" t="s">
        <v>2380</v>
      </c>
      <c r="P66" s="2423" t="s">
        <v>2410</v>
      </c>
      <c r="Q66" s="2424">
        <f ca="1">C40+J29</f>
        <v>7512</v>
      </c>
      <c r="R66" s="2423" t="s">
        <v>2381</v>
      </c>
    </row>
    <row r="67" spans="1:18" s="2059" customFormat="1" ht="20.25" thickBot="1">
      <c r="A67" s="781" t="s">
        <v>1780</v>
      </c>
      <c r="B67" s="2232" t="s">
        <v>2302</v>
      </c>
      <c r="C67" s="783">
        <f ca="1">ROUND(C66*(1-((1+F69)/(1+F67))^F68)/(F67-F69),0)</f>
        <v>-681</v>
      </c>
      <c r="D67" s="814" t="s">
        <v>704</v>
      </c>
      <c r="E67" s="784" t="s">
        <v>705</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38.19</v>
      </c>
      <c r="O68" s="2425" t="s">
        <v>2384</v>
      </c>
      <c r="P68" s="2423" t="s">
        <v>2414</v>
      </c>
      <c r="Q68" s="2429">
        <f ca="1">L51</f>
        <v>6213</v>
      </c>
      <c r="R68" s="2430" t="s">
        <v>2417</v>
      </c>
    </row>
    <row r="69" spans="1:18" ht="20.25" thickBot="1">
      <c r="A69" s="790"/>
      <c r="B69" s="791"/>
      <c r="C69" s="792"/>
      <c r="D69" s="816"/>
      <c r="E69" s="784" t="s">
        <v>710</v>
      </c>
      <c r="F69" s="2371"/>
      <c r="O69" s="2425" t="s">
        <v>2385</v>
      </c>
      <c r="P69" s="2431" t="s">
        <v>2399</v>
      </c>
      <c r="Q69" s="2424">
        <f ca="1">ROUND(Q70-Q71*Q72,0)</f>
        <v>363</v>
      </c>
      <c r="R69" s="2427"/>
    </row>
    <row r="70" spans="1:18" ht="15.75" thickBot="1">
      <c r="A70" s="823" t="s">
        <v>1787</v>
      </c>
      <c r="B70" s="824" t="s">
        <v>1810</v>
      </c>
      <c r="C70" s="825">
        <f ca="1">ROUND(C67*10000/F70,0)</f>
        <v>-979</v>
      </c>
      <c r="D70" s="826" t="s">
        <v>1811</v>
      </c>
      <c r="E70" s="827" t="s">
        <v>1812</v>
      </c>
      <c r="F70" s="828">
        <f ca="1">F43</f>
        <v>6957.79</v>
      </c>
      <c r="O70" s="2425" t="s">
        <v>2400</v>
      </c>
      <c r="P70" s="2431" t="s">
        <v>2401</v>
      </c>
      <c r="Q70" s="2424">
        <f ca="1">C39</f>
        <v>363</v>
      </c>
      <c r="R70" s="2423" t="s">
        <v>2381</v>
      </c>
    </row>
    <row r="71" spans="1:18" ht="15.75" thickBot="1">
      <c r="O71" s="2425" t="s">
        <v>2402</v>
      </c>
      <c r="P71" s="2431" t="s">
        <v>2403</v>
      </c>
      <c r="Q71" s="2424">
        <f ca="1">C13</f>
        <v>0</v>
      </c>
      <c r="R71" s="2423" t="s">
        <v>2381</v>
      </c>
    </row>
    <row r="72" spans="1:18" ht="15.75" thickBot="1">
      <c r="O72" s="2425" t="s">
        <v>2404</v>
      </c>
      <c r="P72" s="2431" t="s">
        <v>2405</v>
      </c>
      <c r="Q72" s="2426">
        <f ca="1">J36</f>
        <v>0.08</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7512</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0" t="s">
        <v>2474</v>
      </c>
      <c r="B1" s="3451"/>
      <c r="C1" s="3452"/>
      <c r="D1" s="3453">
        <f>SUM(I10,I15,I20,I21,I23)</f>
        <v>0</v>
      </c>
      <c r="E1" s="3453"/>
      <c r="F1" s="3453"/>
      <c r="G1" s="3453"/>
      <c r="H1" s="3453"/>
      <c r="I1" s="3454"/>
    </row>
    <row r="2" spans="1:9">
      <c r="A2" s="3455" t="s">
        <v>2475</v>
      </c>
      <c r="B2" s="3456" t="s">
        <v>2476</v>
      </c>
      <c r="C2" s="3456"/>
      <c r="D2" s="2531" t="s">
        <v>2477</v>
      </c>
      <c r="E2" s="2531" t="s">
        <v>2478</v>
      </c>
      <c r="F2" s="2531" t="s">
        <v>2479</v>
      </c>
      <c r="G2" s="2531" t="s">
        <v>2480</v>
      </c>
      <c r="H2" s="2531" t="s">
        <v>2481</v>
      </c>
      <c r="I2" s="2532" t="s">
        <v>2482</v>
      </c>
    </row>
    <row r="3" spans="1:9">
      <c r="A3" s="3455"/>
      <c r="B3" s="3456" t="s">
        <v>2483</v>
      </c>
      <c r="C3" s="3456"/>
      <c r="D3" s="2533"/>
      <c r="E3" s="2531"/>
      <c r="F3" s="2534"/>
      <c r="G3" s="2534"/>
      <c r="H3" s="2535"/>
      <c r="I3" s="2536">
        <f>ROUND(D3*E3*F3*G3*H3/10000,0)</f>
        <v>0</v>
      </c>
    </row>
    <row r="4" spans="1:9">
      <c r="A4" s="3455"/>
      <c r="B4" s="3456" t="s">
        <v>2484</v>
      </c>
      <c r="C4" s="3456"/>
      <c r="D4" s="2533"/>
      <c r="E4" s="2531"/>
      <c r="F4" s="2534"/>
      <c r="G4" s="2534"/>
      <c r="H4" s="2535"/>
      <c r="I4" s="2536">
        <f t="shared" ref="I4:I9" si="0">ROUND(D4*E4*F4*G4*H4/10000,0)</f>
        <v>0</v>
      </c>
    </row>
    <row r="5" spans="1:9">
      <c r="A5" s="3455"/>
      <c r="B5" s="3456" t="s">
        <v>2485</v>
      </c>
      <c r="C5" s="3456"/>
      <c r="D5" s="2533"/>
      <c r="E5" s="2531"/>
      <c r="F5" s="2534"/>
      <c r="G5" s="2534"/>
      <c r="H5" s="2535"/>
      <c r="I5" s="2536">
        <f t="shared" si="0"/>
        <v>0</v>
      </c>
    </row>
    <row r="6" spans="1:9">
      <c r="A6" s="3455"/>
      <c r="B6" s="3456" t="s">
        <v>2486</v>
      </c>
      <c r="C6" s="3456"/>
      <c r="D6" s="2533"/>
      <c r="E6" s="2531"/>
      <c r="F6" s="2534"/>
      <c r="G6" s="2534"/>
      <c r="H6" s="2535"/>
      <c r="I6" s="2536">
        <f t="shared" si="0"/>
        <v>0</v>
      </c>
    </row>
    <row r="7" spans="1:9">
      <c r="A7" s="3455"/>
      <c r="B7" s="3456" t="s">
        <v>2487</v>
      </c>
      <c r="C7" s="3456"/>
      <c r="D7" s="2533"/>
      <c r="E7" s="2531"/>
      <c r="F7" s="2534"/>
      <c r="G7" s="2534"/>
      <c r="H7" s="2535"/>
      <c r="I7" s="2536">
        <f t="shared" si="0"/>
        <v>0</v>
      </c>
    </row>
    <row r="8" spans="1:9">
      <c r="A8" s="3455"/>
      <c r="B8" s="3456" t="s">
        <v>2488</v>
      </c>
      <c r="C8" s="3456"/>
      <c r="D8" s="2533"/>
      <c r="E8" s="2531"/>
      <c r="F8" s="2534"/>
      <c r="G8" s="2534"/>
      <c r="H8" s="2535"/>
      <c r="I8" s="2536">
        <f t="shared" si="0"/>
        <v>0</v>
      </c>
    </row>
    <row r="9" spans="1:9">
      <c r="A9" s="3455"/>
      <c r="B9" s="3456" t="s">
        <v>2489</v>
      </c>
      <c r="C9" s="3456"/>
      <c r="D9" s="2533"/>
      <c r="E9" s="2531"/>
      <c r="F9" s="2534"/>
      <c r="G9" s="2534"/>
      <c r="H9" s="2535"/>
      <c r="I9" s="2536">
        <f t="shared" si="0"/>
        <v>0</v>
      </c>
    </row>
    <row r="10" spans="1:9">
      <c r="A10" s="3455"/>
      <c r="B10" s="3457" t="s">
        <v>2490</v>
      </c>
      <c r="C10" s="3457"/>
      <c r="D10" s="2537">
        <v>527</v>
      </c>
      <c r="E10" s="2537" t="e">
        <f>ROUND(D1*10000/D10/H9,0)</f>
        <v>#DIV/0!</v>
      </c>
      <c r="F10" s="2538"/>
      <c r="G10" s="2538"/>
      <c r="H10" s="2539"/>
      <c r="I10" s="2540">
        <f>SUM(I3:I9)</f>
        <v>0</v>
      </c>
    </row>
    <row r="11" spans="1:9" ht="14.25">
      <c r="A11" s="3455" t="s">
        <v>2491</v>
      </c>
      <c r="B11" s="3456" t="s">
        <v>2492</v>
      </c>
      <c r="C11" s="3456"/>
      <c r="D11" s="2533" t="s">
        <v>2493</v>
      </c>
      <c r="E11" s="2533" t="s">
        <v>2494</v>
      </c>
      <c r="F11" s="2534" t="s">
        <v>2495</v>
      </c>
      <c r="G11" s="2534" t="s">
        <v>2496</v>
      </c>
      <c r="H11" s="2541" t="s">
        <v>2497</v>
      </c>
      <c r="I11" s="2532" t="s">
        <v>2498</v>
      </c>
    </row>
    <row r="12" spans="1:9">
      <c r="A12" s="3455"/>
      <c r="B12" s="3456" t="s">
        <v>2499</v>
      </c>
      <c r="C12" s="3456"/>
      <c r="D12" s="2533"/>
      <c r="E12" s="2533"/>
      <c r="F12" s="2534"/>
      <c r="G12" s="2535"/>
      <c r="H12" s="2542"/>
      <c r="I12" s="2532">
        <f>ROUND(D12*E12*F12*G12/10000,0)</f>
        <v>0</v>
      </c>
    </row>
    <row r="13" spans="1:9">
      <c r="A13" s="3455"/>
      <c r="B13" s="3456" t="s">
        <v>2500</v>
      </c>
      <c r="C13" s="3456"/>
      <c r="D13" s="2533"/>
      <c r="E13" s="2533"/>
      <c r="F13" s="2534"/>
      <c r="G13" s="2535"/>
      <c r="H13" s="2542"/>
      <c r="I13" s="2532">
        <f>ROUND(D13*E13*F13*G13/10000,0)</f>
        <v>0</v>
      </c>
    </row>
    <row r="14" spans="1:9">
      <c r="A14" s="3455"/>
      <c r="B14" s="3456" t="s">
        <v>2501</v>
      </c>
      <c r="C14" s="3456"/>
      <c r="D14" s="2533"/>
      <c r="E14" s="2533"/>
      <c r="F14" s="2534"/>
      <c r="G14" s="2535"/>
      <c r="H14" s="2542"/>
      <c r="I14" s="2532">
        <f>ROUND(D14*E14*F14*G14/10000,0)</f>
        <v>0</v>
      </c>
    </row>
    <row r="15" spans="1:9">
      <c r="A15" s="3455"/>
      <c r="B15" s="3457" t="s">
        <v>2490</v>
      </c>
      <c r="C15" s="3457"/>
      <c r="D15" s="2537"/>
      <c r="E15" s="2537">
        <f>SUM(E12:E14)</f>
        <v>0</v>
      </c>
      <c r="F15" s="2538"/>
      <c r="G15" s="2535"/>
      <c r="H15" s="2542"/>
      <c r="I15" s="2543">
        <f>SUM(I12:I14)</f>
        <v>0</v>
      </c>
    </row>
    <row r="16" spans="1:9" ht="24">
      <c r="A16" s="3455" t="s">
        <v>2502</v>
      </c>
      <c r="B16" s="3456" t="s">
        <v>2503</v>
      </c>
      <c r="C16" s="3456"/>
      <c r="D16" s="2533" t="s">
        <v>2504</v>
      </c>
      <c r="E16" s="2544" t="s">
        <v>2505</v>
      </c>
      <c r="F16" s="2534" t="s">
        <v>2506</v>
      </c>
      <c r="G16" s="2535" t="s">
        <v>2496</v>
      </c>
      <c r="H16" s="2541" t="s">
        <v>2497</v>
      </c>
      <c r="I16" s="2532" t="s">
        <v>2498</v>
      </c>
    </row>
    <row r="17" spans="1:9" ht="14.25">
      <c r="A17" s="3455"/>
      <c r="B17" s="3456" t="s">
        <v>2507</v>
      </c>
      <c r="C17" s="3456"/>
      <c r="D17" s="2533"/>
      <c r="E17" s="2533"/>
      <c r="F17" s="2534"/>
      <c r="G17" s="2535"/>
      <c r="H17" s="2545"/>
      <c r="I17" s="2546">
        <f>ROUND(D17*E17*F17*G17/10000,0)</f>
        <v>0</v>
      </c>
    </row>
    <row r="18" spans="1:9" ht="14.25">
      <c r="A18" s="3455"/>
      <c r="B18" s="3456" t="s">
        <v>2508</v>
      </c>
      <c r="C18" s="3456"/>
      <c r="D18" s="2533"/>
      <c r="E18" s="2533"/>
      <c r="F18" s="2534"/>
      <c r="G18" s="2535"/>
      <c r="H18" s="2545"/>
      <c r="I18" s="2546">
        <f>ROUND(D18*E18*F18*G18/10000,0)</f>
        <v>0</v>
      </c>
    </row>
    <row r="19" spans="1:9" ht="14.25">
      <c r="A19" s="3455"/>
      <c r="B19" s="3456" t="s">
        <v>2509</v>
      </c>
      <c r="C19" s="3456"/>
      <c r="D19" s="2533"/>
      <c r="E19" s="2533"/>
      <c r="F19" s="2534"/>
      <c r="G19" s="2535"/>
      <c r="H19" s="2545"/>
      <c r="I19" s="2546">
        <f>ROUND(D19*E19*F19*G19/10000,0)</f>
        <v>0</v>
      </c>
    </row>
    <row r="20" spans="1:9">
      <c r="A20" s="3455"/>
      <c r="B20" s="3457" t="s">
        <v>2490</v>
      </c>
      <c r="C20" s="3457"/>
      <c r="D20" s="2537">
        <f>SUM(D17:D19)</f>
        <v>0</v>
      </c>
      <c r="E20" s="2537"/>
      <c r="F20" s="2538"/>
      <c r="G20" s="2535"/>
      <c r="H20" s="2542"/>
      <c r="I20" s="2543">
        <f>SUM(I17:I19)</f>
        <v>0</v>
      </c>
    </row>
    <row r="21" spans="1:9">
      <c r="A21" s="3455" t="s">
        <v>2510</v>
      </c>
      <c r="B21" s="3459"/>
      <c r="C21" s="3459"/>
      <c r="D21" s="3459"/>
      <c r="E21" s="3459"/>
      <c r="F21" s="3459"/>
      <c r="G21" s="3459"/>
      <c r="H21" s="2547">
        <v>0.1</v>
      </c>
      <c r="I21" s="2540">
        <f>ROUND(I10*H21,0)</f>
        <v>0</v>
      </c>
    </row>
    <row r="22" spans="1:9" ht="14.25">
      <c r="A22" s="3460" t="s">
        <v>2511</v>
      </c>
      <c r="B22" s="3461"/>
      <c r="C22" s="3462"/>
      <c r="D22" s="2548" t="s">
        <v>2512</v>
      </c>
      <c r="E22" s="2548" t="s">
        <v>2513</v>
      </c>
      <c r="F22" s="2549" t="s">
        <v>2514</v>
      </c>
      <c r="G22" s="2549" t="s">
        <v>2515</v>
      </c>
      <c r="H22" s="2541" t="s">
        <v>2516</v>
      </c>
      <c r="I22" s="2532" t="s">
        <v>2517</v>
      </c>
    </row>
    <row r="23" spans="1:9" ht="14.25" thickBot="1">
      <c r="A23" s="3463"/>
      <c r="B23" s="3464"/>
      <c r="C23" s="3465"/>
      <c r="D23" s="2550"/>
      <c r="E23" s="2550"/>
      <c r="F23" s="2550"/>
      <c r="G23" s="2551"/>
      <c r="H23" s="2552"/>
      <c r="I23" s="2553">
        <f>ROUND(E23*D23*F23*(1-G23)/10000,0)</f>
        <v>0</v>
      </c>
    </row>
    <row r="26" spans="1:9">
      <c r="A26" s="2554" t="s">
        <v>2518</v>
      </c>
      <c r="B26" s="2554"/>
      <c r="C26" s="2554"/>
      <c r="D26" s="2554"/>
      <c r="E26" s="3466">
        <f>C27-C30-C31-C32</f>
        <v>0</v>
      </c>
      <c r="F26" s="3466"/>
      <c r="G26" s="3466"/>
      <c r="H26" s="3070" t="s">
        <v>2848</v>
      </c>
    </row>
    <row r="27" spans="1:9">
      <c r="A27" s="2555">
        <v>1</v>
      </c>
      <c r="B27" s="2556" t="s">
        <v>2519</v>
      </c>
      <c r="C27" s="2556"/>
      <c r="D27" s="2556"/>
      <c r="E27" s="3467"/>
      <c r="F27" s="3467"/>
      <c r="G27" s="3467"/>
    </row>
    <row r="28" spans="1:9">
      <c r="A28" s="2557" t="s">
        <v>2520</v>
      </c>
      <c r="B28" s="2556" t="s">
        <v>2521</v>
      </c>
      <c r="C28" s="2556"/>
      <c r="D28" s="2556"/>
      <c r="E28" s="3467"/>
      <c r="F28" s="3467"/>
      <c r="G28" s="3467"/>
    </row>
    <row r="29" spans="1:9">
      <c r="A29" s="2557" t="s">
        <v>2522</v>
      </c>
      <c r="B29" s="2556" t="s">
        <v>2462</v>
      </c>
      <c r="C29" s="2556"/>
      <c r="D29" s="2556"/>
      <c r="E29" s="2556" t="s">
        <v>2523</v>
      </c>
      <c r="F29" s="2556"/>
      <c r="G29" s="2556"/>
    </row>
    <row r="30" spans="1:9">
      <c r="A30" s="2555">
        <v>2</v>
      </c>
      <c r="B30" s="2556" t="s">
        <v>2524</v>
      </c>
      <c r="C30" s="2556">
        <f>C27*D30</f>
        <v>0</v>
      </c>
      <c r="D30" s="2558">
        <v>0.2</v>
      </c>
      <c r="E30" s="2556" t="s">
        <v>2525</v>
      </c>
      <c r="F30" s="2556"/>
      <c r="G30" s="2556"/>
    </row>
    <row r="31" spans="1:9">
      <c r="A31" s="2555">
        <v>3</v>
      </c>
      <c r="B31" s="2556" t="s">
        <v>2526</v>
      </c>
      <c r="C31" s="2556">
        <f>C25*D31</f>
        <v>0</v>
      </c>
      <c r="D31" s="2558">
        <v>0.15</v>
      </c>
      <c r="E31" s="2556" t="s">
        <v>2527</v>
      </c>
      <c r="F31" s="2556"/>
      <c r="G31" s="2556"/>
    </row>
    <row r="32" spans="1:9">
      <c r="A32" s="2555">
        <v>4</v>
      </c>
      <c r="B32" s="2556" t="s">
        <v>2528</v>
      </c>
      <c r="C32" s="2556">
        <f>C27*D32</f>
        <v>0</v>
      </c>
      <c r="D32" s="2558">
        <v>0.05</v>
      </c>
      <c r="E32" s="3458"/>
      <c r="F32" s="3458"/>
      <c r="G32" s="3458"/>
    </row>
    <row r="33" spans="1:7" hidden="1">
      <c r="A33" s="3468" t="s">
        <v>2529</v>
      </c>
      <c r="B33" s="3469"/>
      <c r="C33" s="3469"/>
      <c r="D33" s="3470"/>
      <c r="E33" s="3466"/>
      <c r="F33" s="3466"/>
      <c r="G33" s="3466"/>
    </row>
    <row r="34" spans="1:7" hidden="1">
      <c r="A34" s="2559">
        <v>1</v>
      </c>
      <c r="B34" s="2556" t="s">
        <v>2530</v>
      </c>
      <c r="C34" s="2556"/>
      <c r="D34" s="2556"/>
      <c r="E34" s="3467"/>
      <c r="F34" s="3467"/>
      <c r="G34" s="3467"/>
    </row>
    <row r="35" spans="1:7" hidden="1">
      <c r="A35" s="2559">
        <v>2</v>
      </c>
      <c r="B35" s="2556" t="s">
        <v>2531</v>
      </c>
      <c r="C35" s="2556"/>
      <c r="D35" s="2556"/>
      <c r="E35" s="3467"/>
      <c r="F35" s="3467"/>
      <c r="G35" s="3467"/>
    </row>
    <row r="36" spans="1:7" hidden="1">
      <c r="A36" s="2559">
        <v>3</v>
      </c>
      <c r="B36" s="2556" t="s">
        <v>2532</v>
      </c>
      <c r="C36" s="2556"/>
      <c r="D36" s="2556"/>
      <c r="E36" s="3467"/>
      <c r="F36" s="3467"/>
      <c r="G36" s="3467"/>
    </row>
    <row r="37" spans="1:7" hidden="1">
      <c r="A37" s="2559">
        <v>4</v>
      </c>
      <c r="B37" s="2556" t="s">
        <v>2533</v>
      </c>
      <c r="C37" s="2556"/>
      <c r="D37" s="2556"/>
      <c r="E37" s="3467"/>
      <c r="F37" s="3467"/>
      <c r="G37" s="3467"/>
    </row>
    <row r="38" spans="1:7" hidden="1">
      <c r="A38" s="3468" t="s">
        <v>2534</v>
      </c>
      <c r="B38" s="3469"/>
      <c r="C38" s="3469"/>
      <c r="D38" s="3470"/>
      <c r="E38" s="3466"/>
      <c r="F38" s="3466"/>
      <c r="G38" s="34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603</v>
      </c>
      <c r="B1" s="742"/>
      <c r="C1" s="2182"/>
      <c r="D1" s="2182"/>
      <c r="E1" s="2182"/>
      <c r="F1" s="2182"/>
      <c r="G1" s="2108"/>
    </row>
    <row r="2" spans="1:25" s="2059" customFormat="1" ht="18" customHeight="1">
      <c r="A2" s="425" t="s">
        <v>466</v>
      </c>
      <c r="B2" s="427">
        <f ca="1">C23</f>
        <v>0</v>
      </c>
      <c r="C2" s="2108"/>
      <c r="D2" s="2108"/>
      <c r="E2" s="2108"/>
      <c r="F2" s="2108"/>
      <c r="G2" s="2108"/>
    </row>
    <row r="3" spans="1:25" s="2059" customFormat="1" ht="18" customHeight="1">
      <c r="A3" s="1378" t="s">
        <v>1685</v>
      </c>
      <c r="B3" s="427">
        <f ca="1">ROUND(B2*10000/'数据-汇总表'!E3,0)</f>
        <v>0</v>
      </c>
      <c r="C3" s="2108"/>
      <c r="D3" s="2108"/>
      <c r="E3" s="2108"/>
      <c r="F3" s="2108"/>
      <c r="G3" s="2108"/>
    </row>
    <row r="4" spans="1:25" s="2059" customFormat="1" ht="18" customHeight="1">
      <c r="A4" s="428" t="s">
        <v>467</v>
      </c>
      <c r="B4" s="429">
        <f ca="1">ROUND(B2*10000/'数据-汇总表'!D3,0)</f>
        <v>0</v>
      </c>
      <c r="C4" s="2061"/>
      <c r="D4" s="2108"/>
      <c r="E4" s="2108"/>
      <c r="F4" s="2108"/>
      <c r="G4" s="2108"/>
    </row>
    <row r="5" spans="1:25" s="2059" customFormat="1" ht="18" customHeight="1" thickBot="1">
      <c r="A5" s="431"/>
      <c r="B5" s="432">
        <f ca="1">ROUND(B2/('数据-汇总表'!D3/666.67),0)</f>
        <v>0</v>
      </c>
      <c r="C5" s="433" t="s">
        <v>468</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613</v>
      </c>
      <c r="C10" s="749">
        <f>C11+C14+C15</f>
        <v>0</v>
      </c>
      <c r="D10" s="760">
        <f>'数据-汇总表'!E3</f>
        <v>231926.37</v>
      </c>
      <c r="E10" s="749">
        <f>'数据-取费表'!B31</f>
        <v>70</v>
      </c>
      <c r="F10" s="761"/>
      <c r="G10" s="759" t="s">
        <v>614</v>
      </c>
    </row>
    <row r="11" spans="1:25" s="2183" customFormat="1" ht="13.5" customHeight="1">
      <c r="A11" s="2493" t="s">
        <v>2441</v>
      </c>
      <c r="B11" s="752" t="s">
        <v>610</v>
      </c>
      <c r="C11" s="753">
        <f>'数据-取费表'!B29</f>
        <v>0</v>
      </c>
      <c r="D11" s="754"/>
      <c r="E11" s="753"/>
      <c r="F11" s="755"/>
      <c r="G11" s="2502" t="s">
        <v>2452</v>
      </c>
    </row>
    <row r="12" spans="1:25" s="2183" customFormat="1" ht="13.5" customHeight="1">
      <c r="A12" s="2500" t="s">
        <v>2449</v>
      </c>
      <c r="B12" s="756" t="s">
        <v>611</v>
      </c>
      <c r="C12" s="757">
        <f>ROUND(D12*E12/10000,0)</f>
        <v>3037</v>
      </c>
      <c r="D12" s="758">
        <f>'数据-汇总表'!E5</f>
        <v>224968.58</v>
      </c>
      <c r="E12" s="757">
        <f>'数据-取费表'!B27</f>
        <v>135</v>
      </c>
      <c r="F12" s="755"/>
      <c r="G12" s="759"/>
    </row>
    <row r="13" spans="1:25" s="2183" customFormat="1" ht="13.5" customHeight="1">
      <c r="A13" s="2500" t="s">
        <v>2448</v>
      </c>
      <c r="B13" s="756" t="s">
        <v>612</v>
      </c>
      <c r="C13" s="757">
        <f>ROUND(D13*E13/10000,0)</f>
        <v>94</v>
      </c>
      <c r="D13" s="758">
        <f>'数据-汇总表'!E6</f>
        <v>6957.7900000000081</v>
      </c>
      <c r="E13" s="757">
        <f>'数据-取费表'!B28</f>
        <v>135</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615</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0.1</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0.95099999999999996</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756</v>
      </c>
      <c r="C1" s="506" t="s">
        <v>720</v>
      </c>
      <c r="D1" s="2370"/>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519</v>
      </c>
      <c r="B3" s="512"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30"/>
    </row>
    <row r="4" spans="1:29" ht="15">
      <c r="A4" s="514" t="s">
        <v>521</v>
      </c>
      <c r="B4" s="515"/>
      <c r="C4" s="3360" t="s">
        <v>522</v>
      </c>
      <c r="D4" s="3361"/>
      <c r="E4" s="3394" t="s">
        <v>523</v>
      </c>
      <c r="F4" s="3395"/>
      <c r="G4" s="3360" t="s">
        <v>524</v>
      </c>
      <c r="H4" s="3361"/>
      <c r="I4" s="3360" t="s">
        <v>525</v>
      </c>
      <c r="J4" s="3361"/>
      <c r="K4" s="516" t="s">
        <v>526</v>
      </c>
      <c r="L4" s="2133"/>
      <c r="M4" s="2134"/>
      <c r="N4" s="2134"/>
      <c r="O4" s="2134"/>
      <c r="P4" s="3362" t="s">
        <v>527</v>
      </c>
      <c r="Q4" s="3363"/>
      <c r="R4" s="3368" t="s">
        <v>523</v>
      </c>
      <c r="S4" s="3369"/>
      <c r="T4" s="3368" t="s">
        <v>524</v>
      </c>
      <c r="U4" s="3369"/>
      <c r="V4" s="3355" t="s">
        <v>525</v>
      </c>
      <c r="W4" s="3355"/>
      <c r="X4" s="1566"/>
      <c r="Y4" s="3368" t="s">
        <v>527</v>
      </c>
      <c r="Z4" s="3369"/>
      <c r="AA4" s="3357" t="s">
        <v>523</v>
      </c>
      <c r="AB4" s="3355" t="s">
        <v>524</v>
      </c>
      <c r="AC4" s="3357" t="s">
        <v>525</v>
      </c>
    </row>
    <row r="5" spans="1:29" ht="15">
      <c r="A5" s="517"/>
      <c r="B5" s="518"/>
      <c r="C5" s="3376" t="s">
        <v>2929</v>
      </c>
      <c r="D5" s="3377"/>
      <c r="E5" s="3396" t="s">
        <v>2930</v>
      </c>
      <c r="F5" s="3397"/>
      <c r="G5" s="3376" t="s">
        <v>2931</v>
      </c>
      <c r="H5" s="3377"/>
      <c r="I5" s="3376" t="s">
        <v>2932</v>
      </c>
      <c r="J5" s="3377"/>
      <c r="K5" s="516"/>
      <c r="L5" s="2133"/>
      <c r="M5" s="2134"/>
      <c r="N5" s="2134"/>
      <c r="O5" s="2134"/>
      <c r="P5" s="3364"/>
      <c r="Q5" s="3365"/>
      <c r="R5" s="3370"/>
      <c r="S5" s="3371"/>
      <c r="T5" s="3370"/>
      <c r="U5" s="3371"/>
      <c r="V5" s="3355"/>
      <c r="W5" s="3355"/>
      <c r="X5" s="1566"/>
      <c r="Y5" s="3370"/>
      <c r="Z5" s="3371"/>
      <c r="AA5" s="3358"/>
      <c r="AB5" s="3355"/>
      <c r="AC5" s="3358"/>
    </row>
    <row r="6" spans="1:29" ht="15.75" thickBot="1">
      <c r="A6" s="519"/>
      <c r="B6" s="520"/>
      <c r="C6" s="3374" t="s">
        <v>2933</v>
      </c>
      <c r="D6" s="3375"/>
      <c r="E6" s="3392" t="s">
        <v>2933</v>
      </c>
      <c r="F6" s="3393"/>
      <c r="G6" s="3374" t="s">
        <v>2933</v>
      </c>
      <c r="H6" s="3375"/>
      <c r="I6" s="3374" t="s">
        <v>2933</v>
      </c>
      <c r="J6" s="3375"/>
      <c r="K6" s="516" t="s">
        <v>528</v>
      </c>
      <c r="L6" s="2133"/>
      <c r="M6" s="2134"/>
      <c r="N6" s="2134"/>
      <c r="O6" s="2134"/>
      <c r="P6" s="3366"/>
      <c r="Q6" s="3367"/>
      <c r="R6" s="3370"/>
      <c r="S6" s="3371"/>
      <c r="T6" s="3372"/>
      <c r="U6" s="3373"/>
      <c r="V6" s="3355"/>
      <c r="W6" s="3355"/>
      <c r="X6" s="1566"/>
      <c r="Y6" s="3372"/>
      <c r="Z6" s="3373"/>
      <c r="AA6" s="3359"/>
      <c r="AB6" s="3355"/>
      <c r="AC6" s="3359"/>
    </row>
    <row r="7" spans="1:29" s="1219" customFormat="1" ht="15.75" thickBot="1">
      <c r="A7" s="2938"/>
      <c r="B7" s="2945" t="s">
        <v>529</v>
      </c>
      <c r="C7" s="521">
        <f>'数据-取费表'!B2</f>
        <v>43076</v>
      </c>
      <c r="D7" s="522">
        <v>100</v>
      </c>
      <c r="E7" s="523"/>
      <c r="F7" s="524">
        <f>SUMIF(58:58,YEAR(E7)&amp;"-"&amp;MONTH(E7),59:59)</f>
        <v>0</v>
      </c>
      <c r="G7" s="523"/>
      <c r="H7" s="522">
        <f>SUMIF(58:58,YEAR(G7)&amp;"-"&amp;MONTH(G7),59:59)</f>
        <v>0</v>
      </c>
      <c r="I7" s="523"/>
      <c r="J7" s="522">
        <f>SUMIF(58:58,YEAR(I7)&amp;"-"&amp;MONTH(I7),59:59)</f>
        <v>0</v>
      </c>
      <c r="K7" s="526"/>
      <c r="L7" s="2135"/>
      <c r="M7" s="2136"/>
      <c r="N7" s="2136"/>
      <c r="O7" s="2136"/>
      <c r="P7" s="3385" t="s">
        <v>530</v>
      </c>
      <c r="Q7" s="3387"/>
      <c r="R7" s="1567" t="s">
        <v>8</v>
      </c>
      <c r="S7" s="1568">
        <f t="shared" ref="S7:S15" si="0">F7</f>
        <v>0</v>
      </c>
      <c r="T7" s="1567" t="s">
        <v>8</v>
      </c>
      <c r="U7" s="1568">
        <f t="shared" ref="U7:U15" si="1">H7</f>
        <v>0</v>
      </c>
      <c r="V7" s="1567" t="s">
        <v>8</v>
      </c>
      <c r="W7" s="1568">
        <f t="shared" ref="W7:W15" si="2">J7</f>
        <v>0</v>
      </c>
      <c r="X7" s="1569"/>
      <c r="Y7" s="3385" t="s">
        <v>530</v>
      </c>
      <c r="Z7" s="3386"/>
      <c r="AA7" s="1570" t="e">
        <f>D7/F7</f>
        <v>#DIV/0!</v>
      </c>
      <c r="AB7" s="1570" t="e">
        <f>D7/H7</f>
        <v>#DIV/0!</v>
      </c>
      <c r="AC7" s="1570" t="e">
        <f>D7/J7</f>
        <v>#DIV/0!</v>
      </c>
    </row>
    <row r="8" spans="1:29" s="1219" customFormat="1" ht="15.75" thickBot="1">
      <c r="A8" s="2939"/>
      <c r="B8" s="2946" t="s">
        <v>531</v>
      </c>
      <c r="C8" s="527" t="s">
        <v>576</v>
      </c>
      <c r="D8" s="522">
        <v>100</v>
      </c>
      <c r="E8" s="527"/>
      <c r="F8" s="524">
        <f>SUMIF(61:61,E8,62:62)-SUMIF(61:61,C8,62:62)+100</f>
        <v>0</v>
      </c>
      <c r="G8" s="527"/>
      <c r="H8" s="522">
        <f>SUMIF(61:61,G8,62:62)-SUMIF(61:61,C8,62:62)+100</f>
        <v>0</v>
      </c>
      <c r="I8" s="527"/>
      <c r="J8" s="522">
        <f>SUMIF(61:61,I8,62:62)-SUMIF(61:61,C8,62:62)+100</f>
        <v>0</v>
      </c>
      <c r="K8" s="526"/>
      <c r="L8" s="2135"/>
      <c r="M8" s="2136"/>
      <c r="N8" s="2136"/>
      <c r="O8" s="2136"/>
      <c r="P8" s="3385" t="s">
        <v>533</v>
      </c>
      <c r="Q8" s="3386"/>
      <c r="R8" s="1567" t="s">
        <v>8</v>
      </c>
      <c r="S8" s="1568">
        <f t="shared" si="0"/>
        <v>0</v>
      </c>
      <c r="T8" s="1567" t="s">
        <v>8</v>
      </c>
      <c r="U8" s="1568">
        <f t="shared" si="1"/>
        <v>0</v>
      </c>
      <c r="V8" s="1567" t="s">
        <v>8</v>
      </c>
      <c r="W8" s="1568">
        <f t="shared" si="2"/>
        <v>0</v>
      </c>
      <c r="X8" s="1569"/>
      <c r="Y8" s="3385" t="s">
        <v>533</v>
      </c>
      <c r="Z8" s="3386"/>
      <c r="AA8" s="1570" t="e">
        <f t="shared" ref="AA8:AA46" si="3">D8/F8</f>
        <v>#DIV/0!</v>
      </c>
      <c r="AB8" s="1570" t="e">
        <f t="shared" ref="AB8:AB46" si="4">D8/H8</f>
        <v>#DIV/0!</v>
      </c>
      <c r="AC8" s="1570" t="e">
        <f t="shared" ref="AC8:AC46" si="5">D8/J8</f>
        <v>#DIV/0!</v>
      </c>
    </row>
    <row r="9" spans="1:29" s="1219" customFormat="1" ht="15">
      <c r="A9" s="2940"/>
      <c r="B9" s="2947" t="s">
        <v>2761</v>
      </c>
      <c r="C9" s="857"/>
      <c r="D9" s="253">
        <v>100</v>
      </c>
      <c r="E9" s="860"/>
      <c r="F9" s="253">
        <f>SUMIF(63:63,E9,64:64)-SUMIF(63:63,C9,64:64)+100</f>
        <v>100</v>
      </c>
      <c r="G9" s="858"/>
      <c r="H9" s="253">
        <f>SUMIF(63:63,G9,64:64)-SUMIF(63:63,C9,64:64)+100</f>
        <v>100</v>
      </c>
      <c r="I9" s="858"/>
      <c r="J9" s="253">
        <f>SUMIF(63:63,I9,64:64)-SUMIF(63:63,C9,64:64)+100</f>
        <v>100</v>
      </c>
      <c r="K9" s="526"/>
      <c r="L9" s="2135"/>
      <c r="M9" s="2136"/>
      <c r="N9" s="2136"/>
      <c r="O9" s="2137"/>
      <c r="P9" s="3354" t="s">
        <v>535</v>
      </c>
      <c r="Q9" s="1150" t="str">
        <f t="shared" ref="Q9:Q15" si="6">B9</f>
        <v>用途</v>
      </c>
      <c r="R9" s="1567" t="s">
        <v>8</v>
      </c>
      <c r="S9" s="1568">
        <f t="shared" si="0"/>
        <v>100</v>
      </c>
      <c r="T9" s="1567" t="s">
        <v>8</v>
      </c>
      <c r="U9" s="1568">
        <f t="shared" si="1"/>
        <v>100</v>
      </c>
      <c r="V9" s="1567" t="s">
        <v>8</v>
      </c>
      <c r="W9" s="1568">
        <f t="shared" si="2"/>
        <v>100</v>
      </c>
      <c r="X9" s="1569"/>
      <c r="Y9" s="3300"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SUMIF(65:65,E10,66:66)-SUMIF(65:65,C10,66:66)+100</f>
        <v>100</v>
      </c>
      <c r="G10" s="862"/>
      <c r="H10" s="254">
        <f>SUMIF(65:65,G10,66:66)-SUMIF(65:65,C10,66:66)+100</f>
        <v>100</v>
      </c>
      <c r="I10" s="861"/>
      <c r="J10" s="254">
        <f>SUMIF(65:65,I10,66:66)-SUMIF(65:65,C10,66:66)+100</f>
        <v>100</v>
      </c>
      <c r="K10" s="584"/>
      <c r="L10" s="2138"/>
      <c r="M10" s="2178"/>
      <c r="N10" s="2178"/>
      <c r="O10" s="2139"/>
      <c r="P10" s="3354"/>
      <c r="Q10" s="1150" t="str">
        <f t="shared" si="6"/>
        <v>土地使用年限（年）</v>
      </c>
      <c r="R10" s="1567" t="s">
        <v>8</v>
      </c>
      <c r="S10" s="1568">
        <f t="shared" si="0"/>
        <v>100</v>
      </c>
      <c r="T10" s="1567" t="s">
        <v>8</v>
      </c>
      <c r="U10" s="1568">
        <f t="shared" si="1"/>
        <v>100</v>
      </c>
      <c r="V10" s="1567" t="s">
        <v>8</v>
      </c>
      <c r="W10" s="1568">
        <f t="shared" si="2"/>
        <v>100</v>
      </c>
      <c r="X10" s="1569"/>
      <c r="Y10" s="3300"/>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LOOKUP(E11,68:68,69:69)-LOOKUP(C11,68:68,69:69)+100</f>
        <v>#N/A</v>
      </c>
      <c r="G11" s="534"/>
      <c r="H11" s="254" t="e">
        <f>LOOKUP(G11,68:68,69:69)-LOOKUP(C11,68:68,69:69)+100</f>
        <v>#N/A</v>
      </c>
      <c r="I11" s="533"/>
      <c r="J11" s="254" t="e">
        <f>LOOKUP(I11,68:68,69:69)-LOOKUP(C11,68:68,69:69)+100</f>
        <v>#N/A</v>
      </c>
      <c r="K11" s="584"/>
      <c r="L11" s="2140"/>
      <c r="M11" s="2134"/>
      <c r="N11" s="2134"/>
      <c r="O11" s="2141"/>
      <c r="P11" s="3354"/>
      <c r="Q11" s="1150" t="str">
        <f t="shared" si="6"/>
        <v>容积率</v>
      </c>
      <c r="R11" s="1567" t="s">
        <v>8</v>
      </c>
      <c r="S11" s="1568" t="e">
        <f t="shared" si="0"/>
        <v>#N/A</v>
      </c>
      <c r="T11" s="1567" t="s">
        <v>8</v>
      </c>
      <c r="U11" s="1568" t="e">
        <f t="shared" si="1"/>
        <v>#N/A</v>
      </c>
      <c r="V11" s="1567" t="s">
        <v>8</v>
      </c>
      <c r="W11" s="1568" t="e">
        <f t="shared" si="2"/>
        <v>#N/A</v>
      </c>
      <c r="X11" s="1569"/>
      <c r="Y11" s="3300"/>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SUMIF(70:70,E12,71:71)-SUMIF(70:70,C12,71:71)+100</f>
        <v>100</v>
      </c>
      <c r="G12" s="911"/>
      <c r="H12" s="254">
        <f>SUMIF(70:70,G12,71:71)-SUMIF(70:70,C12,71:71)+100</f>
        <v>100</v>
      </c>
      <c r="I12" s="539"/>
      <c r="J12" s="254">
        <f>SUMIF(70:70,I12,71:71)-SUMIF(70:70,C12,71:71)+100</f>
        <v>100</v>
      </c>
      <c r="K12" s="581"/>
      <c r="L12" s="2135"/>
      <c r="M12" s="2136"/>
      <c r="N12" s="2136"/>
      <c r="O12" s="2137"/>
      <c r="P12" s="3354"/>
      <c r="Q12" s="1150">
        <f t="shared" si="6"/>
        <v>111</v>
      </c>
      <c r="R12" s="1567" t="s">
        <v>8</v>
      </c>
      <c r="S12" s="1568">
        <f t="shared" si="0"/>
        <v>100</v>
      </c>
      <c r="T12" s="1567" t="s">
        <v>8</v>
      </c>
      <c r="U12" s="1568">
        <f t="shared" si="1"/>
        <v>100</v>
      </c>
      <c r="V12" s="1567" t="s">
        <v>8</v>
      </c>
      <c r="W12" s="1568">
        <f t="shared" si="2"/>
        <v>100</v>
      </c>
      <c r="X12" s="1569"/>
      <c r="Y12" s="3300"/>
      <c r="Z12" s="1149">
        <f t="shared" si="7"/>
        <v>111</v>
      </c>
      <c r="AA12" s="1570">
        <f>D12/F12</f>
        <v>1</v>
      </c>
      <c r="AB12" s="1570">
        <f>D12/H12</f>
        <v>1</v>
      </c>
      <c r="AC12" s="1570">
        <f>D12/J12</f>
        <v>1</v>
      </c>
    </row>
    <row r="13" spans="1:29" ht="15">
      <c r="A13" s="2943"/>
      <c r="B13" s="2949">
        <v>111</v>
      </c>
      <c r="C13" s="539"/>
      <c r="D13" s="540">
        <v>100</v>
      </c>
      <c r="E13" s="539"/>
      <c r="F13" s="254">
        <f>SUMIF(72:72,E13,73:73)-SUMIF(72:72,C13,73:73)+100</f>
        <v>100</v>
      </c>
      <c r="G13" s="911"/>
      <c r="H13" s="540">
        <f>SUMIF(72:72,G13,73:73)-SUMIF(72:72,C13,73:73)+100</f>
        <v>100</v>
      </c>
      <c r="I13" s="539"/>
      <c r="J13" s="540">
        <f>SUMIF(72:72,I13,73:73)-SUMIF(72:72,C13,73:73)+100</f>
        <v>100</v>
      </c>
      <c r="K13" s="581"/>
      <c r="L13" s="2142"/>
      <c r="M13" s="2134"/>
      <c r="N13" s="2134"/>
      <c r="O13" s="2141"/>
      <c r="P13" s="3354"/>
      <c r="Q13" s="1150">
        <f t="shared" si="6"/>
        <v>111</v>
      </c>
      <c r="R13" s="1567" t="s">
        <v>8</v>
      </c>
      <c r="S13" s="1568">
        <f t="shared" si="0"/>
        <v>100</v>
      </c>
      <c r="T13" s="1567" t="s">
        <v>8</v>
      </c>
      <c r="U13" s="1568">
        <f t="shared" si="1"/>
        <v>100</v>
      </c>
      <c r="V13" s="1567" t="s">
        <v>8</v>
      </c>
      <c r="W13" s="1568">
        <f t="shared" si="2"/>
        <v>100</v>
      </c>
      <c r="X13" s="1569"/>
      <c r="Y13" s="3300"/>
      <c r="Z13" s="1149">
        <f t="shared" si="7"/>
        <v>111</v>
      </c>
      <c r="AA13" s="1570">
        <f t="shared" si="3"/>
        <v>1</v>
      </c>
      <c r="AB13" s="1570">
        <f t="shared" si="4"/>
        <v>1</v>
      </c>
      <c r="AC13" s="1570">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54"/>
      <c r="Q14" s="1150">
        <f t="shared" si="6"/>
        <v>111</v>
      </c>
      <c r="R14" s="1567" t="s">
        <v>8</v>
      </c>
      <c r="S14" s="1568">
        <f t="shared" si="0"/>
        <v>100</v>
      </c>
      <c r="T14" s="1567" t="s">
        <v>8</v>
      </c>
      <c r="U14" s="1568">
        <f t="shared" si="1"/>
        <v>100</v>
      </c>
      <c r="V14" s="1567" t="s">
        <v>8</v>
      </c>
      <c r="W14" s="1568">
        <f t="shared" si="2"/>
        <v>100</v>
      </c>
      <c r="X14" s="1569"/>
      <c r="Y14" s="3300"/>
      <c r="Z14" s="1149">
        <f t="shared" si="7"/>
        <v>111</v>
      </c>
      <c r="AA14" s="1570">
        <f t="shared" si="3"/>
        <v>1</v>
      </c>
      <c r="AB14" s="1570">
        <f t="shared" si="4"/>
        <v>1</v>
      </c>
      <c r="AC14" s="1570">
        <f t="shared" si="5"/>
        <v>1</v>
      </c>
    </row>
    <row r="15" spans="1:29" ht="71.25">
      <c r="A15" s="2936" t="s">
        <v>2759</v>
      </c>
      <c r="B15" s="166" t="s">
        <v>541</v>
      </c>
      <c r="C15" s="867" t="str">
        <f>估价对象房地状况!C4</f>
        <v>估价对象周边商业氛围成熟度较差，人流量一般，，商业繁华度较差</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388" t="s">
        <v>540</v>
      </c>
      <c r="Q15" s="1571" t="str">
        <f t="shared" si="6"/>
        <v>商业繁华度</v>
      </c>
      <c r="R15" s="1572" t="s">
        <v>8</v>
      </c>
      <c r="S15" s="1573">
        <f t="shared" si="0"/>
        <v>100</v>
      </c>
      <c r="T15" s="1572" t="s">
        <v>8</v>
      </c>
      <c r="U15" s="1573">
        <f t="shared" si="1"/>
        <v>100</v>
      </c>
      <c r="V15" s="1572" t="s">
        <v>8</v>
      </c>
      <c r="W15" s="1573">
        <f t="shared" si="2"/>
        <v>100</v>
      </c>
      <c r="X15" s="1566"/>
      <c r="Y15" s="3388"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89"/>
      <c r="Q16" s="1571"/>
      <c r="R16" s="1572"/>
      <c r="S16" s="1573"/>
      <c r="T16" s="1572"/>
      <c r="U16" s="1573"/>
      <c r="V16" s="1572"/>
      <c r="W16" s="1573"/>
      <c r="X16" s="1566"/>
      <c r="Y16" s="3389"/>
      <c r="Z16" s="1574"/>
      <c r="AA16" s="1575">
        <v>1</v>
      </c>
      <c r="AB16" s="1575">
        <v>1</v>
      </c>
      <c r="AC16" s="1575">
        <v>1</v>
      </c>
    </row>
    <row r="17" spans="1:29" ht="114">
      <c r="A17" s="532"/>
      <c r="B17" s="871" t="s">
        <v>295</v>
      </c>
      <c r="C17" s="872" t="str">
        <f>估价对象房地状况!C6</f>
        <v>估价对象周边1公里有357、355路等公交车经过，公共交通通达情况一般、停车便捷程度较好，综合评价交通便捷度较差</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389"/>
      <c r="Q17" s="1571" t="str">
        <f>B17</f>
        <v>交通便捷度</v>
      </c>
      <c r="R17" s="1572" t="s">
        <v>8</v>
      </c>
      <c r="S17" s="1573">
        <f>F17</f>
        <v>100</v>
      </c>
      <c r="T17" s="1572" t="s">
        <v>8</v>
      </c>
      <c r="U17" s="1573">
        <f>H17</f>
        <v>100</v>
      </c>
      <c r="V17" s="1572" t="s">
        <v>8</v>
      </c>
      <c r="W17" s="1573">
        <f>J17</f>
        <v>100</v>
      </c>
      <c r="X17" s="1566"/>
      <c r="Y17" s="338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89"/>
      <c r="Q18" s="1571"/>
      <c r="R18" s="1572"/>
      <c r="S18" s="1573"/>
      <c r="T18" s="1572"/>
      <c r="U18" s="1573"/>
      <c r="V18" s="1572"/>
      <c r="W18" s="1573"/>
      <c r="X18" s="1566"/>
      <c r="Y18" s="3389"/>
      <c r="Z18" s="1574"/>
      <c r="AA18" s="1575">
        <v>1</v>
      </c>
      <c r="AB18" s="1575">
        <v>1</v>
      </c>
      <c r="AC18" s="1575">
        <v>1</v>
      </c>
    </row>
    <row r="19" spans="1:29" ht="42.75">
      <c r="A19" s="532"/>
      <c r="B19" s="2624" t="s">
        <v>2549</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389"/>
      <c r="Q19" s="1571" t="str">
        <f>B19</f>
        <v>公共配套设施</v>
      </c>
      <c r="R19" s="1572" t="s">
        <v>8</v>
      </c>
      <c r="S19" s="1573">
        <f>F19</f>
        <v>100</v>
      </c>
      <c r="T19" s="1572" t="s">
        <v>8</v>
      </c>
      <c r="U19" s="1573">
        <f>H19</f>
        <v>100</v>
      </c>
      <c r="V19" s="1572" t="s">
        <v>8</v>
      </c>
      <c r="W19" s="1573">
        <f>J19</f>
        <v>100</v>
      </c>
      <c r="X19" s="1566"/>
      <c r="Y19" s="3389"/>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389"/>
      <c r="Q20" s="1571"/>
      <c r="R20" s="1572"/>
      <c r="S20" s="1573"/>
      <c r="T20" s="1572"/>
      <c r="U20" s="1573"/>
      <c r="V20" s="1572"/>
      <c r="W20" s="1573"/>
      <c r="X20" s="1566"/>
      <c r="Y20" s="3389"/>
      <c r="Z20" s="1574"/>
      <c r="AA20" s="1575">
        <v>1</v>
      </c>
      <c r="AB20" s="1575">
        <v>1</v>
      </c>
      <c r="AC20" s="1575">
        <v>1</v>
      </c>
    </row>
    <row r="21" spans="1:29" ht="42.7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389"/>
      <c r="Q21" s="2603" t="str">
        <f>B21</f>
        <v>基础设施水平</v>
      </c>
      <c r="R21" s="1572" t="s">
        <v>8</v>
      </c>
      <c r="S21" s="1573">
        <f>F21</f>
        <v>100</v>
      </c>
      <c r="T21" s="1572" t="s">
        <v>8</v>
      </c>
      <c r="U21" s="1573">
        <f>H21</f>
        <v>100</v>
      </c>
      <c r="V21" s="1572" t="s">
        <v>8</v>
      </c>
      <c r="W21" s="1573">
        <f>J21</f>
        <v>100</v>
      </c>
      <c r="X21" s="2605"/>
      <c r="Y21" s="3389"/>
      <c r="Z21" s="2604"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26"/>
      <c r="L22" s="2142"/>
      <c r="M22" s="2134"/>
      <c r="N22" s="2134"/>
      <c r="O22" s="2141"/>
      <c r="P22" s="3389"/>
      <c r="Q22" s="2603"/>
      <c r="R22" s="1572"/>
      <c r="S22" s="1573"/>
      <c r="T22" s="1572"/>
      <c r="U22" s="1573"/>
      <c r="V22" s="1572"/>
      <c r="W22" s="1573"/>
      <c r="X22" s="2605"/>
      <c r="Y22" s="3389"/>
      <c r="Z22" s="2604"/>
      <c r="AA22" s="1575">
        <v>1</v>
      </c>
      <c r="AB22" s="1575">
        <v>1</v>
      </c>
      <c r="AC22" s="1575">
        <v>1</v>
      </c>
    </row>
    <row r="23" spans="1:29" ht="57">
      <c r="A23" s="532"/>
      <c r="B23" s="871" t="s">
        <v>296</v>
      </c>
      <c r="C23" s="899" t="str">
        <f>估价对象房地状况!C9</f>
        <v>周边2公里内有长沙医学院、观音岩水库，区域自然环境较好</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389"/>
      <c r="Q23" s="1571" t="str">
        <f>B23</f>
        <v>自然及人文环境</v>
      </c>
      <c r="R23" s="1572" t="s">
        <v>8</v>
      </c>
      <c r="S23" s="1573">
        <f>F23</f>
        <v>100</v>
      </c>
      <c r="T23" s="1572" t="s">
        <v>8</v>
      </c>
      <c r="U23" s="1573">
        <f>H23</f>
        <v>100</v>
      </c>
      <c r="V23" s="1572" t="s">
        <v>8</v>
      </c>
      <c r="W23" s="1573">
        <f>J23</f>
        <v>100</v>
      </c>
      <c r="X23" s="1566"/>
      <c r="Y23" s="3389"/>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389"/>
      <c r="Q24" s="1571"/>
      <c r="R24" s="1572"/>
      <c r="S24" s="1573"/>
      <c r="T24" s="1572"/>
      <c r="U24" s="1573"/>
      <c r="V24" s="1572"/>
      <c r="W24" s="1573"/>
      <c r="X24" s="1566"/>
      <c r="Y24" s="3389"/>
      <c r="Z24" s="1574"/>
      <c r="AA24" s="1575">
        <v>1</v>
      </c>
      <c r="AB24" s="1575">
        <v>1</v>
      </c>
      <c r="AC24" s="1575">
        <v>1</v>
      </c>
    </row>
    <row r="25" spans="1:29" ht="15">
      <c r="A25" s="532"/>
      <c r="B25" s="529"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9"/>
      <c r="Q25" s="1571" t="str">
        <f t="shared" ref="Q25:Q46" si="11">B25</f>
        <v>临街状况</v>
      </c>
      <c r="R25" s="1572" t="s">
        <v>8</v>
      </c>
      <c r="S25" s="1573">
        <f>F25</f>
        <v>100</v>
      </c>
      <c r="T25" s="1572" t="s">
        <v>8</v>
      </c>
      <c r="U25" s="1573">
        <f>H25</f>
        <v>100</v>
      </c>
      <c r="V25" s="1572" t="s">
        <v>8</v>
      </c>
      <c r="W25" s="1573">
        <f>J25</f>
        <v>100</v>
      </c>
      <c r="X25" s="1566"/>
      <c r="Y25" s="3389"/>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9"/>
      <c r="Q26" s="1571" t="str">
        <f t="shared" si="11"/>
        <v>平面位置/可视性</v>
      </c>
      <c r="R26" s="1572" t="s">
        <v>8</v>
      </c>
      <c r="S26" s="1573">
        <f>F26</f>
        <v>100</v>
      </c>
      <c r="T26" s="1572" t="s">
        <v>8</v>
      </c>
      <c r="U26" s="1573">
        <f>H26</f>
        <v>100</v>
      </c>
      <c r="V26" s="1572" t="s">
        <v>8</v>
      </c>
      <c r="W26" s="1573">
        <f>J26</f>
        <v>100</v>
      </c>
      <c r="X26" s="1566"/>
      <c r="Y26" s="3389"/>
      <c r="Z26" s="1574" t="str">
        <f>Q26</f>
        <v>平面位置/可视性</v>
      </c>
      <c r="AA26" s="1575">
        <f t="shared" si="3"/>
        <v>1</v>
      </c>
      <c r="AB26" s="1575">
        <f t="shared" si="4"/>
        <v>1</v>
      </c>
      <c r="AC26" s="1575">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389"/>
      <c r="Q27" s="1150" t="str">
        <f t="shared" si="11"/>
        <v>人流量</v>
      </c>
      <c r="R27" s="1567" t="s">
        <v>8</v>
      </c>
      <c r="S27" s="1568">
        <f>F27</f>
        <v>100</v>
      </c>
      <c r="T27" s="1567" t="s">
        <v>8</v>
      </c>
      <c r="U27" s="1568">
        <f>H27</f>
        <v>100</v>
      </c>
      <c r="V27" s="1567" t="s">
        <v>8</v>
      </c>
      <c r="W27" s="1568">
        <f>J27</f>
        <v>100</v>
      </c>
      <c r="X27" s="1569"/>
      <c r="Y27" s="3389"/>
      <c r="Z27" s="1149" t="str">
        <f>Q27</f>
        <v>人流量</v>
      </c>
      <c r="AA27" s="1575">
        <f>D27/F27</f>
        <v>1</v>
      </c>
      <c r="AB27" s="1575">
        <f>D27/H27</f>
        <v>1</v>
      </c>
      <c r="AC27" s="1575">
        <f>D27/J27</f>
        <v>1</v>
      </c>
    </row>
    <row r="28" spans="1:29" ht="15">
      <c r="A28" s="532"/>
      <c r="B28" s="529"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9"/>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9"/>
      <c r="Q29" s="1571">
        <f t="shared" si="11"/>
        <v>111</v>
      </c>
      <c r="R29" s="1572" t="s">
        <v>8</v>
      </c>
      <c r="S29" s="1573">
        <f t="shared" si="12"/>
        <v>100</v>
      </c>
      <c r="T29" s="1572" t="s">
        <v>8</v>
      </c>
      <c r="U29" s="1573">
        <f t="shared" si="13"/>
        <v>100</v>
      </c>
      <c r="V29" s="1572" t="s">
        <v>8</v>
      </c>
      <c r="W29" s="1573">
        <f t="shared" si="14"/>
        <v>100</v>
      </c>
      <c r="X29" s="1566"/>
      <c r="Y29" s="338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9"/>
      <c r="Q30" s="1571">
        <f t="shared" si="11"/>
        <v>111</v>
      </c>
      <c r="R30" s="1572" t="s">
        <v>8</v>
      </c>
      <c r="S30" s="1573">
        <f t="shared" si="12"/>
        <v>100</v>
      </c>
      <c r="T30" s="1572" t="s">
        <v>8</v>
      </c>
      <c r="U30" s="1573">
        <f t="shared" si="13"/>
        <v>100</v>
      </c>
      <c r="V30" s="1572" t="s">
        <v>8</v>
      </c>
      <c r="W30" s="1573">
        <f t="shared" si="14"/>
        <v>100</v>
      </c>
      <c r="X30" s="1566"/>
      <c r="Y30" s="3389"/>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9"/>
      <c r="Q31" s="1571">
        <f t="shared" si="11"/>
        <v>111</v>
      </c>
      <c r="R31" s="1572" t="s">
        <v>8</v>
      </c>
      <c r="S31" s="1573">
        <f t="shared" si="12"/>
        <v>100</v>
      </c>
      <c r="T31" s="1572" t="s">
        <v>8</v>
      </c>
      <c r="U31" s="1573">
        <f t="shared" si="13"/>
        <v>100</v>
      </c>
      <c r="V31" s="1572" t="s">
        <v>8</v>
      </c>
      <c r="W31" s="1573">
        <f t="shared" si="14"/>
        <v>100</v>
      </c>
      <c r="X31" s="1566"/>
      <c r="Y31" s="3389"/>
      <c r="Z31" s="1574">
        <f t="shared" si="15"/>
        <v>111</v>
      </c>
      <c r="AA31" s="1575">
        <f t="shared" si="3"/>
        <v>1</v>
      </c>
      <c r="AB31" s="1575">
        <f t="shared" si="4"/>
        <v>1</v>
      </c>
      <c r="AC31" s="1575">
        <f t="shared" si="5"/>
        <v>1</v>
      </c>
    </row>
    <row r="32" spans="1:29" ht="15">
      <c r="A32" s="2933" t="s">
        <v>2760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0" t="s">
        <v>550</v>
      </c>
      <c r="Q32" s="1571" t="str">
        <f t="shared" si="11"/>
        <v>商业类型</v>
      </c>
      <c r="R32" s="1572" t="s">
        <v>8</v>
      </c>
      <c r="S32" s="1573">
        <f t="shared" si="12"/>
        <v>100</v>
      </c>
      <c r="T32" s="1572" t="s">
        <v>8</v>
      </c>
      <c r="U32" s="1573">
        <f t="shared" si="13"/>
        <v>100</v>
      </c>
      <c r="V32" s="1572" t="s">
        <v>8</v>
      </c>
      <c r="W32" s="1573">
        <f t="shared" si="14"/>
        <v>100</v>
      </c>
      <c r="X32" s="1566"/>
      <c r="Y32" s="3391" t="s">
        <v>550</v>
      </c>
      <c r="Z32" s="1574" t="str">
        <f t="shared" si="15"/>
        <v>商业类型</v>
      </c>
      <c r="AA32" s="1575">
        <f t="shared" si="3"/>
        <v>1</v>
      </c>
      <c r="AB32" s="1575">
        <f t="shared" si="4"/>
        <v>1</v>
      </c>
      <c r="AC32" s="1575">
        <f t="shared" si="5"/>
        <v>1</v>
      </c>
    </row>
    <row r="33" spans="1:29" s="1338" customFormat="1" ht="15">
      <c r="A33" s="603"/>
      <c r="B33" s="529" t="s">
        <v>726</v>
      </c>
      <c r="C33" s="879"/>
      <c r="D33" s="254">
        <v>100</v>
      </c>
      <c r="E33" s="534"/>
      <c r="F33" s="863" t="e">
        <f>LOOKUP(E33,103:103,104:104)-LOOKUP(C33,103:103,104:104)+100</f>
        <v>#N/A</v>
      </c>
      <c r="G33" s="533"/>
      <c r="H33" s="254" t="e">
        <f>LOOKUP(G33,103:103,104:104)-LOOKUP(C33,103:103,104:104)+100</f>
        <v>#N/A</v>
      </c>
      <c r="I33" s="533"/>
      <c r="J33" s="254" t="e">
        <f>LOOKUP(I33,103:103,104:104)-LOOKUP(C33,103:103,104:104)+100</f>
        <v>#N/A</v>
      </c>
      <c r="K33" s="581"/>
      <c r="L33" s="2140"/>
      <c r="M33" s="2171"/>
      <c r="N33" s="2171"/>
      <c r="O33" s="2143"/>
      <c r="P33" s="3391"/>
      <c r="Q33" s="1604" t="str">
        <f t="shared" si="11"/>
        <v>项目建筑规模</v>
      </c>
      <c r="R33" s="1576" t="s">
        <v>8</v>
      </c>
      <c r="S33" s="1577" t="e">
        <f t="shared" si="12"/>
        <v>#N/A</v>
      </c>
      <c r="T33" s="1576" t="s">
        <v>8</v>
      </c>
      <c r="U33" s="1577" t="e">
        <f t="shared" si="13"/>
        <v>#N/A</v>
      </c>
      <c r="V33" s="1576" t="s">
        <v>8</v>
      </c>
      <c r="W33" s="1577" t="e">
        <f t="shared" si="14"/>
        <v>#N/A</v>
      </c>
      <c r="X33" s="1578"/>
      <c r="Y33" s="3391"/>
      <c r="Z33" s="1579" t="str">
        <f t="shared" si="15"/>
        <v>项目建筑规模</v>
      </c>
      <c r="AA33" s="1575" t="e">
        <f t="shared" si="3"/>
        <v>#N/A</v>
      </c>
      <c r="AB33" s="1575" t="e">
        <f t="shared" si="4"/>
        <v>#N/A</v>
      </c>
      <c r="AC33" s="1575" t="e">
        <f t="shared" si="5"/>
        <v>#N/A</v>
      </c>
    </row>
    <row r="34" spans="1:29" ht="15">
      <c r="A34" s="594"/>
      <c r="B34" s="529"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391"/>
      <c r="Q34" s="1571" t="str">
        <f t="shared" si="11"/>
        <v>建筑结构</v>
      </c>
      <c r="R34" s="1572" t="s">
        <v>8</v>
      </c>
      <c r="S34" s="1573">
        <f t="shared" si="12"/>
        <v>100</v>
      </c>
      <c r="T34" s="1572" t="s">
        <v>8</v>
      </c>
      <c r="U34" s="1573">
        <f t="shared" si="13"/>
        <v>100</v>
      </c>
      <c r="V34" s="1572" t="s">
        <v>8</v>
      </c>
      <c r="W34" s="1573">
        <f t="shared" si="14"/>
        <v>100</v>
      </c>
      <c r="X34" s="1566"/>
      <c r="Y34" s="3391"/>
      <c r="Z34" s="1574" t="str">
        <f t="shared" si="15"/>
        <v>建筑结构</v>
      </c>
      <c r="AA34" s="1575">
        <f t="shared" si="3"/>
        <v>1</v>
      </c>
      <c r="AB34" s="1575">
        <f t="shared" si="4"/>
        <v>1</v>
      </c>
      <c r="AC34" s="1575">
        <f t="shared" si="5"/>
        <v>1</v>
      </c>
    </row>
    <row r="35" spans="1:29" ht="15">
      <c r="A35" s="594"/>
      <c r="B35" s="529"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1"/>
      <c r="Q35" s="1571" t="str">
        <f t="shared" si="11"/>
        <v>公共部分装修</v>
      </c>
      <c r="R35" s="1572" t="s">
        <v>8</v>
      </c>
      <c r="S35" s="1573">
        <f t="shared" si="12"/>
        <v>100</v>
      </c>
      <c r="T35" s="1572" t="s">
        <v>8</v>
      </c>
      <c r="U35" s="1573">
        <f t="shared" si="13"/>
        <v>100</v>
      </c>
      <c r="V35" s="1572" t="s">
        <v>8</v>
      </c>
      <c r="W35" s="1573">
        <f t="shared" si="14"/>
        <v>100</v>
      </c>
      <c r="X35" s="1566"/>
      <c r="Y35" s="3391"/>
      <c r="Z35" s="1574" t="str">
        <f t="shared" si="15"/>
        <v>公共部分装修</v>
      </c>
      <c r="AA35" s="1575">
        <f t="shared" si="3"/>
        <v>1</v>
      </c>
      <c r="AB35" s="1575">
        <f t="shared" si="4"/>
        <v>1</v>
      </c>
      <c r="AC35" s="1575">
        <f t="shared" si="5"/>
        <v>1</v>
      </c>
    </row>
    <row r="36" spans="1:29" ht="15">
      <c r="A36" s="594"/>
      <c r="B36" s="529"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391"/>
      <c r="Q36" s="1571" t="str">
        <f t="shared" si="11"/>
        <v>成新度</v>
      </c>
      <c r="R36" s="1572" t="s">
        <v>8</v>
      </c>
      <c r="S36" s="1573" t="e">
        <f t="shared" si="12"/>
        <v>#N/A</v>
      </c>
      <c r="T36" s="1572" t="s">
        <v>8</v>
      </c>
      <c r="U36" s="1573" t="e">
        <f t="shared" si="13"/>
        <v>#N/A</v>
      </c>
      <c r="V36" s="1572" t="s">
        <v>8</v>
      </c>
      <c r="W36" s="1573" t="e">
        <f t="shared" si="14"/>
        <v>#N/A</v>
      </c>
      <c r="X36" s="1566"/>
      <c r="Y36" s="3391"/>
      <c r="Z36" s="1574" t="str">
        <f t="shared" si="15"/>
        <v>成新度</v>
      </c>
      <c r="AA36" s="1575" t="e">
        <f t="shared" si="3"/>
        <v>#N/A</v>
      </c>
      <c r="AB36" s="1575" t="e">
        <f t="shared" si="4"/>
        <v>#N/A</v>
      </c>
      <c r="AC36" s="1575" t="e">
        <f t="shared" si="5"/>
        <v>#N/A</v>
      </c>
    </row>
    <row r="37" spans="1:29" s="1219" customFormat="1" ht="15">
      <c r="A37" s="600"/>
      <c r="B37" s="1895" t="s">
        <v>2568</v>
      </c>
      <c r="C37" s="599"/>
      <c r="D37" s="254">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1"/>
      <c r="Q37" s="1150" t="str">
        <f t="shared" si="11"/>
        <v>市政基础设施</v>
      </c>
      <c r="R37" s="1567" t="s">
        <v>8</v>
      </c>
      <c r="S37" s="1568">
        <f t="shared" si="12"/>
        <v>100</v>
      </c>
      <c r="T37" s="1567" t="s">
        <v>8</v>
      </c>
      <c r="U37" s="1568">
        <f t="shared" si="13"/>
        <v>100</v>
      </c>
      <c r="V37" s="1567" t="s">
        <v>8</v>
      </c>
      <c r="W37" s="1568">
        <f t="shared" si="14"/>
        <v>100</v>
      </c>
      <c r="X37" s="1569"/>
      <c r="Y37" s="3391"/>
      <c r="Z37" s="1149" t="str">
        <f t="shared" si="15"/>
        <v>市政基础设施</v>
      </c>
      <c r="AA37" s="1570">
        <f t="shared" si="3"/>
        <v>1</v>
      </c>
      <c r="AB37" s="1570">
        <f t="shared" si="4"/>
        <v>1</v>
      </c>
      <c r="AC37" s="1570">
        <f t="shared" si="5"/>
        <v>1</v>
      </c>
    </row>
    <row r="38" spans="1:29" ht="15">
      <c r="A38" s="594"/>
      <c r="B38" s="529"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1" t="s">
        <v>765</v>
      </c>
      <c r="Q38" s="1571" t="str">
        <f t="shared" si="11"/>
        <v>业态</v>
      </c>
      <c r="R38" s="1572" t="s">
        <v>8</v>
      </c>
      <c r="S38" s="1573">
        <f t="shared" si="12"/>
        <v>100</v>
      </c>
      <c r="T38" s="1572" t="s">
        <v>8</v>
      </c>
      <c r="U38" s="1573">
        <f t="shared" si="13"/>
        <v>100</v>
      </c>
      <c r="V38" s="1572" t="s">
        <v>8</v>
      </c>
      <c r="W38" s="1573">
        <f t="shared" si="14"/>
        <v>100</v>
      </c>
      <c r="X38" s="1566"/>
      <c r="Y38" s="3391" t="s">
        <v>765</v>
      </c>
      <c r="Z38" s="1574" t="str">
        <f t="shared" si="15"/>
        <v>业态</v>
      </c>
      <c r="AA38" s="1575">
        <f t="shared" si="3"/>
        <v>1</v>
      </c>
      <c r="AB38" s="1575">
        <f t="shared" si="4"/>
        <v>1</v>
      </c>
      <c r="AC38" s="1575">
        <f t="shared" si="5"/>
        <v>1</v>
      </c>
    </row>
    <row r="39" spans="1:29" ht="15">
      <c r="A39" s="594"/>
      <c r="B39" s="529"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1"/>
      <c r="Q39" s="1571" t="str">
        <f t="shared" si="11"/>
        <v>层高</v>
      </c>
      <c r="R39" s="1572" t="s">
        <v>8</v>
      </c>
      <c r="S39" s="1573">
        <f t="shared" si="12"/>
        <v>100</v>
      </c>
      <c r="T39" s="1572" t="s">
        <v>8</v>
      </c>
      <c r="U39" s="1573">
        <f t="shared" si="13"/>
        <v>100</v>
      </c>
      <c r="V39" s="1572" t="s">
        <v>8</v>
      </c>
      <c r="W39" s="1573">
        <f t="shared" si="14"/>
        <v>100</v>
      </c>
      <c r="X39" s="1566"/>
      <c r="Y39" s="3391"/>
      <c r="Z39" s="1574" t="str">
        <f t="shared" si="15"/>
        <v>层高</v>
      </c>
      <c r="AA39" s="1575">
        <f t="shared" si="3"/>
        <v>1</v>
      </c>
      <c r="AB39" s="1575">
        <f t="shared" si="4"/>
        <v>1</v>
      </c>
      <c r="AC39" s="1575">
        <f t="shared" si="5"/>
        <v>1</v>
      </c>
    </row>
    <row r="40" spans="1:29" ht="15">
      <c r="A40" s="594"/>
      <c r="B40" s="529"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391"/>
      <c r="Q40" s="1571" t="str">
        <f t="shared" si="11"/>
        <v>单套建筑面积</v>
      </c>
      <c r="R40" s="1572" t="s">
        <v>8</v>
      </c>
      <c r="S40" s="1573">
        <f t="shared" si="12"/>
        <v>100</v>
      </c>
      <c r="T40" s="1572" t="s">
        <v>8</v>
      </c>
      <c r="U40" s="1573">
        <f t="shared" si="13"/>
        <v>100</v>
      </c>
      <c r="V40" s="1572" t="s">
        <v>8</v>
      </c>
      <c r="W40" s="1573">
        <f t="shared" si="14"/>
        <v>100</v>
      </c>
      <c r="X40" s="1566"/>
      <c r="Y40" s="3391"/>
      <c r="Z40" s="1574" t="str">
        <f t="shared" si="15"/>
        <v>单套建筑面积</v>
      </c>
      <c r="AA40" s="1575">
        <f t="shared" si="3"/>
        <v>1</v>
      </c>
      <c r="AB40" s="1575">
        <f t="shared" si="4"/>
        <v>1</v>
      </c>
      <c r="AC40" s="1575">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1"/>
      <c r="Q41" s="1604" t="str">
        <f t="shared" si="11"/>
        <v>进深比</v>
      </c>
      <c r="R41" s="1576" t="s">
        <v>8</v>
      </c>
      <c r="S41" s="1577">
        <f t="shared" si="12"/>
        <v>100</v>
      </c>
      <c r="T41" s="1576" t="s">
        <v>8</v>
      </c>
      <c r="U41" s="1577">
        <f t="shared" si="13"/>
        <v>100</v>
      </c>
      <c r="V41" s="1576" t="s">
        <v>8</v>
      </c>
      <c r="W41" s="1577">
        <f t="shared" si="14"/>
        <v>100</v>
      </c>
      <c r="X41" s="1578"/>
      <c r="Y41" s="3391"/>
      <c r="Z41" s="1579" t="str">
        <f t="shared" si="15"/>
        <v>进深比</v>
      </c>
      <c r="AA41" s="1575">
        <f t="shared" si="3"/>
        <v>1</v>
      </c>
      <c r="AB41" s="1575">
        <f t="shared" si="4"/>
        <v>1</v>
      </c>
      <c r="AC41" s="1575">
        <f t="shared" si="5"/>
        <v>1</v>
      </c>
    </row>
    <row r="42" spans="1:29" ht="15">
      <c r="A42" s="594"/>
      <c r="B42" s="529"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1"/>
      <c r="Q42" s="1571" t="str">
        <f t="shared" si="11"/>
        <v>内部装修</v>
      </c>
      <c r="R42" s="1572" t="s">
        <v>8</v>
      </c>
      <c r="S42" s="1573">
        <f t="shared" si="12"/>
        <v>100</v>
      </c>
      <c r="T42" s="1572" t="s">
        <v>8</v>
      </c>
      <c r="U42" s="1573">
        <f t="shared" si="13"/>
        <v>100</v>
      </c>
      <c r="V42" s="1572" t="s">
        <v>8</v>
      </c>
      <c r="W42" s="1573">
        <f t="shared" si="14"/>
        <v>100</v>
      </c>
      <c r="X42" s="1566"/>
      <c r="Y42" s="3391"/>
      <c r="Z42" s="1574" t="str">
        <f t="shared" si="15"/>
        <v>内部装修</v>
      </c>
      <c r="AA42" s="1575">
        <f t="shared" si="3"/>
        <v>1</v>
      </c>
      <c r="AB42" s="1575">
        <f t="shared" si="4"/>
        <v>1</v>
      </c>
      <c r="AC42" s="1575">
        <f t="shared" si="5"/>
        <v>1</v>
      </c>
    </row>
    <row r="43" spans="1:29" ht="27">
      <c r="A43" s="594"/>
      <c r="B43" s="529"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1"/>
      <c r="Q43" s="1571" t="str">
        <f t="shared" si="11"/>
        <v>内部装修维护情况</v>
      </c>
      <c r="R43" s="1572" t="s">
        <v>8</v>
      </c>
      <c r="S43" s="1573">
        <f t="shared" si="12"/>
        <v>100</v>
      </c>
      <c r="T43" s="1572" t="s">
        <v>8</v>
      </c>
      <c r="U43" s="1573">
        <f t="shared" si="13"/>
        <v>100</v>
      </c>
      <c r="V43" s="1572" t="s">
        <v>8</v>
      </c>
      <c r="W43" s="1573">
        <f t="shared" si="14"/>
        <v>100</v>
      </c>
      <c r="X43" s="1566"/>
      <c r="Y43" s="3391"/>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539"/>
      <c r="F44" s="863">
        <f>SUMIF(126:126,E44,127:127)-SUMIF(126:126,C44,127:127)+100</f>
        <v>100</v>
      </c>
      <c r="G44" s="539"/>
      <c r="H44" s="254">
        <f>SUMIF(126:126,G44,127:127)-SUMIF(126:126,C44,127:127)+100</f>
        <v>100</v>
      </c>
      <c r="I44" s="539"/>
      <c r="J44" s="254">
        <f>SUMIF(126:126,I44,127:127)-SUMIF(126:126,C44,127:127)+100</f>
        <v>100</v>
      </c>
      <c r="K44" s="581"/>
      <c r="L44" s="2135"/>
      <c r="M44" s="2136"/>
      <c r="N44" s="2136"/>
      <c r="O44" s="2137"/>
      <c r="P44" s="3391"/>
      <c r="Q44" s="1150">
        <f t="shared" si="11"/>
        <v>111</v>
      </c>
      <c r="R44" s="1567" t="s">
        <v>8</v>
      </c>
      <c r="S44" s="1568">
        <f t="shared" si="12"/>
        <v>100</v>
      </c>
      <c r="T44" s="1567" t="s">
        <v>8</v>
      </c>
      <c r="U44" s="1568">
        <f t="shared" si="13"/>
        <v>100</v>
      </c>
      <c r="V44" s="1567" t="s">
        <v>8</v>
      </c>
      <c r="W44" s="1568">
        <f t="shared" si="14"/>
        <v>100</v>
      </c>
      <c r="X44" s="1569"/>
      <c r="Y44" s="3391"/>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1"/>
      <c r="Q45" s="1571">
        <f t="shared" si="11"/>
        <v>111</v>
      </c>
      <c r="R45" s="1572" t="s">
        <v>8</v>
      </c>
      <c r="S45" s="1573">
        <f t="shared" si="12"/>
        <v>100</v>
      </c>
      <c r="T45" s="1572" t="s">
        <v>8</v>
      </c>
      <c r="U45" s="1573">
        <f t="shared" si="13"/>
        <v>100</v>
      </c>
      <c r="V45" s="1572" t="s">
        <v>8</v>
      </c>
      <c r="W45" s="1573">
        <f t="shared" si="14"/>
        <v>100</v>
      </c>
      <c r="X45" s="1566"/>
      <c r="Y45" s="3391"/>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45"/>
      <c r="Q46" s="1571">
        <f t="shared" si="11"/>
        <v>111</v>
      </c>
      <c r="R46" s="1572" t="s">
        <v>8</v>
      </c>
      <c r="S46" s="1573">
        <f t="shared" si="12"/>
        <v>100</v>
      </c>
      <c r="T46" s="1572" t="s">
        <v>8</v>
      </c>
      <c r="U46" s="1573">
        <f t="shared" si="13"/>
        <v>100</v>
      </c>
      <c r="V46" s="1572" t="s">
        <v>8</v>
      </c>
      <c r="W46" s="1573">
        <f t="shared" si="14"/>
        <v>100</v>
      </c>
      <c r="X46" s="1566"/>
      <c r="Y46" s="3445"/>
      <c r="Z46" s="1574">
        <f t="shared" si="15"/>
        <v>111</v>
      </c>
      <c r="AA46" s="1575">
        <f t="shared" si="3"/>
        <v>1</v>
      </c>
      <c r="AB46" s="1575">
        <f t="shared" si="4"/>
        <v>1</v>
      </c>
      <c r="AC46" s="1575">
        <f t="shared" si="5"/>
        <v>1</v>
      </c>
    </row>
    <row r="47" spans="1:29" ht="15">
      <c r="A47" s="607" t="s">
        <v>735</v>
      </c>
      <c r="B47" s="886"/>
      <c r="C47" s="2651" t="s">
        <v>1</v>
      </c>
      <c r="D47" s="2652"/>
      <c r="E47" s="2653"/>
      <c r="F47" s="2654"/>
      <c r="G47" s="2655"/>
      <c r="H47" s="2656"/>
      <c r="I47" s="2653"/>
      <c r="J47" s="2656"/>
      <c r="K47" s="1610"/>
      <c r="L47" s="2144"/>
      <c r="M47" s="2145"/>
      <c r="N47" s="2134"/>
      <c r="O47" s="2145"/>
      <c r="P47" s="3354" t="str">
        <f>A47</f>
        <v>成交单价（元/平方米）</v>
      </c>
      <c r="Q47" s="3354"/>
      <c r="R47" s="3444">
        <f>E47</f>
        <v>0</v>
      </c>
      <c r="S47" s="3444"/>
      <c r="T47" s="3444">
        <f>G47</f>
        <v>0</v>
      </c>
      <c r="U47" s="3444"/>
      <c r="V47" s="3444">
        <f>I47</f>
        <v>0</v>
      </c>
      <c r="W47" s="3444"/>
      <c r="X47" s="1558"/>
      <c r="Y47" s="1580"/>
      <c r="Z47" s="1558"/>
      <c r="AA47" s="1558"/>
      <c r="AB47" s="1558"/>
      <c r="AC47" s="1558"/>
    </row>
    <row r="48" spans="1:29" ht="15.75" thickBot="1">
      <c r="A48" s="615" t="s">
        <v>2765</v>
      </c>
      <c r="B48" s="887"/>
      <c r="C48" s="2657" t="e">
        <f>R49</f>
        <v>#DIV/0!</v>
      </c>
      <c r="D48" s="2658"/>
      <c r="E48" s="2659" t="e">
        <f>R48</f>
        <v>#DIV/0!</v>
      </c>
      <c r="F48" s="2659"/>
      <c r="G48" s="2657" t="e">
        <f>T48</f>
        <v>#DIV/0!</v>
      </c>
      <c r="H48" s="2658"/>
      <c r="I48" s="2659" t="e">
        <f>V48</f>
        <v>#DIV/0!</v>
      </c>
      <c r="J48" s="2658"/>
      <c r="K48" s="1611"/>
      <c r="L48" s="2144"/>
      <c r="M48" s="2145"/>
      <c r="N48" s="2134"/>
      <c r="O48" s="2145"/>
      <c r="P48" s="3354" t="str">
        <f>A48</f>
        <v>比较价格（元/平方米）</v>
      </c>
      <c r="Q48" s="3354"/>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1558"/>
      <c r="Y48" s="1558"/>
      <c r="Z48" s="1558"/>
      <c r="AA48" s="1558"/>
      <c r="AB48" s="1558"/>
      <c r="AC48" s="1558"/>
    </row>
    <row r="49" spans="1:29" ht="15.75" thickBot="1">
      <c r="A49" s="621" t="s">
        <v>2935</v>
      </c>
      <c r="B49" s="622"/>
      <c r="C49" s="2660" t="e">
        <f>R49</f>
        <v>#DIV/0!</v>
      </c>
      <c r="D49" s="2660"/>
      <c r="E49" s="2660"/>
      <c r="F49" s="2660"/>
      <c r="G49" s="2660"/>
      <c r="H49" s="2660"/>
      <c r="I49" s="2660"/>
      <c r="J49" s="2660"/>
      <c r="K49" s="1612"/>
      <c r="L49" s="2144"/>
      <c r="M49" s="2145"/>
      <c r="N49" s="2134"/>
      <c r="O49" s="2145"/>
      <c r="P49" s="3351" t="str">
        <f>A49</f>
        <v>估价对象XX用房的比较价格（楼面单价，元/平方米）</v>
      </c>
      <c r="Q49" s="3352"/>
      <c r="R49" s="3443" t="e">
        <f>IF(F1="售价",ROUND(AVERAGE(R48:V48),0),ROUND(AVERAGE(R48:V48),1))</f>
        <v>#DIV/0!</v>
      </c>
      <c r="S49" s="3443"/>
      <c r="T49" s="3443"/>
      <c r="U49" s="3443"/>
      <c r="V49" s="3443"/>
      <c r="W49" s="344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2559</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776</v>
      </c>
      <c r="C1" s="506" t="s">
        <v>720</v>
      </c>
      <c r="D1" s="849"/>
      <c r="E1" s="508"/>
      <c r="F1" s="2833"/>
      <c r="G1" s="1600" t="s">
        <v>721</v>
      </c>
      <c r="H1" s="508"/>
      <c r="I1" s="508"/>
      <c r="J1" s="508"/>
      <c r="K1" s="509"/>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11" t="s">
        <v>519</v>
      </c>
      <c r="B3" s="512"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4" t="s">
        <v>521</v>
      </c>
      <c r="B4" s="515"/>
      <c r="C4" s="3360" t="s">
        <v>522</v>
      </c>
      <c r="D4" s="3361"/>
      <c r="E4" s="3394" t="s">
        <v>523</v>
      </c>
      <c r="F4" s="3395"/>
      <c r="G4" s="3360" t="s">
        <v>524</v>
      </c>
      <c r="H4" s="3361"/>
      <c r="I4" s="3360" t="s">
        <v>525</v>
      </c>
      <c r="J4" s="3361"/>
      <c r="K4" s="516" t="s">
        <v>526</v>
      </c>
      <c r="L4" s="2133"/>
      <c r="M4" s="2134"/>
      <c r="N4" s="2134"/>
      <c r="O4" s="2134"/>
      <c r="P4" s="3472" t="s">
        <v>527</v>
      </c>
      <c r="Q4" s="3363"/>
      <c r="R4" s="3368" t="s">
        <v>523</v>
      </c>
      <c r="S4" s="3369"/>
      <c r="T4" s="3368" t="s">
        <v>524</v>
      </c>
      <c r="U4" s="3369"/>
      <c r="V4" s="3355" t="s">
        <v>525</v>
      </c>
      <c r="W4" s="3355"/>
      <c r="X4" s="1566"/>
      <c r="Y4" s="3368" t="s">
        <v>527</v>
      </c>
      <c r="Z4" s="3369"/>
      <c r="AA4" s="3357" t="s">
        <v>523</v>
      </c>
      <c r="AB4" s="3357" t="s">
        <v>524</v>
      </c>
      <c r="AC4" s="3357" t="s">
        <v>525</v>
      </c>
    </row>
    <row r="5" spans="1:29" ht="15">
      <c r="A5" s="517"/>
      <c r="B5" s="518"/>
      <c r="C5" s="3376" t="s">
        <v>2929</v>
      </c>
      <c r="D5" s="3377"/>
      <c r="E5" s="3396" t="s">
        <v>2930</v>
      </c>
      <c r="F5" s="3397"/>
      <c r="G5" s="3376" t="s">
        <v>2931</v>
      </c>
      <c r="H5" s="3377"/>
      <c r="I5" s="3376" t="s">
        <v>2932</v>
      </c>
      <c r="J5" s="3377"/>
      <c r="K5" s="516"/>
      <c r="L5" s="2133"/>
      <c r="M5" s="2134"/>
      <c r="N5" s="2134"/>
      <c r="O5" s="2134"/>
      <c r="P5" s="3473"/>
      <c r="Q5" s="3365"/>
      <c r="R5" s="3370"/>
      <c r="S5" s="3371"/>
      <c r="T5" s="3370"/>
      <c r="U5" s="3371"/>
      <c r="V5" s="3355"/>
      <c r="W5" s="3355"/>
      <c r="X5" s="1566"/>
      <c r="Y5" s="3370"/>
      <c r="Z5" s="3371"/>
      <c r="AA5" s="3358"/>
      <c r="AB5" s="3358"/>
      <c r="AC5" s="3358"/>
    </row>
    <row r="6" spans="1:29" ht="15.75" thickBot="1">
      <c r="A6" s="519"/>
      <c r="B6" s="520"/>
      <c r="C6" s="3374" t="s">
        <v>2933</v>
      </c>
      <c r="D6" s="3375"/>
      <c r="E6" s="3392" t="s">
        <v>2933</v>
      </c>
      <c r="F6" s="3393"/>
      <c r="G6" s="3374" t="s">
        <v>2933</v>
      </c>
      <c r="H6" s="3375"/>
      <c r="I6" s="3374" t="s">
        <v>2933</v>
      </c>
      <c r="J6" s="3375"/>
      <c r="K6" s="516" t="s">
        <v>528</v>
      </c>
      <c r="L6" s="2133"/>
      <c r="M6" s="2134"/>
      <c r="N6" s="2134"/>
      <c r="O6" s="2134"/>
      <c r="P6" s="3474"/>
      <c r="Q6" s="3367"/>
      <c r="R6" s="3370"/>
      <c r="S6" s="3371"/>
      <c r="T6" s="3372"/>
      <c r="U6" s="3373"/>
      <c r="V6" s="3355"/>
      <c r="W6" s="3355"/>
      <c r="X6" s="1566"/>
      <c r="Y6" s="3372"/>
      <c r="Z6" s="3373"/>
      <c r="AA6" s="3359"/>
      <c r="AB6" s="3359"/>
      <c r="AC6" s="3359"/>
    </row>
    <row r="7" spans="1:29" s="1219" customFormat="1" ht="15.75" thickBot="1">
      <c r="A7" s="2938"/>
      <c r="B7" s="2945" t="s">
        <v>529</v>
      </c>
      <c r="C7" s="521">
        <f>'数据-取费表'!B2</f>
        <v>43076</v>
      </c>
      <c r="D7" s="522">
        <v>100</v>
      </c>
      <c r="E7" s="523"/>
      <c r="F7" s="524">
        <f>SUMIF(59:59,YEAR(E7)&amp;"-"&amp;MONTH(E7),60:60)</f>
        <v>0</v>
      </c>
      <c r="G7" s="523"/>
      <c r="H7" s="522">
        <f>SUMIF(59:59,YEAR(G7)&amp;"-"&amp;MONTH(G7),60:60)</f>
        <v>0</v>
      </c>
      <c r="I7" s="523"/>
      <c r="J7" s="522">
        <f>SUMIF(59:59,YEAR(I7)&amp;"-"&amp;MONTH(I7),60:60)</f>
        <v>0</v>
      </c>
      <c r="K7" s="526"/>
      <c r="L7" s="2135"/>
      <c r="M7" s="2136"/>
      <c r="N7" s="2136"/>
      <c r="O7" s="2136"/>
      <c r="P7" s="3387" t="s">
        <v>530</v>
      </c>
      <c r="Q7" s="3387"/>
      <c r="R7" s="1567" t="s">
        <v>8</v>
      </c>
      <c r="S7" s="1568">
        <f t="shared" ref="S7:S15" si="0">F7</f>
        <v>0</v>
      </c>
      <c r="T7" s="1567" t="s">
        <v>8</v>
      </c>
      <c r="U7" s="1568">
        <f t="shared" ref="U7:U15" si="1">H7</f>
        <v>0</v>
      </c>
      <c r="V7" s="1567" t="s">
        <v>8</v>
      </c>
      <c r="W7" s="1568">
        <f t="shared" ref="W7:W15" si="2">J7</f>
        <v>0</v>
      </c>
      <c r="X7" s="1569"/>
      <c r="Y7" s="3385" t="s">
        <v>530</v>
      </c>
      <c r="Z7" s="3386"/>
      <c r="AA7" s="1570" t="e">
        <f>D7/F7</f>
        <v>#DIV/0!</v>
      </c>
      <c r="AB7" s="1570" t="e">
        <f>D7/H7</f>
        <v>#DIV/0!</v>
      </c>
      <c r="AC7" s="1570" t="e">
        <f>D7/J7</f>
        <v>#DIV/0!</v>
      </c>
    </row>
    <row r="8" spans="1:29" s="1219" customFormat="1" ht="15.75" thickBot="1">
      <c r="A8" s="2939"/>
      <c r="B8" s="2946" t="s">
        <v>531</v>
      </c>
      <c r="C8" s="527" t="s">
        <v>576</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387" t="s">
        <v>533</v>
      </c>
      <c r="Q8" s="3386"/>
      <c r="R8" s="1567" t="s">
        <v>8</v>
      </c>
      <c r="S8" s="1568">
        <f t="shared" si="0"/>
        <v>0</v>
      </c>
      <c r="T8" s="1567" t="s">
        <v>8</v>
      </c>
      <c r="U8" s="1568">
        <f t="shared" si="1"/>
        <v>0</v>
      </c>
      <c r="V8" s="1567" t="s">
        <v>8</v>
      </c>
      <c r="W8" s="1568">
        <f t="shared" si="2"/>
        <v>0</v>
      </c>
      <c r="X8" s="1569"/>
      <c r="Y8" s="3385" t="s">
        <v>533</v>
      </c>
      <c r="Z8" s="3386"/>
      <c r="AA8" s="1570" t="e">
        <f t="shared" ref="AA8:AA47" si="3">D8/F8</f>
        <v>#DIV/0!</v>
      </c>
      <c r="AB8" s="1570" t="e">
        <f t="shared" ref="AB8:AB47" si="4">D8/H8</f>
        <v>#DIV/0!</v>
      </c>
      <c r="AC8" s="1570" t="e">
        <f t="shared" ref="AC8:AC47" si="5">D8/J8</f>
        <v>#DIV/0!</v>
      </c>
    </row>
    <row r="9" spans="1:29" s="1219" customFormat="1" ht="15">
      <c r="A9" s="2940"/>
      <c r="B9" s="2947" t="s">
        <v>2761</v>
      </c>
      <c r="C9" s="857"/>
      <c r="D9" s="253">
        <v>100</v>
      </c>
      <c r="E9" s="860"/>
      <c r="F9" s="253">
        <f>SUMIF(64:64,E9,65:65)-SUMIF(64:64,C9,65:65)+100</f>
        <v>100</v>
      </c>
      <c r="G9" s="858"/>
      <c r="H9" s="253">
        <f>SUMIF(64:64,G9,65:65)-SUMIF(64:64,C9,65:65)+100</f>
        <v>100</v>
      </c>
      <c r="I9" s="858"/>
      <c r="J9" s="253">
        <f>SUMIF(64:64,I9,65:65)-SUMIF(64:64,C9,65:65)+100</f>
        <v>100</v>
      </c>
      <c r="K9" s="526"/>
      <c r="L9" s="2135"/>
      <c r="M9" s="2136"/>
      <c r="N9" s="2136"/>
      <c r="O9" s="2136"/>
      <c r="P9" s="3354" t="s">
        <v>535</v>
      </c>
      <c r="Q9" s="1150" t="str">
        <f t="shared" ref="Q9:Q15" si="6">B9</f>
        <v>用途</v>
      </c>
      <c r="R9" s="1567" t="s">
        <v>8</v>
      </c>
      <c r="S9" s="1568">
        <f t="shared" si="0"/>
        <v>100</v>
      </c>
      <c r="T9" s="1567" t="s">
        <v>8</v>
      </c>
      <c r="U9" s="1568">
        <f t="shared" si="1"/>
        <v>100</v>
      </c>
      <c r="V9" s="1567" t="s">
        <v>8</v>
      </c>
      <c r="W9" s="1568">
        <f t="shared" si="2"/>
        <v>100</v>
      </c>
      <c r="X9" s="1569"/>
      <c r="Y9" s="3300"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SUMIF(66:66,E10,67:67)-SUMIF(66:66,C10,67:67)+100</f>
        <v>100</v>
      </c>
      <c r="G10" s="862"/>
      <c r="H10" s="254">
        <f>SUMIF(66:66,G10,67:67)-SUMIF(66:66,C10,67:67)+100</f>
        <v>100</v>
      </c>
      <c r="I10" s="861"/>
      <c r="J10" s="254">
        <f>SUMIF(66:66,I10,67:67)-SUMIF(66:66,C10,67:67)+100</f>
        <v>100</v>
      </c>
      <c r="K10" s="584"/>
      <c r="L10" s="2138"/>
      <c r="M10" s="2178"/>
      <c r="N10" s="2178"/>
      <c r="O10" s="2178"/>
      <c r="P10" s="3354"/>
      <c r="Q10" s="1150" t="str">
        <f t="shared" si="6"/>
        <v>土地使用年限（年）</v>
      </c>
      <c r="R10" s="1567" t="s">
        <v>8</v>
      </c>
      <c r="S10" s="1568">
        <f t="shared" si="0"/>
        <v>100</v>
      </c>
      <c r="T10" s="1567" t="s">
        <v>8</v>
      </c>
      <c r="U10" s="1568">
        <f t="shared" si="1"/>
        <v>100</v>
      </c>
      <c r="V10" s="1567" t="s">
        <v>8</v>
      </c>
      <c r="W10" s="1568">
        <f t="shared" si="2"/>
        <v>100</v>
      </c>
      <c r="X10" s="1569"/>
      <c r="Y10" s="3300"/>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LOOKUP(E11,69:69,70:70)-LOOKUP(C11,69:69,70:70)+100</f>
        <v>#N/A</v>
      </c>
      <c r="G11" s="534"/>
      <c r="H11" s="254" t="e">
        <f>LOOKUP(G11,69:69,70:70)-LOOKUP(C11,69:69,70:70)+100</f>
        <v>#N/A</v>
      </c>
      <c r="I11" s="533"/>
      <c r="J11" s="254" t="e">
        <f>LOOKUP(I11,69:69,70:70)-LOOKUP(C11,69:69,70:70)+100</f>
        <v>#N/A</v>
      </c>
      <c r="K11" s="584"/>
      <c r="L11" s="2140"/>
      <c r="M11" s="2134"/>
      <c r="N11" s="2134"/>
      <c r="O11" s="2134"/>
      <c r="P11" s="3354"/>
      <c r="Q11" s="1150" t="str">
        <f t="shared" si="6"/>
        <v>容积率</v>
      </c>
      <c r="R11" s="1567" t="s">
        <v>8</v>
      </c>
      <c r="S11" s="1568" t="e">
        <f t="shared" si="0"/>
        <v>#N/A</v>
      </c>
      <c r="T11" s="1567" t="s">
        <v>8</v>
      </c>
      <c r="U11" s="1568" t="e">
        <f t="shared" si="1"/>
        <v>#N/A</v>
      </c>
      <c r="V11" s="1567" t="s">
        <v>8</v>
      </c>
      <c r="W11" s="1568" t="e">
        <f t="shared" si="2"/>
        <v>#N/A</v>
      </c>
      <c r="X11" s="1569"/>
      <c r="Y11" s="3300"/>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0"/>
      <c r="F12" s="254">
        <f>SUMIF(71:71,E12,72:72)-SUMIF(71:71,C12,72:72)+100</f>
        <v>100</v>
      </c>
      <c r="G12" s="909"/>
      <c r="H12" s="254">
        <f>SUMIF(71:71,G12,72:72)-SUMIF(71:71,C12,72:72)+100</f>
        <v>100</v>
      </c>
      <c r="I12" s="530"/>
      <c r="J12" s="254">
        <f>SUMIF(71:71,I12,72:72)-SUMIF(71:71,C12,72:72)+100</f>
        <v>100</v>
      </c>
      <c r="K12" s="581"/>
      <c r="L12" s="2135"/>
      <c r="M12" s="2136"/>
      <c r="N12" s="2136"/>
      <c r="O12" s="2136"/>
      <c r="P12" s="3354"/>
      <c r="Q12" s="1150">
        <f t="shared" si="6"/>
        <v>111</v>
      </c>
      <c r="R12" s="1567" t="s">
        <v>8</v>
      </c>
      <c r="S12" s="1568">
        <f t="shared" si="0"/>
        <v>100</v>
      </c>
      <c r="T12" s="1567" t="s">
        <v>8</v>
      </c>
      <c r="U12" s="1568">
        <f t="shared" si="1"/>
        <v>100</v>
      </c>
      <c r="V12" s="1567" t="s">
        <v>8</v>
      </c>
      <c r="W12" s="1568">
        <f t="shared" si="2"/>
        <v>100</v>
      </c>
      <c r="X12" s="1569"/>
      <c r="Y12" s="3300"/>
      <c r="Z12" s="1149">
        <f t="shared" si="7"/>
        <v>111</v>
      </c>
      <c r="AA12" s="1570">
        <f>D12/F12</f>
        <v>1</v>
      </c>
      <c r="AB12" s="1570">
        <f>D12/H12</f>
        <v>1</v>
      </c>
      <c r="AC12" s="1570">
        <f>D12/J12</f>
        <v>1</v>
      </c>
    </row>
    <row r="13" spans="1:29" ht="15">
      <c r="A13" s="2943"/>
      <c r="B13" s="2949">
        <v>111</v>
      </c>
      <c r="C13" s="539"/>
      <c r="D13" s="540">
        <v>100</v>
      </c>
      <c r="E13" s="530"/>
      <c r="F13" s="254">
        <f>SUMIF(73:73,E13,74:74)-SUMIF(73:73,C13,74:74)+100</f>
        <v>100</v>
      </c>
      <c r="G13" s="909"/>
      <c r="H13" s="540">
        <f>SUMIF(73:73,G13,74:74)-SUMIF(73:73,C13,74:74)+100</f>
        <v>100</v>
      </c>
      <c r="I13" s="530"/>
      <c r="J13" s="540">
        <f>SUMIF(73:73,I13,74:74)-SUMIF(73:73,C13,74:74)+100</f>
        <v>100</v>
      </c>
      <c r="K13" s="581"/>
      <c r="L13" s="2142"/>
      <c r="M13" s="2134"/>
      <c r="N13" s="2134"/>
      <c r="O13" s="2134"/>
      <c r="P13" s="3354"/>
      <c r="Q13" s="1150">
        <f t="shared" si="6"/>
        <v>111</v>
      </c>
      <c r="R13" s="1567" t="s">
        <v>8</v>
      </c>
      <c r="S13" s="1568">
        <f t="shared" si="0"/>
        <v>100</v>
      </c>
      <c r="T13" s="1567" t="s">
        <v>8</v>
      </c>
      <c r="U13" s="1568">
        <f t="shared" si="1"/>
        <v>100</v>
      </c>
      <c r="V13" s="1567" t="s">
        <v>8</v>
      </c>
      <c r="W13" s="1568">
        <f t="shared" si="2"/>
        <v>100</v>
      </c>
      <c r="X13" s="1569"/>
      <c r="Y13" s="3300"/>
      <c r="Z13" s="1149">
        <f t="shared" si="7"/>
        <v>111</v>
      </c>
      <c r="AA13" s="1570">
        <f t="shared" si="3"/>
        <v>1</v>
      </c>
      <c r="AB13" s="1570">
        <f t="shared" si="4"/>
        <v>1</v>
      </c>
      <c r="AC13" s="1570">
        <f t="shared" si="5"/>
        <v>1</v>
      </c>
    </row>
    <row r="14" spans="1:29" ht="15.75" thickBot="1">
      <c r="A14" s="2944"/>
      <c r="B14" s="2950">
        <v>111</v>
      </c>
      <c r="C14" s="545"/>
      <c r="D14" s="546">
        <v>100</v>
      </c>
      <c r="E14" s="910"/>
      <c r="F14" s="546">
        <f>SUMIF(75:75,E14,76:76)-SUMIF(75:75,C14,76:76)+100</f>
        <v>100</v>
      </c>
      <c r="G14" s="909"/>
      <c r="H14" s="546">
        <f>SUMIF(75:75,G14,76:76)-SUMIF(75:75,C14,76:76)+100</f>
        <v>100</v>
      </c>
      <c r="I14" s="530"/>
      <c r="J14" s="546">
        <f>SUMIF(75:75,I14,76:76)-SUMIF(75:75,C14,76:76)+100</f>
        <v>100</v>
      </c>
      <c r="K14" s="581"/>
      <c r="L14" s="2142"/>
      <c r="M14" s="2134"/>
      <c r="N14" s="2134"/>
      <c r="O14" s="2134"/>
      <c r="P14" s="3354"/>
      <c r="Q14" s="1150">
        <f t="shared" si="6"/>
        <v>111</v>
      </c>
      <c r="R14" s="1567" t="s">
        <v>8</v>
      </c>
      <c r="S14" s="1568">
        <f t="shared" si="0"/>
        <v>100</v>
      </c>
      <c r="T14" s="1567" t="s">
        <v>8</v>
      </c>
      <c r="U14" s="1568">
        <f t="shared" si="1"/>
        <v>100</v>
      </c>
      <c r="V14" s="1567" t="s">
        <v>8</v>
      </c>
      <c r="W14" s="1568">
        <f t="shared" si="2"/>
        <v>100</v>
      </c>
      <c r="X14" s="1569"/>
      <c r="Y14" s="3300"/>
      <c r="Z14" s="1149">
        <f t="shared" si="7"/>
        <v>111</v>
      </c>
      <c r="AA14" s="1570">
        <f t="shared" si="3"/>
        <v>1</v>
      </c>
      <c r="AB14" s="1570">
        <f t="shared" si="4"/>
        <v>1</v>
      </c>
      <c r="AC14" s="1570">
        <f t="shared" si="5"/>
        <v>1</v>
      </c>
    </row>
    <row r="15" spans="1:29" ht="15">
      <c r="A15" s="2936" t="s">
        <v>2759</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388" t="s">
        <v>540</v>
      </c>
      <c r="Q15" s="1571" t="str">
        <f t="shared" si="6"/>
        <v>办公集聚程度</v>
      </c>
      <c r="R15" s="1572" t="s">
        <v>8</v>
      </c>
      <c r="S15" s="1573">
        <f t="shared" si="0"/>
        <v>100</v>
      </c>
      <c r="T15" s="1572" t="s">
        <v>8</v>
      </c>
      <c r="U15" s="1573">
        <f t="shared" si="1"/>
        <v>100</v>
      </c>
      <c r="V15" s="1572" t="s">
        <v>8</v>
      </c>
      <c r="W15" s="1573">
        <f t="shared" si="2"/>
        <v>100</v>
      </c>
      <c r="X15" s="1566"/>
      <c r="Y15" s="3388"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389"/>
      <c r="Q16" s="1571"/>
      <c r="R16" s="1572"/>
      <c r="S16" s="1573"/>
      <c r="T16" s="1572"/>
      <c r="U16" s="1573"/>
      <c r="V16" s="1572"/>
      <c r="W16" s="1573"/>
      <c r="X16" s="1566"/>
      <c r="Y16" s="3389"/>
      <c r="Z16" s="1574"/>
      <c r="AA16" s="1575">
        <v>1</v>
      </c>
      <c r="AB16" s="1575">
        <v>1</v>
      </c>
      <c r="AC16" s="1575">
        <v>1</v>
      </c>
    </row>
    <row r="17" spans="1:29" ht="114">
      <c r="A17" s="532"/>
      <c r="B17" s="560" t="s">
        <v>295</v>
      </c>
      <c r="C17" s="573" t="str">
        <f>估价对象房地状况!C6</f>
        <v>估价对象周边1公里有357、355路等公交车经过，公共交通通达情况一般、停车便捷程度较好，综合评价交通便捷度较差</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389"/>
      <c r="Q17" s="1571" t="str">
        <f>B17</f>
        <v>交通便捷度</v>
      </c>
      <c r="R17" s="1572" t="s">
        <v>8</v>
      </c>
      <c r="S17" s="1573">
        <f>F17</f>
        <v>100</v>
      </c>
      <c r="T17" s="1572" t="s">
        <v>8</v>
      </c>
      <c r="U17" s="1573">
        <f>H17</f>
        <v>100</v>
      </c>
      <c r="V17" s="1572" t="s">
        <v>8</v>
      </c>
      <c r="W17" s="1573">
        <f>J17</f>
        <v>100</v>
      </c>
      <c r="X17" s="1566"/>
      <c r="Y17" s="3389"/>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389"/>
      <c r="Q18" s="1571"/>
      <c r="R18" s="1572"/>
      <c r="S18" s="1573"/>
      <c r="T18" s="1572"/>
      <c r="U18" s="1573"/>
      <c r="V18" s="1572"/>
      <c r="W18" s="1573"/>
      <c r="X18" s="1566"/>
      <c r="Y18" s="3389"/>
      <c r="Z18" s="1574"/>
      <c r="AA18" s="1575">
        <v>1</v>
      </c>
      <c r="AB18" s="1575">
        <v>1</v>
      </c>
      <c r="AC18" s="1575">
        <v>1</v>
      </c>
    </row>
    <row r="19" spans="1:29" ht="42.75">
      <c r="A19" s="532"/>
      <c r="B19" s="2627" t="s">
        <v>2549</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389"/>
      <c r="Q19" s="1571" t="str">
        <f>B19</f>
        <v>公共配套设施</v>
      </c>
      <c r="R19" s="1572" t="s">
        <v>8</v>
      </c>
      <c r="S19" s="1573">
        <f>F19</f>
        <v>100</v>
      </c>
      <c r="T19" s="1572" t="s">
        <v>8</v>
      </c>
      <c r="U19" s="1573">
        <f>H19</f>
        <v>100</v>
      </c>
      <c r="V19" s="1572" t="s">
        <v>8</v>
      </c>
      <c r="W19" s="1573">
        <f>J19</f>
        <v>100</v>
      </c>
      <c r="X19" s="1566"/>
      <c r="Y19" s="3389"/>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389"/>
      <c r="Q20" s="1571"/>
      <c r="R20" s="1572"/>
      <c r="S20" s="1573"/>
      <c r="T20" s="1572"/>
      <c r="U20" s="1573"/>
      <c r="V20" s="1572"/>
      <c r="W20" s="1573"/>
      <c r="X20" s="1566"/>
      <c r="Y20" s="3389"/>
      <c r="Z20" s="1574"/>
      <c r="AA20" s="1575">
        <v>1</v>
      </c>
      <c r="AB20" s="1575">
        <v>1</v>
      </c>
      <c r="AC20" s="1575">
        <v>1</v>
      </c>
    </row>
    <row r="21" spans="1:29" ht="42.75">
      <c r="A21" s="532"/>
      <c r="B21" s="2615" t="s">
        <v>2561</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389"/>
      <c r="Q21" s="2603" t="str">
        <f>B21</f>
        <v>基础设施水平</v>
      </c>
      <c r="R21" s="1572" t="s">
        <v>8</v>
      </c>
      <c r="S21" s="1573">
        <f>F21</f>
        <v>100</v>
      </c>
      <c r="T21" s="1572" t="s">
        <v>8</v>
      </c>
      <c r="U21" s="1573">
        <f>H21</f>
        <v>100</v>
      </c>
      <c r="V21" s="1572" t="s">
        <v>8</v>
      </c>
      <c r="W21" s="1573">
        <f>J21</f>
        <v>100</v>
      </c>
      <c r="X21" s="2605"/>
      <c r="Y21" s="3389"/>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389"/>
      <c r="Q22" s="2603"/>
      <c r="R22" s="1572"/>
      <c r="S22" s="1573"/>
      <c r="T22" s="1572"/>
      <c r="U22" s="1573"/>
      <c r="V22" s="1572"/>
      <c r="W22" s="1573"/>
      <c r="X22" s="2605"/>
      <c r="Y22" s="3389"/>
      <c r="Z22" s="2604"/>
      <c r="AA22" s="1575">
        <v>1</v>
      </c>
      <c r="AB22" s="1575">
        <v>1</v>
      </c>
      <c r="AC22" s="1575">
        <v>1</v>
      </c>
    </row>
    <row r="23" spans="1:29" ht="57">
      <c r="A23" s="532"/>
      <c r="B23" s="560" t="s">
        <v>777</v>
      </c>
      <c r="C23" s="573" t="str">
        <f>估价对象房地状况!C9</f>
        <v>周边2公里内有长沙医学院、观音岩水库，区域自然环境较好</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389"/>
      <c r="Q23" s="1571" t="str">
        <f>B23</f>
        <v>环境质量</v>
      </c>
      <c r="R23" s="1572" t="s">
        <v>8</v>
      </c>
      <c r="S23" s="1573">
        <f>F23</f>
        <v>100</v>
      </c>
      <c r="T23" s="1572" t="s">
        <v>8</v>
      </c>
      <c r="U23" s="1573">
        <f>H23</f>
        <v>100</v>
      </c>
      <c r="V23" s="1572" t="s">
        <v>8</v>
      </c>
      <c r="W23" s="1573">
        <f>J23</f>
        <v>100</v>
      </c>
      <c r="X23" s="1566"/>
      <c r="Y23" s="3389"/>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389"/>
      <c r="Q24" s="1571"/>
      <c r="R24" s="1572"/>
      <c r="S24" s="1573"/>
      <c r="T24" s="1572"/>
      <c r="U24" s="1573"/>
      <c r="V24" s="1572"/>
      <c r="W24" s="1573"/>
      <c r="X24" s="1566"/>
      <c r="Y24" s="3389"/>
      <c r="Z24" s="1574"/>
      <c r="AA24" s="1575">
        <v>1</v>
      </c>
      <c r="AB24" s="1575">
        <v>1</v>
      </c>
      <c r="AC24" s="1575">
        <v>1</v>
      </c>
    </row>
    <row r="25" spans="1:29" ht="27">
      <c r="A25" s="517"/>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389"/>
      <c r="Q25" s="1571" t="str">
        <f>B25</f>
        <v>毗邻道路的类型与等级</v>
      </c>
      <c r="R25" s="1572" t="s">
        <v>8</v>
      </c>
      <c r="S25" s="1573">
        <f>F25</f>
        <v>100</v>
      </c>
      <c r="T25" s="1572" t="s">
        <v>8</v>
      </c>
      <c r="U25" s="1573">
        <f>H25</f>
        <v>100</v>
      </c>
      <c r="V25" s="1572" t="s">
        <v>8</v>
      </c>
      <c r="W25" s="1573">
        <f>J25</f>
        <v>100</v>
      </c>
      <c r="X25" s="1566"/>
      <c r="Y25" s="3389"/>
      <c r="Z25" s="1574" t="str">
        <f>Q25</f>
        <v>毗邻道路的类型与等级</v>
      </c>
      <c r="AA25" s="1575">
        <f t="shared" si="3"/>
        <v>1</v>
      </c>
      <c r="AB25" s="1575">
        <f t="shared" si="4"/>
        <v>1</v>
      </c>
      <c r="AC25" s="1575">
        <f t="shared" si="5"/>
        <v>1</v>
      </c>
    </row>
    <row r="26" spans="1:29" ht="15">
      <c r="A26" s="517"/>
      <c r="B26" s="566"/>
      <c r="C26" s="580"/>
      <c r="D26" s="540"/>
      <c r="E26" s="583"/>
      <c r="F26" s="540"/>
      <c r="G26" s="580"/>
      <c r="H26" s="540"/>
      <c r="I26" s="583"/>
      <c r="J26" s="540"/>
      <c r="K26" s="898"/>
      <c r="L26" s="2142"/>
      <c r="M26" s="2134"/>
      <c r="N26" s="2134"/>
      <c r="O26" s="2134"/>
      <c r="P26" s="3389"/>
      <c r="Q26" s="1571"/>
      <c r="R26" s="1572"/>
      <c r="S26" s="1573"/>
      <c r="T26" s="1572"/>
      <c r="U26" s="1573"/>
      <c r="V26" s="1572"/>
      <c r="W26" s="1573"/>
      <c r="X26" s="1566"/>
      <c r="Y26" s="3389"/>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9"/>
      <c r="Q27" s="1571" t="str">
        <f t="shared" ref="Q27:Q47" si="11">B27</f>
        <v>楼层</v>
      </c>
      <c r="R27" s="1572" t="s">
        <v>8</v>
      </c>
      <c r="S27" s="1573">
        <f>F27</f>
        <v>100</v>
      </c>
      <c r="T27" s="1572" t="s">
        <v>8</v>
      </c>
      <c r="U27" s="1573">
        <f>H27</f>
        <v>100</v>
      </c>
      <c r="V27" s="1572" t="s">
        <v>8</v>
      </c>
      <c r="W27" s="1573">
        <f>J27</f>
        <v>100</v>
      </c>
      <c r="X27" s="1566"/>
      <c r="Y27" s="3389"/>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389"/>
      <c r="Q28" s="1150" t="str">
        <f t="shared" si="11"/>
        <v>朝向</v>
      </c>
      <c r="R28" s="1567" t="s">
        <v>8</v>
      </c>
      <c r="S28" s="1568">
        <f>F28</f>
        <v>100</v>
      </c>
      <c r="T28" s="1567" t="s">
        <v>8</v>
      </c>
      <c r="U28" s="1568">
        <f>H28</f>
        <v>100</v>
      </c>
      <c r="V28" s="1567" t="s">
        <v>8</v>
      </c>
      <c r="W28" s="1568">
        <f>J28</f>
        <v>100</v>
      </c>
      <c r="X28" s="1569"/>
      <c r="Y28" s="3389"/>
      <c r="Z28" s="1149" t="str">
        <f>Q28</f>
        <v>朝向</v>
      </c>
      <c r="AA28" s="1575">
        <f>D28/F28</f>
        <v>1</v>
      </c>
      <c r="AB28" s="1575">
        <f>D28/H28</f>
        <v>1</v>
      </c>
      <c r="AC28" s="1575">
        <f>D28/J28</f>
        <v>1</v>
      </c>
    </row>
    <row r="29" spans="1:29" ht="15">
      <c r="A29" s="532"/>
      <c r="B29" s="585">
        <v>111</v>
      </c>
      <c r="C29" s="911"/>
      <c r="D29" s="540">
        <v>100</v>
      </c>
      <c r="E29" s="530"/>
      <c r="F29" s="540">
        <f>SUMIF(93:93,E29,94:94)-SUMIF(93:93,C29,94:94)+100</f>
        <v>100</v>
      </c>
      <c r="G29" s="909"/>
      <c r="H29" s="540">
        <f>SUMIF(93:93,G29,94:94)-SUMIF(93:93,C29,94:94)+100</f>
        <v>100</v>
      </c>
      <c r="I29" s="530"/>
      <c r="J29" s="540">
        <f>SUMIF(93:93,I29,94:94)-SUMIF(93:93,C29,94:94)+100</f>
        <v>100</v>
      </c>
      <c r="K29" s="581"/>
      <c r="L29" s="2142"/>
      <c r="M29" s="2134"/>
      <c r="N29" s="2134"/>
      <c r="O29" s="2134"/>
      <c r="P29" s="3389"/>
      <c r="Q29" s="1571">
        <f t="shared" si="11"/>
        <v>111</v>
      </c>
      <c r="R29" s="1572" t="s">
        <v>8</v>
      </c>
      <c r="S29" s="1573">
        <f t="shared" ref="S29:S47" si="12">F29</f>
        <v>100</v>
      </c>
      <c r="T29" s="1572" t="s">
        <v>8</v>
      </c>
      <c r="U29" s="1573">
        <f t="shared" ref="U29:U47" si="13">H29</f>
        <v>100</v>
      </c>
      <c r="V29" s="1572" t="s">
        <v>8</v>
      </c>
      <c r="W29" s="1573">
        <f t="shared" ref="W29:W47" si="14">J29</f>
        <v>100</v>
      </c>
      <c r="X29" s="1566"/>
      <c r="Y29" s="3389"/>
      <c r="Z29" s="1574">
        <f t="shared" ref="Z29:Z47" si="15">Q29</f>
        <v>111</v>
      </c>
      <c r="AA29" s="1575">
        <f t="shared" si="3"/>
        <v>1</v>
      </c>
      <c r="AB29" s="1575">
        <f t="shared" si="4"/>
        <v>1</v>
      </c>
      <c r="AC29" s="1575">
        <f t="shared" si="5"/>
        <v>1</v>
      </c>
    </row>
    <row r="30" spans="1:29" ht="15">
      <c r="A30" s="532"/>
      <c r="B30" s="585">
        <v>111</v>
      </c>
      <c r="C30" s="911"/>
      <c r="D30" s="540">
        <v>100</v>
      </c>
      <c r="E30" s="530"/>
      <c r="F30" s="540">
        <f>SUMIF(95:95,E30,96:96)-SUMIF(95:95,C30,96:96)+100</f>
        <v>100</v>
      </c>
      <c r="G30" s="909"/>
      <c r="H30" s="540">
        <f>SUMIF(95:95,G30,96:96)-SUMIF(95:95,C30,96:96)+100</f>
        <v>100</v>
      </c>
      <c r="I30" s="530"/>
      <c r="J30" s="540">
        <f>SUMIF(95:95,I30,96:96)-SUMIF(95:95,C30,96:96)+100</f>
        <v>100</v>
      </c>
      <c r="K30" s="581"/>
      <c r="L30" s="2142"/>
      <c r="M30" s="2134"/>
      <c r="N30" s="2134"/>
      <c r="O30" s="2134"/>
      <c r="P30" s="3389"/>
      <c r="Q30" s="1571">
        <f t="shared" si="11"/>
        <v>111</v>
      </c>
      <c r="R30" s="1572" t="s">
        <v>8</v>
      </c>
      <c r="S30" s="1573">
        <f t="shared" si="12"/>
        <v>100</v>
      </c>
      <c r="T30" s="1572" t="s">
        <v>8</v>
      </c>
      <c r="U30" s="1573">
        <f t="shared" si="13"/>
        <v>100</v>
      </c>
      <c r="V30" s="1572" t="s">
        <v>8</v>
      </c>
      <c r="W30" s="1573">
        <f t="shared" si="14"/>
        <v>100</v>
      </c>
      <c r="X30" s="1566"/>
      <c r="Y30" s="3389"/>
      <c r="Z30" s="1574">
        <f t="shared" si="15"/>
        <v>111</v>
      </c>
      <c r="AA30" s="1575">
        <f t="shared" si="3"/>
        <v>1</v>
      </c>
      <c r="AB30" s="1575">
        <f t="shared" si="4"/>
        <v>1</v>
      </c>
      <c r="AC30" s="1575">
        <f t="shared" si="5"/>
        <v>1</v>
      </c>
    </row>
    <row r="31" spans="1:29" ht="15">
      <c r="A31" s="532"/>
      <c r="B31" s="585">
        <v>111</v>
      </c>
      <c r="C31" s="911"/>
      <c r="D31" s="540">
        <v>100</v>
      </c>
      <c r="E31" s="530"/>
      <c r="F31" s="540">
        <f>SUMIF(97:97,E31,98:98)-SUMIF(97:97,C31,98:98)+100</f>
        <v>100</v>
      </c>
      <c r="G31" s="909"/>
      <c r="H31" s="540">
        <f>SUMIF(97:97,G31,98:98)-SUMIF(97:97,C31,98:98)+100</f>
        <v>100</v>
      </c>
      <c r="I31" s="530"/>
      <c r="J31" s="540">
        <f>SUMIF(97:97,I31,98:98)-SUMIF(97:97,C31,98:98)+100</f>
        <v>100</v>
      </c>
      <c r="K31" s="581"/>
      <c r="L31" s="2142"/>
      <c r="M31" s="2134"/>
      <c r="N31" s="2134"/>
      <c r="O31" s="2134"/>
      <c r="P31" s="3389"/>
      <c r="Q31" s="1571">
        <f t="shared" si="11"/>
        <v>111</v>
      </c>
      <c r="R31" s="1572" t="s">
        <v>8</v>
      </c>
      <c r="S31" s="1573">
        <f t="shared" si="12"/>
        <v>100</v>
      </c>
      <c r="T31" s="1572" t="s">
        <v>8</v>
      </c>
      <c r="U31" s="1573">
        <f t="shared" si="13"/>
        <v>100</v>
      </c>
      <c r="V31" s="1572" t="s">
        <v>8</v>
      </c>
      <c r="W31" s="1573">
        <f t="shared" si="14"/>
        <v>100</v>
      </c>
      <c r="X31" s="1566"/>
      <c r="Y31" s="3389"/>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30"/>
      <c r="J32" s="546">
        <f>SUMIF(99:99,I32,100:100)-SUMIF(99:99,C32,100:100)+100</f>
        <v>100</v>
      </c>
      <c r="K32" s="581"/>
      <c r="L32" s="2142"/>
      <c r="M32" s="2134"/>
      <c r="N32" s="2134"/>
      <c r="O32" s="2134"/>
      <c r="P32" s="3389"/>
      <c r="Q32" s="1571">
        <f t="shared" si="11"/>
        <v>111</v>
      </c>
      <c r="R32" s="1572" t="s">
        <v>8</v>
      </c>
      <c r="S32" s="1573">
        <f t="shared" si="12"/>
        <v>100</v>
      </c>
      <c r="T32" s="1572" t="s">
        <v>8</v>
      </c>
      <c r="U32" s="1573">
        <f t="shared" si="13"/>
        <v>100</v>
      </c>
      <c r="V32" s="1572" t="s">
        <v>8</v>
      </c>
      <c r="W32" s="1573">
        <f t="shared" si="14"/>
        <v>100</v>
      </c>
      <c r="X32" s="1566"/>
      <c r="Y32" s="3389"/>
      <c r="Z32" s="1574">
        <f t="shared" si="15"/>
        <v>111</v>
      </c>
      <c r="AA32" s="1575">
        <f t="shared" si="3"/>
        <v>1</v>
      </c>
      <c r="AB32" s="1575">
        <f t="shared" si="4"/>
        <v>1</v>
      </c>
      <c r="AC32" s="1575">
        <f t="shared" si="5"/>
        <v>1</v>
      </c>
    </row>
    <row r="33" spans="1:29" ht="15">
      <c r="A33" s="2933" t="s">
        <v>2760</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390" t="s">
        <v>550</v>
      </c>
      <c r="Q33" s="1571" t="str">
        <f t="shared" si="11"/>
        <v>建筑类型</v>
      </c>
      <c r="R33" s="1572" t="s">
        <v>8</v>
      </c>
      <c r="S33" s="1573">
        <f t="shared" si="12"/>
        <v>100</v>
      </c>
      <c r="T33" s="1572" t="s">
        <v>8</v>
      </c>
      <c r="U33" s="1573">
        <f t="shared" si="13"/>
        <v>100</v>
      </c>
      <c r="V33" s="1572" t="s">
        <v>8</v>
      </c>
      <c r="W33" s="1573">
        <f t="shared" si="14"/>
        <v>100</v>
      </c>
      <c r="X33" s="1566"/>
      <c r="Y33" s="3391" t="s">
        <v>550</v>
      </c>
      <c r="Z33" s="1574" t="str">
        <f t="shared" si="15"/>
        <v>建筑类型</v>
      </c>
      <c r="AA33" s="1575">
        <f t="shared" si="3"/>
        <v>1</v>
      </c>
      <c r="AB33" s="1575">
        <f t="shared" si="4"/>
        <v>1</v>
      </c>
      <c r="AC33" s="1575">
        <f t="shared" si="5"/>
        <v>1</v>
      </c>
    </row>
    <row r="34" spans="1:29" s="1338" customFormat="1" ht="15">
      <c r="A34" s="603"/>
      <c r="B34" s="529" t="s">
        <v>726</v>
      </c>
      <c r="C34" s="879"/>
      <c r="D34" s="254">
        <v>100</v>
      </c>
      <c r="E34" s="534"/>
      <c r="F34" s="863" t="e">
        <f>LOOKUP(E34,104:104,105:105)-LOOKUP(C34,104:104,105:105)+100</f>
        <v>#N/A</v>
      </c>
      <c r="G34" s="533"/>
      <c r="H34" s="254" t="e">
        <f>LOOKUP(G34,104:104,105:105)-LOOKUP(C34,104:104,105:105)+100</f>
        <v>#N/A</v>
      </c>
      <c r="I34" s="533"/>
      <c r="J34" s="254" t="e">
        <f>LOOKUP(I34,104:104,105:105)-LOOKUP(C34,104:104,105:105)+100</f>
        <v>#N/A</v>
      </c>
      <c r="K34" s="581"/>
      <c r="L34" s="2140"/>
      <c r="M34" s="2171"/>
      <c r="N34" s="2171"/>
      <c r="O34" s="2171"/>
      <c r="P34" s="3391"/>
      <c r="Q34" s="1604" t="str">
        <f t="shared" si="11"/>
        <v>项目建筑规模</v>
      </c>
      <c r="R34" s="1576" t="s">
        <v>8</v>
      </c>
      <c r="S34" s="1577" t="e">
        <f t="shared" si="12"/>
        <v>#N/A</v>
      </c>
      <c r="T34" s="1576" t="s">
        <v>8</v>
      </c>
      <c r="U34" s="1577" t="e">
        <f t="shared" si="13"/>
        <v>#N/A</v>
      </c>
      <c r="V34" s="1576" t="s">
        <v>8</v>
      </c>
      <c r="W34" s="1577" t="e">
        <f t="shared" si="14"/>
        <v>#N/A</v>
      </c>
      <c r="X34" s="1578"/>
      <c r="Y34" s="3391"/>
      <c r="Z34" s="1579" t="str">
        <f t="shared" si="15"/>
        <v>项目建筑规模</v>
      </c>
      <c r="AA34" s="1575" t="e">
        <f t="shared" si="3"/>
        <v>#N/A</v>
      </c>
      <c r="AB34" s="1575" t="e">
        <f t="shared" si="4"/>
        <v>#N/A</v>
      </c>
      <c r="AC34" s="1575" t="e">
        <f t="shared" si="5"/>
        <v>#N/A</v>
      </c>
    </row>
    <row r="35" spans="1:29" ht="15">
      <c r="A35" s="594"/>
      <c r="B35" s="529"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1"/>
      <c r="Q35" s="1571" t="str">
        <f t="shared" si="11"/>
        <v>建筑结构</v>
      </c>
      <c r="R35" s="1572" t="s">
        <v>8</v>
      </c>
      <c r="S35" s="1573">
        <f t="shared" si="12"/>
        <v>100</v>
      </c>
      <c r="T35" s="1572" t="s">
        <v>8</v>
      </c>
      <c r="U35" s="1573">
        <f t="shared" si="13"/>
        <v>100</v>
      </c>
      <c r="V35" s="1572" t="s">
        <v>8</v>
      </c>
      <c r="W35" s="1573">
        <f t="shared" si="14"/>
        <v>100</v>
      </c>
      <c r="X35" s="1566"/>
      <c r="Y35" s="3391"/>
      <c r="Z35" s="1574" t="str">
        <f t="shared" si="15"/>
        <v>建筑结构</v>
      </c>
      <c r="AA35" s="1575">
        <f t="shared" si="3"/>
        <v>1</v>
      </c>
      <c r="AB35" s="1575">
        <f t="shared" si="4"/>
        <v>1</v>
      </c>
      <c r="AC35" s="1575">
        <f t="shared" si="5"/>
        <v>1</v>
      </c>
    </row>
    <row r="36" spans="1:29" ht="15">
      <c r="A36" s="594"/>
      <c r="B36" s="529"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1"/>
      <c r="Q36" s="1571" t="str">
        <f t="shared" si="11"/>
        <v>公共部分装修</v>
      </c>
      <c r="R36" s="1572" t="s">
        <v>8</v>
      </c>
      <c r="S36" s="1573">
        <f t="shared" si="12"/>
        <v>100</v>
      </c>
      <c r="T36" s="1572" t="s">
        <v>8</v>
      </c>
      <c r="U36" s="1573">
        <f t="shared" si="13"/>
        <v>100</v>
      </c>
      <c r="V36" s="1572" t="s">
        <v>8</v>
      </c>
      <c r="W36" s="1573">
        <f t="shared" si="14"/>
        <v>100</v>
      </c>
      <c r="X36" s="1566"/>
      <c r="Y36" s="3391"/>
      <c r="Z36" s="1574" t="str">
        <f t="shared" si="15"/>
        <v>公共部分装修</v>
      </c>
      <c r="AA36" s="1575">
        <f t="shared" si="3"/>
        <v>1</v>
      </c>
      <c r="AB36" s="1575">
        <f t="shared" si="4"/>
        <v>1</v>
      </c>
      <c r="AC36" s="1575">
        <f t="shared" si="5"/>
        <v>1</v>
      </c>
    </row>
    <row r="37" spans="1:29" ht="15">
      <c r="A37" s="594"/>
      <c r="B37" s="529"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391"/>
      <c r="Q37" s="1571" t="str">
        <f t="shared" si="11"/>
        <v>成新度</v>
      </c>
      <c r="R37" s="1572" t="s">
        <v>8</v>
      </c>
      <c r="S37" s="1573" t="e">
        <f t="shared" si="12"/>
        <v>#N/A</v>
      </c>
      <c r="T37" s="1572" t="s">
        <v>8</v>
      </c>
      <c r="U37" s="1573" t="e">
        <f t="shared" si="13"/>
        <v>#N/A</v>
      </c>
      <c r="V37" s="1572" t="s">
        <v>8</v>
      </c>
      <c r="W37" s="1573" t="e">
        <f t="shared" si="14"/>
        <v>#N/A</v>
      </c>
      <c r="X37" s="1566"/>
      <c r="Y37" s="3391"/>
      <c r="Z37" s="1574" t="str">
        <f t="shared" si="15"/>
        <v>成新度</v>
      </c>
      <c r="AA37" s="1575" t="e">
        <f t="shared" si="3"/>
        <v>#N/A</v>
      </c>
      <c r="AB37" s="1575" t="e">
        <f t="shared" si="4"/>
        <v>#N/A</v>
      </c>
      <c r="AC37" s="1575" t="e">
        <f t="shared" si="5"/>
        <v>#N/A</v>
      </c>
    </row>
    <row r="38" spans="1:29" s="1219" customFormat="1" ht="15">
      <c r="A38" s="600"/>
      <c r="B38" s="529" t="s">
        <v>780</v>
      </c>
      <c r="C38" s="574"/>
      <c r="D38" s="254">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1"/>
      <c r="Q38" s="1150" t="str">
        <f t="shared" si="11"/>
        <v>写字楼等级</v>
      </c>
      <c r="R38" s="1567" t="s">
        <v>8</v>
      </c>
      <c r="S38" s="1568">
        <f t="shared" si="12"/>
        <v>100</v>
      </c>
      <c r="T38" s="1567" t="s">
        <v>8</v>
      </c>
      <c r="U38" s="1568">
        <f t="shared" si="13"/>
        <v>100</v>
      </c>
      <c r="V38" s="1567" t="s">
        <v>8</v>
      </c>
      <c r="W38" s="1568">
        <f t="shared" si="14"/>
        <v>100</v>
      </c>
      <c r="X38" s="1569"/>
      <c r="Y38" s="3391"/>
      <c r="Z38" s="1149" t="str">
        <f t="shared" si="15"/>
        <v>写字楼等级</v>
      </c>
      <c r="AA38" s="1570">
        <f t="shared" si="3"/>
        <v>1</v>
      </c>
      <c r="AB38" s="1570">
        <f t="shared" si="4"/>
        <v>1</v>
      </c>
      <c r="AC38" s="1570">
        <f t="shared" si="5"/>
        <v>1</v>
      </c>
    </row>
    <row r="39" spans="1:29" ht="15">
      <c r="A39" s="594"/>
      <c r="B39" s="529"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1" t="s">
        <v>550</v>
      </c>
      <c r="Q39" s="1571" t="str">
        <f t="shared" si="11"/>
        <v>物业管理</v>
      </c>
      <c r="R39" s="1572" t="s">
        <v>8</v>
      </c>
      <c r="S39" s="1573">
        <f t="shared" si="12"/>
        <v>100</v>
      </c>
      <c r="T39" s="1572" t="s">
        <v>8</v>
      </c>
      <c r="U39" s="1573">
        <f t="shared" si="13"/>
        <v>100</v>
      </c>
      <c r="V39" s="1572" t="s">
        <v>8</v>
      </c>
      <c r="W39" s="1573">
        <f t="shared" si="14"/>
        <v>100</v>
      </c>
      <c r="X39" s="1566"/>
      <c r="Y39" s="3391" t="s">
        <v>550</v>
      </c>
      <c r="Z39" s="1574" t="str">
        <f t="shared" si="15"/>
        <v>物业管理</v>
      </c>
      <c r="AA39" s="1575">
        <f t="shared" si="3"/>
        <v>1</v>
      </c>
      <c r="AB39" s="1575">
        <f t="shared" si="4"/>
        <v>1</v>
      </c>
      <c r="AC39" s="1575">
        <f t="shared" si="5"/>
        <v>1</v>
      </c>
    </row>
    <row r="40" spans="1:29" ht="15">
      <c r="A40" s="594"/>
      <c r="B40" s="1895"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1"/>
      <c r="Q40" s="1571" t="str">
        <f t="shared" si="11"/>
        <v>市政基础设施</v>
      </c>
      <c r="R40" s="1572" t="s">
        <v>8</v>
      </c>
      <c r="S40" s="1573">
        <f t="shared" si="12"/>
        <v>100</v>
      </c>
      <c r="T40" s="1572" t="s">
        <v>8</v>
      </c>
      <c r="U40" s="1573">
        <f t="shared" si="13"/>
        <v>100</v>
      </c>
      <c r="V40" s="1572" t="s">
        <v>8</v>
      </c>
      <c r="W40" s="1573">
        <f t="shared" si="14"/>
        <v>100</v>
      </c>
      <c r="X40" s="1566"/>
      <c r="Y40" s="3391"/>
      <c r="Z40" s="1574" t="str">
        <f t="shared" si="15"/>
        <v>市政基础设施</v>
      </c>
      <c r="AA40" s="1575">
        <f t="shared" si="3"/>
        <v>1</v>
      </c>
      <c r="AB40" s="1575">
        <f t="shared" si="4"/>
        <v>1</v>
      </c>
      <c r="AC40" s="1575">
        <f t="shared" si="5"/>
        <v>1</v>
      </c>
    </row>
    <row r="41" spans="1:29" ht="15">
      <c r="A41" s="594"/>
      <c r="B41" s="529"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1"/>
      <c r="Q41" s="1571" t="str">
        <f t="shared" si="11"/>
        <v>层高</v>
      </c>
      <c r="R41" s="1572" t="s">
        <v>8</v>
      </c>
      <c r="S41" s="1573">
        <f t="shared" si="12"/>
        <v>100</v>
      </c>
      <c r="T41" s="1572" t="s">
        <v>8</v>
      </c>
      <c r="U41" s="1573">
        <f t="shared" si="13"/>
        <v>100</v>
      </c>
      <c r="V41" s="1572" t="s">
        <v>8</v>
      </c>
      <c r="W41" s="1573">
        <f t="shared" si="14"/>
        <v>100</v>
      </c>
      <c r="X41" s="1566"/>
      <c r="Y41" s="3391"/>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1"/>
      <c r="Q42" s="1604" t="str">
        <f t="shared" si="11"/>
        <v>单套建筑面积</v>
      </c>
      <c r="R42" s="1576" t="s">
        <v>8</v>
      </c>
      <c r="S42" s="1577">
        <f t="shared" si="12"/>
        <v>100</v>
      </c>
      <c r="T42" s="1576" t="s">
        <v>8</v>
      </c>
      <c r="U42" s="1577">
        <f t="shared" si="13"/>
        <v>100</v>
      </c>
      <c r="V42" s="1576" t="s">
        <v>8</v>
      </c>
      <c r="W42" s="1577">
        <f t="shared" si="14"/>
        <v>100</v>
      </c>
      <c r="X42" s="1578"/>
      <c r="Y42" s="3391"/>
      <c r="Z42" s="1579" t="str">
        <f t="shared" si="15"/>
        <v>单套建筑面积</v>
      </c>
      <c r="AA42" s="1575">
        <f t="shared" si="3"/>
        <v>1</v>
      </c>
      <c r="AB42" s="1575">
        <f t="shared" si="4"/>
        <v>1</v>
      </c>
      <c r="AC42" s="1575">
        <f t="shared" si="5"/>
        <v>1</v>
      </c>
    </row>
    <row r="43" spans="1:29" ht="15">
      <c r="A43" s="594"/>
      <c r="B43" s="529"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1"/>
      <c r="Q43" s="1571" t="str">
        <f t="shared" si="11"/>
        <v>内部装修</v>
      </c>
      <c r="R43" s="1572" t="s">
        <v>8</v>
      </c>
      <c r="S43" s="1573">
        <f t="shared" si="12"/>
        <v>100</v>
      </c>
      <c r="T43" s="1572" t="s">
        <v>8</v>
      </c>
      <c r="U43" s="1573">
        <f t="shared" si="13"/>
        <v>100</v>
      </c>
      <c r="V43" s="1572" t="s">
        <v>8</v>
      </c>
      <c r="W43" s="1573">
        <f t="shared" si="14"/>
        <v>100</v>
      </c>
      <c r="X43" s="1566"/>
      <c r="Y43" s="3391"/>
      <c r="Z43" s="1574" t="str">
        <f t="shared" si="15"/>
        <v>内部装修</v>
      </c>
      <c r="AA43" s="1575">
        <f t="shared" si="3"/>
        <v>1</v>
      </c>
      <c r="AB43" s="1575">
        <f t="shared" si="4"/>
        <v>1</v>
      </c>
      <c r="AC43" s="1575">
        <f t="shared" si="5"/>
        <v>1</v>
      </c>
    </row>
    <row r="44" spans="1:29" ht="27">
      <c r="A44" s="594"/>
      <c r="B44" s="529"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1"/>
      <c r="Q44" s="1571" t="str">
        <f t="shared" si="11"/>
        <v>内部装修维护情况</v>
      </c>
      <c r="R44" s="1572" t="s">
        <v>8</v>
      </c>
      <c r="S44" s="1573">
        <f t="shared" si="12"/>
        <v>100</v>
      </c>
      <c r="T44" s="1572" t="s">
        <v>8</v>
      </c>
      <c r="U44" s="1573">
        <f t="shared" si="13"/>
        <v>100</v>
      </c>
      <c r="V44" s="1572" t="s">
        <v>8</v>
      </c>
      <c r="W44" s="1573">
        <f t="shared" si="14"/>
        <v>100</v>
      </c>
      <c r="X44" s="1566"/>
      <c r="Y44" s="3391"/>
      <c r="Z44" s="1574" t="str">
        <f t="shared" si="15"/>
        <v>内部装修维护情况</v>
      </c>
      <c r="AA44" s="1575">
        <f t="shared" si="3"/>
        <v>1</v>
      </c>
      <c r="AB44" s="1575">
        <f t="shared" si="4"/>
        <v>1</v>
      </c>
      <c r="AC44" s="1575">
        <f t="shared" si="5"/>
        <v>1</v>
      </c>
    </row>
    <row r="45" spans="1:29" s="1219" customFormat="1" ht="15">
      <c r="A45" s="600"/>
      <c r="B45" s="877">
        <v>111</v>
      </c>
      <c r="C45" s="879"/>
      <c r="D45" s="254">
        <v>100</v>
      </c>
      <c r="E45" s="530"/>
      <c r="F45" s="863">
        <f>SUMIF(127:127,E45,128:128)-SUMIF(127:127,C45,128:128)+100</f>
        <v>100</v>
      </c>
      <c r="G45" s="530"/>
      <c r="H45" s="254">
        <f>SUMIF(127:127,G45,128:128)-SUMIF(127:127,C45,128:128)+100</f>
        <v>100</v>
      </c>
      <c r="I45" s="530"/>
      <c r="J45" s="254">
        <f>SUMIF(127:127,I45,128:128)-SUMIF(127:127,C45,128:128)+100</f>
        <v>100</v>
      </c>
      <c r="K45" s="581"/>
      <c r="L45" s="2135"/>
      <c r="M45" s="2136"/>
      <c r="N45" s="2136"/>
      <c r="O45" s="2136"/>
      <c r="P45" s="3391"/>
      <c r="Q45" s="1150">
        <f t="shared" si="11"/>
        <v>111</v>
      </c>
      <c r="R45" s="1567" t="s">
        <v>8</v>
      </c>
      <c r="S45" s="1568">
        <f t="shared" si="12"/>
        <v>100</v>
      </c>
      <c r="T45" s="1567" t="s">
        <v>8</v>
      </c>
      <c r="U45" s="1568">
        <f t="shared" si="13"/>
        <v>100</v>
      </c>
      <c r="V45" s="1567" t="s">
        <v>8</v>
      </c>
      <c r="W45" s="1568">
        <f t="shared" si="14"/>
        <v>100</v>
      </c>
      <c r="X45" s="1569"/>
      <c r="Y45" s="3391"/>
      <c r="Z45" s="1149">
        <f t="shared" si="15"/>
        <v>111</v>
      </c>
      <c r="AA45" s="1570">
        <f t="shared" si="3"/>
        <v>1</v>
      </c>
      <c r="AB45" s="1570">
        <f t="shared" si="4"/>
        <v>1</v>
      </c>
      <c r="AC45" s="1570">
        <f t="shared" si="5"/>
        <v>1</v>
      </c>
    </row>
    <row r="46" spans="1:29" ht="15">
      <c r="A46" s="594"/>
      <c r="B46" s="877">
        <v>111</v>
      </c>
      <c r="C46" s="539"/>
      <c r="D46" s="540">
        <v>100</v>
      </c>
      <c r="E46" s="530"/>
      <c r="F46" s="575">
        <f>SUMIF(129:129,E46,130:130)-SUMIF(129:129,C46,130:130)+100</f>
        <v>100</v>
      </c>
      <c r="G46" s="530"/>
      <c r="H46" s="540">
        <f>SUMIF(129:129,G46,130:130)-SUMIF(129:129,C46,130:130)+100</f>
        <v>100</v>
      </c>
      <c r="I46" s="530"/>
      <c r="J46" s="540">
        <f>SUMIF(129:129,I46,130:130)-SUMIF(129:129,C46,130:130)+100</f>
        <v>100</v>
      </c>
      <c r="K46" s="581"/>
      <c r="L46" s="2142"/>
      <c r="M46" s="2134"/>
      <c r="N46" s="2134"/>
      <c r="O46" s="2134"/>
      <c r="P46" s="3391"/>
      <c r="Q46" s="1571">
        <f t="shared" si="11"/>
        <v>111</v>
      </c>
      <c r="R46" s="1572" t="s">
        <v>8</v>
      </c>
      <c r="S46" s="1573">
        <f t="shared" si="12"/>
        <v>100</v>
      </c>
      <c r="T46" s="1572" t="s">
        <v>8</v>
      </c>
      <c r="U46" s="1573">
        <f t="shared" si="13"/>
        <v>100</v>
      </c>
      <c r="V46" s="1572" t="s">
        <v>8</v>
      </c>
      <c r="W46" s="1573">
        <f t="shared" si="14"/>
        <v>100</v>
      </c>
      <c r="X46" s="1566"/>
      <c r="Y46" s="3391"/>
      <c r="Z46" s="1574">
        <f t="shared" si="15"/>
        <v>111</v>
      </c>
      <c r="AA46" s="1575">
        <f t="shared" si="3"/>
        <v>1</v>
      </c>
      <c r="AB46" s="1575">
        <f t="shared" si="4"/>
        <v>1</v>
      </c>
      <c r="AC46" s="1575">
        <f t="shared" si="5"/>
        <v>1</v>
      </c>
    </row>
    <row r="47" spans="1:29" ht="15.75" thickBot="1">
      <c r="A47" s="885"/>
      <c r="B47" s="544">
        <v>111</v>
      </c>
      <c r="C47" s="545"/>
      <c r="D47" s="546">
        <v>100</v>
      </c>
      <c r="E47" s="530"/>
      <c r="F47" s="866">
        <f>SUMIF(131:131,E47,132:132)-SUMIF(131:131,C47,132:132)+100</f>
        <v>100</v>
      </c>
      <c r="G47" s="530"/>
      <c r="H47" s="546">
        <f>SUMIF(131:131,G47,132:132)-SUMIF(131:131,C47,132:132)+100</f>
        <v>100</v>
      </c>
      <c r="I47" s="530"/>
      <c r="J47" s="546">
        <f>SUMIF(131:131,I47,132:132)-SUMIF(131:131,C47,132:132)+100</f>
        <v>100</v>
      </c>
      <c r="K47" s="581"/>
      <c r="L47" s="2142"/>
      <c r="M47" s="2134"/>
      <c r="N47" s="2134"/>
      <c r="O47" s="2134"/>
      <c r="P47" s="3445"/>
      <c r="Q47" s="1571">
        <f t="shared" si="11"/>
        <v>111</v>
      </c>
      <c r="R47" s="1572" t="s">
        <v>8</v>
      </c>
      <c r="S47" s="1573">
        <f t="shared" si="12"/>
        <v>100</v>
      </c>
      <c r="T47" s="1572" t="s">
        <v>8</v>
      </c>
      <c r="U47" s="1573">
        <f t="shared" si="13"/>
        <v>100</v>
      </c>
      <c r="V47" s="1572" t="s">
        <v>8</v>
      </c>
      <c r="W47" s="1573">
        <f t="shared" si="14"/>
        <v>100</v>
      </c>
      <c r="X47" s="1566"/>
      <c r="Y47" s="3445"/>
      <c r="Z47" s="1574">
        <f t="shared" si="15"/>
        <v>111</v>
      </c>
      <c r="AA47" s="1575">
        <f t="shared" si="3"/>
        <v>1</v>
      </c>
      <c r="AB47" s="1575">
        <f t="shared" si="4"/>
        <v>1</v>
      </c>
      <c r="AC47" s="1575">
        <f t="shared" si="5"/>
        <v>1</v>
      </c>
    </row>
    <row r="48" spans="1:29" ht="15">
      <c r="A48" s="607" t="s">
        <v>735</v>
      </c>
      <c r="B48" s="886"/>
      <c r="C48" s="2651" t="s">
        <v>1</v>
      </c>
      <c r="D48" s="2652"/>
      <c r="E48" s="2653"/>
      <c r="F48" s="2654"/>
      <c r="G48" s="2655"/>
      <c r="H48" s="2656"/>
      <c r="I48" s="2653"/>
      <c r="J48" s="2656"/>
      <c r="K48" s="1610"/>
      <c r="L48" s="2144"/>
      <c r="M48" s="2134"/>
      <c r="N48" s="2134"/>
      <c r="O48" s="2134"/>
      <c r="P48" s="3352" t="str">
        <f>A48</f>
        <v>成交单价（元/平方米）</v>
      </c>
      <c r="Q48" s="3354"/>
      <c r="R48" s="3444">
        <f>E48</f>
        <v>0</v>
      </c>
      <c r="S48" s="3444"/>
      <c r="T48" s="3444">
        <f>G48</f>
        <v>0</v>
      </c>
      <c r="U48" s="3444"/>
      <c r="V48" s="3444">
        <f>I48</f>
        <v>0</v>
      </c>
      <c r="W48" s="3444"/>
      <c r="X48" s="1558"/>
      <c r="Y48" s="1580"/>
      <c r="Z48" s="1558"/>
      <c r="AA48" s="1558"/>
      <c r="AB48" s="1558"/>
      <c r="AC48" s="1558"/>
    </row>
    <row r="49" spans="1:29" ht="15.75" thickBot="1">
      <c r="A49" s="615" t="s">
        <v>2765</v>
      </c>
      <c r="B49" s="887"/>
      <c r="C49" s="2657" t="e">
        <f>R50</f>
        <v>#DIV/0!</v>
      </c>
      <c r="D49" s="2658"/>
      <c r="E49" s="2659" t="e">
        <f>R49</f>
        <v>#DIV/0!</v>
      </c>
      <c r="F49" s="2659"/>
      <c r="G49" s="2657" t="e">
        <f>T49</f>
        <v>#DIV/0!</v>
      </c>
      <c r="H49" s="2658"/>
      <c r="I49" s="2659" t="e">
        <f>V49</f>
        <v>#DIV/0!</v>
      </c>
      <c r="J49" s="2658"/>
      <c r="K49" s="1611"/>
      <c r="L49" s="2144"/>
      <c r="M49" s="2134"/>
      <c r="N49" s="2134"/>
      <c r="O49" s="2134"/>
      <c r="P49" s="3352" t="str">
        <f>A49</f>
        <v>比较价格（元/平方米）</v>
      </c>
      <c r="Q49" s="3354"/>
      <c r="R49" s="3444" t="e">
        <f>IF(F1="售价",ROUND(PRODUCT(R48,AA7:AA47),0),ROUND(PRODUCT(R48,AA7:AA47),1))</f>
        <v>#DIV/0!</v>
      </c>
      <c r="S49" s="3444"/>
      <c r="T49" s="3444" t="e">
        <f>IF(F1="售价",ROUND(PRODUCT(T48,AB7:AB47),0),ROUND(PRODUCT(T48,AB7:AB47),1))</f>
        <v>#DIV/0!</v>
      </c>
      <c r="U49" s="3444"/>
      <c r="V49" s="3444" t="e">
        <f>IF(F1="售价",ROUND(PRODUCT(V48,AC7:AC47),0),ROUND(PRODUCT(V48,AC7:AC47),1))</f>
        <v>#DIV/0!</v>
      </c>
      <c r="W49" s="3444"/>
      <c r="X49" s="1558"/>
      <c r="Y49" s="1558"/>
      <c r="Z49" s="1558"/>
      <c r="AA49" s="1558"/>
      <c r="AB49" s="1558"/>
      <c r="AC49" s="1558"/>
    </row>
    <row r="50" spans="1:29" ht="15.75" thickBot="1">
      <c r="A50" s="621" t="s">
        <v>2935</v>
      </c>
      <c r="B50" s="622"/>
      <c r="C50" s="2660" t="e">
        <f>R50</f>
        <v>#DIV/0!</v>
      </c>
      <c r="D50" s="2660"/>
      <c r="E50" s="2660"/>
      <c r="F50" s="2660"/>
      <c r="G50" s="2660"/>
      <c r="H50" s="2660"/>
      <c r="I50" s="2660"/>
      <c r="J50" s="2660"/>
      <c r="K50" s="1612"/>
      <c r="L50" s="2144"/>
      <c r="M50" s="2134"/>
      <c r="N50" s="2134"/>
      <c r="O50" s="2134"/>
      <c r="P50" s="3471" t="str">
        <f>A50</f>
        <v>估价对象XX用房的比较价格（楼面单价，元/平方米）</v>
      </c>
      <c r="Q50" s="3352"/>
      <c r="R50" s="3443" t="e">
        <f>IF(F1="售价",ROUND(AVERAGE(R49:V49),0),ROUND(AVERAGE(R49:V49),1))</f>
        <v>#DIV/0!</v>
      </c>
      <c r="S50" s="3443"/>
      <c r="T50" s="3443"/>
      <c r="U50" s="3443"/>
      <c r="V50" s="3443"/>
      <c r="W50" s="3443"/>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529</v>
      </c>
      <c r="B59" s="646"/>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2560</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2561</v>
      </c>
      <c r="C83" s="2622" t="s">
        <v>2562</v>
      </c>
      <c r="D83" s="2622" t="s">
        <v>2563</v>
      </c>
      <c r="E83" s="2622" t="s">
        <v>2564</v>
      </c>
      <c r="F83" s="2622" t="s">
        <v>2565</v>
      </c>
      <c r="G83" s="2622" t="s">
        <v>2566</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2559</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786</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787</v>
      </c>
      <c r="C1" s="506" t="s">
        <v>720</v>
      </c>
      <c r="D1" s="849"/>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430"/>
    </row>
    <row r="2" spans="1:29" s="1335" customFormat="1" ht="28.5" customHeight="1">
      <c r="A2" s="425"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30"/>
    </row>
    <row r="3" spans="1:29" s="1335" customFormat="1" ht="28.5" customHeight="1" thickBot="1">
      <c r="A3" s="511" t="s">
        <v>519</v>
      </c>
      <c r="B3" s="512"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521</v>
      </c>
      <c r="B4" s="515"/>
      <c r="C4" s="3360" t="s">
        <v>522</v>
      </c>
      <c r="D4" s="3361"/>
      <c r="E4" s="3394" t="s">
        <v>523</v>
      </c>
      <c r="F4" s="3395"/>
      <c r="G4" s="3360" t="s">
        <v>524</v>
      </c>
      <c r="H4" s="3361"/>
      <c r="I4" s="3360" t="s">
        <v>525</v>
      </c>
      <c r="J4" s="3361"/>
      <c r="K4" s="516" t="s">
        <v>526</v>
      </c>
      <c r="L4" s="2133"/>
      <c r="M4" s="2134"/>
      <c r="N4" s="2134"/>
      <c r="O4" s="2134"/>
      <c r="P4" s="3362" t="s">
        <v>527</v>
      </c>
      <c r="Q4" s="3363"/>
      <c r="R4" s="3368" t="s">
        <v>523</v>
      </c>
      <c r="S4" s="3369"/>
      <c r="T4" s="3368" t="s">
        <v>524</v>
      </c>
      <c r="U4" s="3369"/>
      <c r="V4" s="3355" t="s">
        <v>525</v>
      </c>
      <c r="W4" s="3355"/>
      <c r="X4" s="1566"/>
      <c r="Y4" s="3368" t="s">
        <v>527</v>
      </c>
      <c r="Z4" s="3369"/>
      <c r="AA4" s="3357" t="s">
        <v>523</v>
      </c>
      <c r="AB4" s="3358" t="s">
        <v>524</v>
      </c>
      <c r="AC4" s="3357" t="s">
        <v>525</v>
      </c>
    </row>
    <row r="5" spans="1:29" ht="15">
      <c r="A5" s="517"/>
      <c r="B5" s="518"/>
      <c r="C5" s="3376" t="s">
        <v>2929</v>
      </c>
      <c r="D5" s="3377"/>
      <c r="E5" s="3396" t="s">
        <v>2930</v>
      </c>
      <c r="F5" s="3397"/>
      <c r="G5" s="3376" t="s">
        <v>2931</v>
      </c>
      <c r="H5" s="3377"/>
      <c r="I5" s="3376" t="s">
        <v>2932</v>
      </c>
      <c r="J5" s="3377"/>
      <c r="K5" s="516"/>
      <c r="L5" s="2133"/>
      <c r="M5" s="2134"/>
      <c r="N5" s="2134"/>
      <c r="O5" s="2134"/>
      <c r="P5" s="3364"/>
      <c r="Q5" s="3365"/>
      <c r="R5" s="3370"/>
      <c r="S5" s="3371"/>
      <c r="T5" s="3370"/>
      <c r="U5" s="3371"/>
      <c r="V5" s="3355"/>
      <c r="W5" s="3355"/>
      <c r="X5" s="1566"/>
      <c r="Y5" s="3370"/>
      <c r="Z5" s="3371"/>
      <c r="AA5" s="3358"/>
      <c r="AB5" s="3358"/>
      <c r="AC5" s="3358"/>
    </row>
    <row r="6" spans="1:29" ht="15.75" thickBot="1">
      <c r="A6" s="519"/>
      <c r="B6" s="520"/>
      <c r="C6" s="3374" t="s">
        <v>2933</v>
      </c>
      <c r="D6" s="3375"/>
      <c r="E6" s="3392" t="s">
        <v>2933</v>
      </c>
      <c r="F6" s="3393"/>
      <c r="G6" s="3374" t="s">
        <v>2933</v>
      </c>
      <c r="H6" s="3375"/>
      <c r="I6" s="3374" t="s">
        <v>2933</v>
      </c>
      <c r="J6" s="3375"/>
      <c r="K6" s="516" t="s">
        <v>528</v>
      </c>
      <c r="L6" s="2133"/>
      <c r="M6" s="2134"/>
      <c r="N6" s="2134"/>
      <c r="O6" s="2134"/>
      <c r="P6" s="3366"/>
      <c r="Q6" s="3367"/>
      <c r="R6" s="3370"/>
      <c r="S6" s="3371"/>
      <c r="T6" s="3372"/>
      <c r="U6" s="3373"/>
      <c r="V6" s="3355"/>
      <c r="W6" s="3355"/>
      <c r="X6" s="1566"/>
      <c r="Y6" s="3372"/>
      <c r="Z6" s="3373"/>
      <c r="AA6" s="3359"/>
      <c r="AB6" s="3359"/>
      <c r="AC6" s="3359"/>
    </row>
    <row r="7" spans="1:29" s="1219" customFormat="1" ht="15.75" thickBot="1">
      <c r="A7" s="2938"/>
      <c r="B7" s="2945" t="s">
        <v>529</v>
      </c>
      <c r="C7" s="521">
        <f>'数据-取费表'!B2</f>
        <v>43076</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85" t="s">
        <v>530</v>
      </c>
      <c r="Q7" s="3387"/>
      <c r="R7" s="1567" t="s">
        <v>8</v>
      </c>
      <c r="S7" s="1568">
        <f t="shared" ref="S7:S15" si="0">F7</f>
        <v>0</v>
      </c>
      <c r="T7" s="1567" t="s">
        <v>8</v>
      </c>
      <c r="U7" s="1568">
        <f t="shared" ref="U7:U15" si="1">H7</f>
        <v>0</v>
      </c>
      <c r="V7" s="1567" t="s">
        <v>8</v>
      </c>
      <c r="W7" s="1568">
        <f t="shared" ref="W7:W15" si="2">J7</f>
        <v>0</v>
      </c>
      <c r="X7" s="1569"/>
      <c r="Y7" s="3385" t="s">
        <v>530</v>
      </c>
      <c r="Z7" s="3386"/>
      <c r="AA7" s="1570" t="e">
        <f>D7/F7</f>
        <v>#DIV/0!</v>
      </c>
      <c r="AB7" s="1570" t="e">
        <f>D7/H7</f>
        <v>#DIV/0!</v>
      </c>
      <c r="AC7" s="1570" t="e">
        <f>D7/J7</f>
        <v>#DIV/0!</v>
      </c>
    </row>
    <row r="8" spans="1:29" s="1219" customFormat="1" ht="15.75" thickBot="1">
      <c r="A8" s="2939"/>
      <c r="B8" s="2946" t="s">
        <v>531</v>
      </c>
      <c r="C8" s="527" t="s">
        <v>576</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85" t="s">
        <v>533</v>
      </c>
      <c r="Q8" s="3386"/>
      <c r="R8" s="1567" t="s">
        <v>8</v>
      </c>
      <c r="S8" s="1568">
        <f t="shared" si="0"/>
        <v>0</v>
      </c>
      <c r="T8" s="1567" t="s">
        <v>8</v>
      </c>
      <c r="U8" s="1568">
        <f t="shared" si="1"/>
        <v>0</v>
      </c>
      <c r="V8" s="1567" t="s">
        <v>8</v>
      </c>
      <c r="W8" s="1568">
        <f t="shared" si="2"/>
        <v>0</v>
      </c>
      <c r="X8" s="1569"/>
      <c r="Y8" s="3385" t="s">
        <v>533</v>
      </c>
      <c r="Z8" s="3386"/>
      <c r="AA8" s="1570" t="e">
        <f t="shared" ref="AA8:AA40" si="3">D8/F8</f>
        <v>#DIV/0!</v>
      </c>
      <c r="AB8" s="1570" t="e">
        <f t="shared" ref="AB8:AB40" si="4">D8/H8</f>
        <v>#DIV/0!</v>
      </c>
      <c r="AC8" s="1570" t="e">
        <f t="shared" ref="AC8:AC40" si="5">D8/J8</f>
        <v>#DIV/0!</v>
      </c>
    </row>
    <row r="9" spans="1:29" s="1219" customFormat="1" ht="15">
      <c r="A9" s="2940"/>
      <c r="B9" s="2947" t="s">
        <v>2761</v>
      </c>
      <c r="C9" s="857"/>
      <c r="D9" s="253">
        <v>100</v>
      </c>
      <c r="E9" s="860"/>
      <c r="F9" s="253">
        <f>SUMIF(57:57,E9,58:58)-SUMIF(57:57,C9,58:58)+100</f>
        <v>100</v>
      </c>
      <c r="G9" s="858"/>
      <c r="H9" s="253">
        <f>SUMIF(57:57,G9,58:58)-SUMIF(57:57,C9,58:58)+100</f>
        <v>100</v>
      </c>
      <c r="I9" s="858"/>
      <c r="J9" s="253">
        <f>SUMIF(57:57,I9,58:58)-SUMIF(57:57,C9,58:58)+100</f>
        <v>100</v>
      </c>
      <c r="K9" s="526"/>
      <c r="L9" s="2135"/>
      <c r="M9" s="2136"/>
      <c r="N9" s="2136"/>
      <c r="O9" s="2137"/>
      <c r="P9" s="3354" t="s">
        <v>535</v>
      </c>
      <c r="Q9" s="1150" t="str">
        <f t="shared" ref="Q9:Q15" si="6">B9</f>
        <v>用途</v>
      </c>
      <c r="R9" s="1567" t="s">
        <v>8</v>
      </c>
      <c r="S9" s="1568">
        <f t="shared" si="0"/>
        <v>100</v>
      </c>
      <c r="T9" s="1567" t="s">
        <v>8</v>
      </c>
      <c r="U9" s="1568">
        <f t="shared" si="1"/>
        <v>100</v>
      </c>
      <c r="V9" s="1567" t="s">
        <v>8</v>
      </c>
      <c r="W9" s="1568">
        <f t="shared" si="2"/>
        <v>100</v>
      </c>
      <c r="X9" s="1569"/>
      <c r="Y9" s="3300"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SUMIF(59:59,E10,60:60)-SUMIF(59:59,C10,60:60)+100</f>
        <v>100</v>
      </c>
      <c r="G10" s="862"/>
      <c r="H10" s="254">
        <f>SUMIF(59:59,G10,60:60)-SUMIF(59:59,C10,60:60)+100</f>
        <v>100</v>
      </c>
      <c r="I10" s="861"/>
      <c r="J10" s="254">
        <f>SUMIF(59:59,I10,60:60)-SUMIF(59:59,C10,60:60)+100</f>
        <v>100</v>
      </c>
      <c r="K10" s="584"/>
      <c r="L10" s="2138"/>
      <c r="M10" s="2178"/>
      <c r="N10" s="2178"/>
      <c r="O10" s="2139"/>
      <c r="P10" s="3354"/>
      <c r="Q10" s="1150" t="str">
        <f t="shared" si="6"/>
        <v>土地使用年限（年）</v>
      </c>
      <c r="R10" s="1567" t="s">
        <v>8</v>
      </c>
      <c r="S10" s="1568">
        <f t="shared" si="0"/>
        <v>100</v>
      </c>
      <c r="T10" s="1567" t="s">
        <v>8</v>
      </c>
      <c r="U10" s="1568">
        <f t="shared" si="1"/>
        <v>100</v>
      </c>
      <c r="V10" s="1567" t="s">
        <v>8</v>
      </c>
      <c r="W10" s="1568">
        <f t="shared" si="2"/>
        <v>100</v>
      </c>
      <c r="X10" s="1569"/>
      <c r="Y10" s="3300"/>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LOOKUP(E11,62:62,63:63)-LOOKUP(C11,62:62,63:63)+100</f>
        <v>#N/A</v>
      </c>
      <c r="G11" s="534"/>
      <c r="H11" s="254" t="e">
        <f>LOOKUP(G11,62:62,63:63)-LOOKUP(C11,62:62,63:63)+100</f>
        <v>#N/A</v>
      </c>
      <c r="I11" s="533"/>
      <c r="J11" s="254" t="e">
        <f>LOOKUP(I11,62:62,63:63)-LOOKUP(C11,62:62,63:63)+100</f>
        <v>#N/A</v>
      </c>
      <c r="K11" s="584"/>
      <c r="L11" s="2140"/>
      <c r="M11" s="2134"/>
      <c r="N11" s="2134"/>
      <c r="O11" s="2141"/>
      <c r="P11" s="3354"/>
      <c r="Q11" s="1150" t="str">
        <f t="shared" si="6"/>
        <v>容积率</v>
      </c>
      <c r="R11" s="1567" t="s">
        <v>8</v>
      </c>
      <c r="S11" s="1568" t="e">
        <f t="shared" si="0"/>
        <v>#N/A</v>
      </c>
      <c r="T11" s="1567" t="s">
        <v>8</v>
      </c>
      <c r="U11" s="1568" t="e">
        <f t="shared" si="1"/>
        <v>#N/A</v>
      </c>
      <c r="V11" s="1567" t="s">
        <v>8</v>
      </c>
      <c r="W11" s="1568" t="e">
        <f t="shared" si="2"/>
        <v>#N/A</v>
      </c>
      <c r="X11" s="1569"/>
      <c r="Y11" s="3300"/>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SUMIF(64:64,E12,65:65)-SUMIF(64:64,C12,65:65)+100</f>
        <v>100</v>
      </c>
      <c r="G12" s="919"/>
      <c r="H12" s="254">
        <f>SUMIF(64:64,G12,65:65)-SUMIF(64:64,C12,65:65)+100</f>
        <v>100</v>
      </c>
      <c r="I12" s="879"/>
      <c r="J12" s="254">
        <f>SUMIF(64:64,I12,65:65)-SUMIF(64:64,C12,65:65)+100</f>
        <v>100</v>
      </c>
      <c r="K12" s="581"/>
      <c r="L12" s="2135"/>
      <c r="M12" s="2136"/>
      <c r="N12" s="2136"/>
      <c r="O12" s="2137"/>
      <c r="P12" s="3354"/>
      <c r="Q12" s="1150">
        <f t="shared" si="6"/>
        <v>111</v>
      </c>
      <c r="R12" s="1567" t="s">
        <v>8</v>
      </c>
      <c r="S12" s="1568">
        <f t="shared" si="0"/>
        <v>100</v>
      </c>
      <c r="T12" s="1567" t="s">
        <v>8</v>
      </c>
      <c r="U12" s="1568">
        <f t="shared" si="1"/>
        <v>100</v>
      </c>
      <c r="V12" s="1567" t="s">
        <v>8</v>
      </c>
      <c r="W12" s="1568">
        <f t="shared" si="2"/>
        <v>100</v>
      </c>
      <c r="X12" s="1569"/>
      <c r="Y12" s="3300"/>
      <c r="Z12" s="1149">
        <f t="shared" si="7"/>
        <v>111</v>
      </c>
      <c r="AA12" s="1570">
        <f>D12/F12</f>
        <v>1</v>
      </c>
      <c r="AB12" s="1570">
        <f>D12/H12</f>
        <v>1</v>
      </c>
      <c r="AC12" s="1570">
        <f>D12/J12</f>
        <v>1</v>
      </c>
    </row>
    <row r="13" spans="1:29" ht="15">
      <c r="A13" s="2943"/>
      <c r="B13" s="2949">
        <v>111</v>
      </c>
      <c r="C13" s="539"/>
      <c r="D13" s="540">
        <v>100</v>
      </c>
      <c r="E13" s="539"/>
      <c r="F13" s="254">
        <f>SUMIF(66:66,E13,67:67)-SUMIF(66:66,C13,67:67)+100</f>
        <v>100</v>
      </c>
      <c r="G13" s="919"/>
      <c r="H13" s="540">
        <f>SUMIF(66:66,G13,67:67)-SUMIF(66:66,C13,67:67)+100</f>
        <v>100</v>
      </c>
      <c r="I13" s="879"/>
      <c r="J13" s="540">
        <f>SUMIF(66:66,I13,67:67)-SUMIF(66:66,C13,67:67)+100</f>
        <v>100</v>
      </c>
      <c r="K13" s="581"/>
      <c r="L13" s="2142"/>
      <c r="M13" s="2134"/>
      <c r="N13" s="2134"/>
      <c r="O13" s="2141"/>
      <c r="P13" s="3354"/>
      <c r="Q13" s="1150">
        <f t="shared" si="6"/>
        <v>111</v>
      </c>
      <c r="R13" s="1567" t="s">
        <v>8</v>
      </c>
      <c r="S13" s="1568">
        <f t="shared" si="0"/>
        <v>100</v>
      </c>
      <c r="T13" s="1567" t="s">
        <v>8</v>
      </c>
      <c r="U13" s="1568">
        <f t="shared" si="1"/>
        <v>100</v>
      </c>
      <c r="V13" s="1567" t="s">
        <v>8</v>
      </c>
      <c r="W13" s="1568">
        <f t="shared" si="2"/>
        <v>100</v>
      </c>
      <c r="X13" s="1569"/>
      <c r="Y13" s="3300"/>
      <c r="Z13" s="1149">
        <f t="shared" si="7"/>
        <v>111</v>
      </c>
      <c r="AA13" s="1570">
        <f t="shared" si="3"/>
        <v>1</v>
      </c>
      <c r="AB13" s="1570">
        <f t="shared" si="4"/>
        <v>1</v>
      </c>
      <c r="AC13" s="1570">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54"/>
      <c r="Q14" s="1150">
        <f t="shared" si="6"/>
        <v>111</v>
      </c>
      <c r="R14" s="1567" t="s">
        <v>8</v>
      </c>
      <c r="S14" s="1568">
        <f t="shared" si="0"/>
        <v>100</v>
      </c>
      <c r="T14" s="1567" t="s">
        <v>8</v>
      </c>
      <c r="U14" s="1568">
        <f t="shared" si="1"/>
        <v>100</v>
      </c>
      <c r="V14" s="1567" t="s">
        <v>8</v>
      </c>
      <c r="W14" s="1568">
        <f t="shared" si="2"/>
        <v>100</v>
      </c>
      <c r="X14" s="1569"/>
      <c r="Y14" s="3300"/>
      <c r="Z14" s="1149">
        <f t="shared" si="7"/>
        <v>111</v>
      </c>
      <c r="AA14" s="1570">
        <f t="shared" si="3"/>
        <v>1</v>
      </c>
      <c r="AB14" s="1570">
        <f t="shared" si="4"/>
        <v>1</v>
      </c>
      <c r="AC14" s="1570">
        <f t="shared" si="5"/>
        <v>1</v>
      </c>
    </row>
    <row r="15" spans="1:29" ht="57">
      <c r="A15" s="2936" t="s">
        <v>2759</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388" t="s">
        <v>540</v>
      </c>
      <c r="Q15" s="1571" t="str">
        <f t="shared" si="6"/>
        <v>产业集聚程度</v>
      </c>
      <c r="R15" s="1572" t="s">
        <v>8</v>
      </c>
      <c r="S15" s="1573">
        <f t="shared" si="0"/>
        <v>100</v>
      </c>
      <c r="T15" s="1572" t="s">
        <v>8</v>
      </c>
      <c r="U15" s="1573">
        <f t="shared" si="1"/>
        <v>100</v>
      </c>
      <c r="V15" s="1572" t="s">
        <v>8</v>
      </c>
      <c r="W15" s="1573">
        <f t="shared" si="2"/>
        <v>100</v>
      </c>
      <c r="X15" s="1566"/>
      <c r="Y15" s="3388"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89"/>
      <c r="Q16" s="1571"/>
      <c r="R16" s="1572"/>
      <c r="S16" s="1573"/>
      <c r="T16" s="1572"/>
      <c r="U16" s="1573"/>
      <c r="V16" s="1572"/>
      <c r="W16" s="1573"/>
      <c r="X16" s="1566"/>
      <c r="Y16" s="3389"/>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389"/>
      <c r="Q17" s="1571" t="str">
        <f>B17</f>
        <v>交通便捷度</v>
      </c>
      <c r="R17" s="1572" t="s">
        <v>8</v>
      </c>
      <c r="S17" s="1573">
        <f>F17</f>
        <v>100</v>
      </c>
      <c r="T17" s="1572" t="s">
        <v>8</v>
      </c>
      <c r="U17" s="1573">
        <f>H17</f>
        <v>100</v>
      </c>
      <c r="V17" s="1572" t="s">
        <v>8</v>
      </c>
      <c r="W17" s="1573">
        <f>J17</f>
        <v>100</v>
      </c>
      <c r="X17" s="1566"/>
      <c r="Y17" s="338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89"/>
      <c r="Q18" s="1571"/>
      <c r="R18" s="1572"/>
      <c r="S18" s="1573"/>
      <c r="T18" s="1572"/>
      <c r="U18" s="1573"/>
      <c r="V18" s="1572"/>
      <c r="W18" s="1573"/>
      <c r="X18" s="1566"/>
      <c r="Y18" s="3389"/>
      <c r="Z18" s="1574"/>
      <c r="AA18" s="1575">
        <v>1</v>
      </c>
      <c r="AB18" s="1575">
        <v>1</v>
      </c>
      <c r="AC18" s="1575">
        <v>1</v>
      </c>
    </row>
    <row r="19" spans="1:29" ht="42.75">
      <c r="A19" s="532"/>
      <c r="B19" s="2627"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389"/>
      <c r="Q19" s="1571" t="str">
        <f>B19</f>
        <v>公共配套设施</v>
      </c>
      <c r="R19" s="1572" t="s">
        <v>8</v>
      </c>
      <c r="S19" s="1573">
        <f>F19</f>
        <v>100</v>
      </c>
      <c r="T19" s="1572" t="s">
        <v>8</v>
      </c>
      <c r="U19" s="1573">
        <f>H19</f>
        <v>100</v>
      </c>
      <c r="V19" s="1572" t="s">
        <v>8</v>
      </c>
      <c r="W19" s="1573">
        <f>J19</f>
        <v>100</v>
      </c>
      <c r="X19" s="1566"/>
      <c r="Y19" s="3389"/>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389"/>
      <c r="Q20" s="1571"/>
      <c r="R20" s="1572"/>
      <c r="S20" s="1573"/>
      <c r="T20" s="1572"/>
      <c r="U20" s="1573"/>
      <c r="V20" s="1572"/>
      <c r="W20" s="1573"/>
      <c r="X20" s="1566"/>
      <c r="Y20" s="3389"/>
      <c r="Z20" s="1574"/>
      <c r="AA20" s="1575">
        <v>1</v>
      </c>
      <c r="AB20" s="1575">
        <v>1</v>
      </c>
      <c r="AC20" s="1575">
        <v>1</v>
      </c>
    </row>
    <row r="21" spans="1:29" ht="28.5">
      <c r="A21" s="532"/>
      <c r="B21" s="2615"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389"/>
      <c r="Q21" s="2603" t="str">
        <f>B21</f>
        <v>基础设施水平</v>
      </c>
      <c r="R21" s="1572" t="s">
        <v>8</v>
      </c>
      <c r="S21" s="1573">
        <f>F21</f>
        <v>100</v>
      </c>
      <c r="T21" s="1572" t="s">
        <v>8</v>
      </c>
      <c r="U21" s="1573">
        <f>H21</f>
        <v>100</v>
      </c>
      <c r="V21" s="1572" t="s">
        <v>8</v>
      </c>
      <c r="W21" s="1573">
        <f>J21</f>
        <v>100</v>
      </c>
      <c r="X21" s="2605"/>
      <c r="Y21" s="3389"/>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389"/>
      <c r="Q22" s="2603"/>
      <c r="R22" s="1572"/>
      <c r="S22" s="1573"/>
      <c r="T22" s="1572"/>
      <c r="U22" s="1573"/>
      <c r="V22" s="1572"/>
      <c r="W22" s="1573"/>
      <c r="X22" s="2605"/>
      <c r="Y22" s="3389"/>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389"/>
      <c r="Q23" s="1571" t="str">
        <f>B23</f>
        <v>环境质量</v>
      </c>
      <c r="R23" s="1572" t="s">
        <v>8</v>
      </c>
      <c r="S23" s="1573">
        <f>F23</f>
        <v>100</v>
      </c>
      <c r="T23" s="1572" t="s">
        <v>8</v>
      </c>
      <c r="U23" s="1573">
        <f>H23</f>
        <v>100</v>
      </c>
      <c r="V23" s="1572" t="s">
        <v>8</v>
      </c>
      <c r="W23" s="1573">
        <f>J23</f>
        <v>100</v>
      </c>
      <c r="X23" s="1566"/>
      <c r="Y23" s="3389"/>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389"/>
      <c r="Q24" s="1571"/>
      <c r="R24" s="1572"/>
      <c r="S24" s="1573"/>
      <c r="T24" s="1572"/>
      <c r="U24" s="1573"/>
      <c r="V24" s="1572"/>
      <c r="W24" s="1573"/>
      <c r="X24" s="1566"/>
      <c r="Y24" s="3389"/>
      <c r="Z24" s="1574"/>
      <c r="AA24" s="1575">
        <v>1</v>
      </c>
      <c r="AB24" s="1575">
        <v>1</v>
      </c>
      <c r="AC24" s="1575">
        <v>1</v>
      </c>
    </row>
    <row r="25" spans="1:29" ht="15">
      <c r="A25" s="517"/>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9"/>
      <c r="Q25" s="1571">
        <f>B25</f>
        <v>111</v>
      </c>
      <c r="R25" s="1572" t="s">
        <v>8</v>
      </c>
      <c r="S25" s="1573">
        <f>F25</f>
        <v>100</v>
      </c>
      <c r="T25" s="1572" t="s">
        <v>8</v>
      </c>
      <c r="U25" s="1573">
        <f>H25</f>
        <v>100</v>
      </c>
      <c r="V25" s="1572" t="s">
        <v>8</v>
      </c>
      <c r="W25" s="1573">
        <f>J25</f>
        <v>100</v>
      </c>
      <c r="X25" s="1566"/>
      <c r="Y25" s="3389"/>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9"/>
      <c r="Q26" s="1571">
        <f t="shared" ref="Q26:Q40" si="11">B26</f>
        <v>111</v>
      </c>
      <c r="R26" s="1572" t="s">
        <v>8</v>
      </c>
      <c r="S26" s="1573">
        <f>F26</f>
        <v>100</v>
      </c>
      <c r="T26" s="1572" t="s">
        <v>8</v>
      </c>
      <c r="U26" s="1573">
        <f>H26</f>
        <v>100</v>
      </c>
      <c r="V26" s="1572" t="s">
        <v>8</v>
      </c>
      <c r="W26" s="1573">
        <f>J26</f>
        <v>100</v>
      </c>
      <c r="X26" s="1566"/>
      <c r="Y26" s="3389"/>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9"/>
      <c r="Q27" s="1150">
        <f t="shared" si="11"/>
        <v>111</v>
      </c>
      <c r="R27" s="1567" t="s">
        <v>8</v>
      </c>
      <c r="S27" s="1568">
        <f>F27</f>
        <v>100</v>
      </c>
      <c r="T27" s="1567" t="s">
        <v>8</v>
      </c>
      <c r="U27" s="1568">
        <f>H27</f>
        <v>100</v>
      </c>
      <c r="V27" s="1567" t="s">
        <v>8</v>
      </c>
      <c r="W27" s="1568">
        <f>J27</f>
        <v>100</v>
      </c>
      <c r="X27" s="1569"/>
      <c r="Y27" s="3389"/>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389"/>
      <c r="Q28" s="1571">
        <f t="shared" si="11"/>
        <v>111</v>
      </c>
      <c r="R28" s="1572" t="s">
        <v>8</v>
      </c>
      <c r="S28" s="1573">
        <f t="shared" ref="S28:S40" si="12">F28</f>
        <v>100</v>
      </c>
      <c r="T28" s="1572" t="s">
        <v>8</v>
      </c>
      <c r="U28" s="1573">
        <f t="shared" ref="U28:U40" si="13">H28</f>
        <v>100</v>
      </c>
      <c r="V28" s="1572" t="s">
        <v>8</v>
      </c>
      <c r="W28" s="1573">
        <f t="shared" ref="W28:W40" si="14">J28</f>
        <v>100</v>
      </c>
      <c r="X28" s="1566"/>
      <c r="Y28" s="3389"/>
      <c r="Z28" s="1574">
        <f t="shared" ref="Z28:Z40" si="15">Q28</f>
        <v>111</v>
      </c>
      <c r="AA28" s="1575">
        <f t="shared" si="3"/>
        <v>1</v>
      </c>
      <c r="AB28" s="1575">
        <f t="shared" si="4"/>
        <v>1</v>
      </c>
      <c r="AC28" s="1575">
        <f t="shared" si="5"/>
        <v>1</v>
      </c>
    </row>
    <row r="29" spans="1:29" ht="15">
      <c r="A29" s="2933" t="s">
        <v>2760</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390" t="s">
        <v>550</v>
      </c>
      <c r="Q29" s="1571" t="str">
        <f t="shared" si="11"/>
        <v>建筑类型</v>
      </c>
      <c r="R29" s="1572" t="s">
        <v>8</v>
      </c>
      <c r="S29" s="1573">
        <f t="shared" si="12"/>
        <v>100</v>
      </c>
      <c r="T29" s="1572" t="s">
        <v>8</v>
      </c>
      <c r="U29" s="1573">
        <f t="shared" si="13"/>
        <v>100</v>
      </c>
      <c r="V29" s="1572" t="s">
        <v>8</v>
      </c>
      <c r="W29" s="1573">
        <f t="shared" si="14"/>
        <v>100</v>
      </c>
      <c r="X29" s="1566"/>
      <c r="Y29" s="3391" t="s">
        <v>550</v>
      </c>
      <c r="Z29" s="1574" t="str">
        <f t="shared" si="15"/>
        <v>建筑类型</v>
      </c>
      <c r="AA29" s="1575">
        <f t="shared" si="3"/>
        <v>1</v>
      </c>
      <c r="AB29" s="1575">
        <f t="shared" si="4"/>
        <v>1</v>
      </c>
      <c r="AC29" s="1575">
        <f t="shared" si="5"/>
        <v>1</v>
      </c>
    </row>
    <row r="30" spans="1:29" s="1338" customFormat="1" ht="15">
      <c r="A30" s="603"/>
      <c r="B30" s="529" t="s">
        <v>726</v>
      </c>
      <c r="C30" s="879"/>
      <c r="D30" s="254">
        <v>100</v>
      </c>
      <c r="E30" s="534"/>
      <c r="F30" s="863" t="e">
        <f>LOOKUP(E30,91:91,92:92)-LOOKUP(C30,91:91,92:92)+100</f>
        <v>#N/A</v>
      </c>
      <c r="G30" s="533"/>
      <c r="H30" s="254" t="e">
        <f>LOOKUP(G30,91:91,92:92)-LOOKUP(C30,91:91,92:92)+100</f>
        <v>#N/A</v>
      </c>
      <c r="I30" s="533"/>
      <c r="J30" s="254" t="e">
        <f>LOOKUP(I30,91:91,92:92)-LOOKUP(C30,91:91,92:92)+100</f>
        <v>#N/A</v>
      </c>
      <c r="K30" s="581"/>
      <c r="L30" s="2140"/>
      <c r="M30" s="2171"/>
      <c r="N30" s="2171"/>
      <c r="O30" s="2143"/>
      <c r="P30" s="3391"/>
      <c r="Q30" s="1604" t="str">
        <f t="shared" si="11"/>
        <v>项目建筑规模</v>
      </c>
      <c r="R30" s="1576" t="s">
        <v>8</v>
      </c>
      <c r="S30" s="1577" t="e">
        <f t="shared" si="12"/>
        <v>#N/A</v>
      </c>
      <c r="T30" s="1576" t="s">
        <v>8</v>
      </c>
      <c r="U30" s="1577" t="e">
        <f t="shared" si="13"/>
        <v>#N/A</v>
      </c>
      <c r="V30" s="1576" t="s">
        <v>8</v>
      </c>
      <c r="W30" s="1577" t="e">
        <f t="shared" si="14"/>
        <v>#N/A</v>
      </c>
      <c r="X30" s="1578"/>
      <c r="Y30" s="3391"/>
      <c r="Z30" s="1579" t="str">
        <f t="shared" si="15"/>
        <v>项目建筑规模</v>
      </c>
      <c r="AA30" s="1575" t="e">
        <f t="shared" si="3"/>
        <v>#N/A</v>
      </c>
      <c r="AB30" s="1575" t="e">
        <f t="shared" si="4"/>
        <v>#N/A</v>
      </c>
      <c r="AC30" s="1575" t="e">
        <f t="shared" si="5"/>
        <v>#N/A</v>
      </c>
    </row>
    <row r="31" spans="1:29" ht="15">
      <c r="A31" s="594"/>
      <c r="B31" s="529"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1"/>
      <c r="Q31" s="1571" t="str">
        <f t="shared" si="11"/>
        <v>建筑结构</v>
      </c>
      <c r="R31" s="1572" t="s">
        <v>8</v>
      </c>
      <c r="S31" s="1573">
        <f t="shared" si="12"/>
        <v>100</v>
      </c>
      <c r="T31" s="1572" t="s">
        <v>8</v>
      </c>
      <c r="U31" s="1573">
        <f t="shared" si="13"/>
        <v>100</v>
      </c>
      <c r="V31" s="1572" t="s">
        <v>8</v>
      </c>
      <c r="W31" s="1573">
        <f t="shared" si="14"/>
        <v>100</v>
      </c>
      <c r="X31" s="1566"/>
      <c r="Y31" s="3391"/>
      <c r="Z31" s="1574" t="str">
        <f t="shared" si="15"/>
        <v>建筑结构</v>
      </c>
      <c r="AA31" s="1575">
        <f t="shared" si="3"/>
        <v>1</v>
      </c>
      <c r="AB31" s="1575">
        <f t="shared" si="4"/>
        <v>1</v>
      </c>
      <c r="AC31" s="1575">
        <f t="shared" si="5"/>
        <v>1</v>
      </c>
    </row>
    <row r="32" spans="1:29" ht="15">
      <c r="A32" s="594"/>
      <c r="B32" s="529"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1"/>
      <c r="Q32" s="1571" t="str">
        <f t="shared" si="11"/>
        <v>公共部分装修</v>
      </c>
      <c r="R32" s="1572" t="s">
        <v>8</v>
      </c>
      <c r="S32" s="1573">
        <f t="shared" si="12"/>
        <v>100</v>
      </c>
      <c r="T32" s="1572" t="s">
        <v>8</v>
      </c>
      <c r="U32" s="1573">
        <f t="shared" si="13"/>
        <v>100</v>
      </c>
      <c r="V32" s="1572" t="s">
        <v>8</v>
      </c>
      <c r="W32" s="1573">
        <f t="shared" si="14"/>
        <v>100</v>
      </c>
      <c r="X32" s="1566"/>
      <c r="Y32" s="3391"/>
      <c r="Z32" s="1574" t="str">
        <f t="shared" si="15"/>
        <v>公共部分装修</v>
      </c>
      <c r="AA32" s="1575">
        <f t="shared" si="3"/>
        <v>1</v>
      </c>
      <c r="AB32" s="1575">
        <f t="shared" si="4"/>
        <v>1</v>
      </c>
      <c r="AC32" s="1575">
        <f t="shared" si="5"/>
        <v>1</v>
      </c>
    </row>
    <row r="33" spans="1:29" ht="15">
      <c r="A33" s="594"/>
      <c r="B33" s="529"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391"/>
      <c r="Q33" s="1571" t="str">
        <f t="shared" si="11"/>
        <v>成新度</v>
      </c>
      <c r="R33" s="1572" t="s">
        <v>8</v>
      </c>
      <c r="S33" s="1573" t="e">
        <f t="shared" si="12"/>
        <v>#N/A</v>
      </c>
      <c r="T33" s="1572" t="s">
        <v>8</v>
      </c>
      <c r="U33" s="1573" t="e">
        <f t="shared" si="13"/>
        <v>#N/A</v>
      </c>
      <c r="V33" s="1572" t="s">
        <v>8</v>
      </c>
      <c r="W33" s="1573" t="e">
        <f t="shared" si="14"/>
        <v>#N/A</v>
      </c>
      <c r="X33" s="1566"/>
      <c r="Y33" s="3391"/>
      <c r="Z33" s="1574" t="str">
        <f t="shared" si="15"/>
        <v>成新度</v>
      </c>
      <c r="AA33" s="1575" t="e">
        <f t="shared" si="3"/>
        <v>#N/A</v>
      </c>
      <c r="AB33" s="1575" t="e">
        <f t="shared" si="4"/>
        <v>#N/A</v>
      </c>
      <c r="AC33" s="1575" t="e">
        <f t="shared" si="5"/>
        <v>#N/A</v>
      </c>
    </row>
    <row r="34" spans="1:29" s="1219" customFormat="1" ht="15">
      <c r="A34" s="600"/>
      <c r="B34" s="529" t="s">
        <v>781</v>
      </c>
      <c r="C34" s="574"/>
      <c r="D34" s="254">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1"/>
      <c r="Q34" s="1150" t="str">
        <f t="shared" si="11"/>
        <v>物业管理</v>
      </c>
      <c r="R34" s="1567" t="s">
        <v>8</v>
      </c>
      <c r="S34" s="1568">
        <f t="shared" si="12"/>
        <v>100</v>
      </c>
      <c r="T34" s="1567" t="s">
        <v>8</v>
      </c>
      <c r="U34" s="1568">
        <f t="shared" si="13"/>
        <v>100</v>
      </c>
      <c r="V34" s="1567" t="s">
        <v>8</v>
      </c>
      <c r="W34" s="1568">
        <f t="shared" si="14"/>
        <v>100</v>
      </c>
      <c r="X34" s="1569"/>
      <c r="Y34" s="3391"/>
      <c r="Z34" s="1149" t="str">
        <f t="shared" si="15"/>
        <v>物业管理</v>
      </c>
      <c r="AA34" s="1570">
        <f t="shared" si="3"/>
        <v>1</v>
      </c>
      <c r="AB34" s="1570">
        <f t="shared" si="4"/>
        <v>1</v>
      </c>
      <c r="AC34" s="1570">
        <f t="shared" si="5"/>
        <v>1</v>
      </c>
    </row>
    <row r="35" spans="1:29" ht="15">
      <c r="A35" s="594"/>
      <c r="B35" s="1895"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1" t="s">
        <v>550</v>
      </c>
      <c r="Q35" s="1571" t="str">
        <f t="shared" si="11"/>
        <v>市政基础设施</v>
      </c>
      <c r="R35" s="1572" t="s">
        <v>8</v>
      </c>
      <c r="S35" s="1573">
        <f t="shared" si="12"/>
        <v>100</v>
      </c>
      <c r="T35" s="1572" t="s">
        <v>8</v>
      </c>
      <c r="U35" s="1573">
        <f t="shared" si="13"/>
        <v>100</v>
      </c>
      <c r="V35" s="1572" t="s">
        <v>8</v>
      </c>
      <c r="W35" s="1573">
        <f t="shared" si="14"/>
        <v>100</v>
      </c>
      <c r="X35" s="1566"/>
      <c r="Y35" s="3391" t="s">
        <v>550</v>
      </c>
      <c r="Z35" s="1574" t="str">
        <f t="shared" si="15"/>
        <v>市政基础设施</v>
      </c>
      <c r="AA35" s="1575">
        <f t="shared" si="3"/>
        <v>1</v>
      </c>
      <c r="AB35" s="1575">
        <f t="shared" si="4"/>
        <v>1</v>
      </c>
      <c r="AC35" s="1575">
        <f t="shared" si="5"/>
        <v>1</v>
      </c>
    </row>
    <row r="36" spans="1:29" ht="15">
      <c r="A36" s="594"/>
      <c r="B36" s="529"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1"/>
      <c r="Q36" s="1571" t="str">
        <f t="shared" si="11"/>
        <v>内部装修</v>
      </c>
      <c r="R36" s="1572" t="s">
        <v>8</v>
      </c>
      <c r="S36" s="1573">
        <f t="shared" si="12"/>
        <v>100</v>
      </c>
      <c r="T36" s="1572" t="s">
        <v>8</v>
      </c>
      <c r="U36" s="1573">
        <f t="shared" si="13"/>
        <v>100</v>
      </c>
      <c r="V36" s="1572" t="s">
        <v>8</v>
      </c>
      <c r="W36" s="1573">
        <f t="shared" si="14"/>
        <v>100</v>
      </c>
      <c r="X36" s="1566"/>
      <c r="Y36" s="3391"/>
      <c r="Z36" s="1574" t="str">
        <f t="shared" si="15"/>
        <v>内部装修</v>
      </c>
      <c r="AA36" s="1575">
        <f t="shared" si="3"/>
        <v>1</v>
      </c>
      <c r="AB36" s="1575">
        <f t="shared" si="4"/>
        <v>1</v>
      </c>
      <c r="AC36" s="1575">
        <f t="shared" si="5"/>
        <v>1</v>
      </c>
    </row>
    <row r="37" spans="1:29" ht="15">
      <c r="A37" s="594"/>
      <c r="B37" s="529"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1"/>
      <c r="Q37" s="1571" t="str">
        <f t="shared" si="11"/>
        <v>内部装修状况</v>
      </c>
      <c r="R37" s="1572" t="s">
        <v>8</v>
      </c>
      <c r="S37" s="1573">
        <f t="shared" si="12"/>
        <v>100</v>
      </c>
      <c r="T37" s="1572" t="s">
        <v>8</v>
      </c>
      <c r="U37" s="1573">
        <f t="shared" si="13"/>
        <v>100</v>
      </c>
      <c r="V37" s="1572" t="s">
        <v>8</v>
      </c>
      <c r="W37" s="1573">
        <f t="shared" si="14"/>
        <v>100</v>
      </c>
      <c r="X37" s="1566"/>
      <c r="Y37" s="3391"/>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391"/>
      <c r="Q38" s="1604">
        <f t="shared" si="11"/>
        <v>111</v>
      </c>
      <c r="R38" s="1576" t="s">
        <v>8</v>
      </c>
      <c r="S38" s="1577">
        <f t="shared" si="12"/>
        <v>100</v>
      </c>
      <c r="T38" s="1576" t="s">
        <v>8</v>
      </c>
      <c r="U38" s="1577">
        <f t="shared" si="13"/>
        <v>100</v>
      </c>
      <c r="V38" s="1576" t="s">
        <v>8</v>
      </c>
      <c r="W38" s="1577">
        <f t="shared" si="14"/>
        <v>100</v>
      </c>
      <c r="X38" s="1578"/>
      <c r="Y38" s="3391"/>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391"/>
      <c r="Q39" s="1571">
        <f t="shared" si="11"/>
        <v>111</v>
      </c>
      <c r="R39" s="1572" t="s">
        <v>8</v>
      </c>
      <c r="S39" s="1573">
        <f t="shared" si="12"/>
        <v>100</v>
      </c>
      <c r="T39" s="1572" t="s">
        <v>8</v>
      </c>
      <c r="U39" s="1573">
        <f t="shared" si="13"/>
        <v>100</v>
      </c>
      <c r="V39" s="1572" t="s">
        <v>8</v>
      </c>
      <c r="W39" s="1573">
        <f t="shared" si="14"/>
        <v>100</v>
      </c>
      <c r="X39" s="1566"/>
      <c r="Y39" s="3391"/>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45"/>
      <c r="Q40" s="1571">
        <f t="shared" si="11"/>
        <v>111</v>
      </c>
      <c r="R40" s="1572" t="s">
        <v>8</v>
      </c>
      <c r="S40" s="1573">
        <f t="shared" si="12"/>
        <v>100</v>
      </c>
      <c r="T40" s="1572" t="s">
        <v>8</v>
      </c>
      <c r="U40" s="1573">
        <f t="shared" si="13"/>
        <v>100</v>
      </c>
      <c r="V40" s="1572" t="s">
        <v>8</v>
      </c>
      <c r="W40" s="1573">
        <f t="shared" si="14"/>
        <v>100</v>
      </c>
      <c r="X40" s="1566"/>
      <c r="Y40" s="3445"/>
      <c r="Z40" s="1574">
        <f t="shared" si="15"/>
        <v>111</v>
      </c>
      <c r="AA40" s="1575">
        <f t="shared" si="3"/>
        <v>1</v>
      </c>
      <c r="AB40" s="1575">
        <f t="shared" si="4"/>
        <v>1</v>
      </c>
      <c r="AC40" s="1575">
        <f t="shared" si="5"/>
        <v>1</v>
      </c>
    </row>
    <row r="41" spans="1:29" ht="15">
      <c r="A41" s="607" t="s">
        <v>735</v>
      </c>
      <c r="B41" s="886"/>
      <c r="C41" s="2651" t="s">
        <v>1</v>
      </c>
      <c r="D41" s="2652"/>
      <c r="E41" s="2653"/>
      <c r="F41" s="2654"/>
      <c r="G41" s="2655"/>
      <c r="H41" s="2656"/>
      <c r="I41" s="2653"/>
      <c r="J41" s="2656"/>
      <c r="K41" s="1610"/>
      <c r="L41" s="2144"/>
      <c r="M41" s="2145"/>
      <c r="N41" s="2134"/>
      <c r="O41" s="2145"/>
      <c r="P41" s="3354" t="str">
        <f>A41</f>
        <v>成交单价（元/平方米）</v>
      </c>
      <c r="Q41" s="3354"/>
      <c r="R41" s="3444">
        <f>E41</f>
        <v>0</v>
      </c>
      <c r="S41" s="3444"/>
      <c r="T41" s="3444">
        <f>G41</f>
        <v>0</v>
      </c>
      <c r="U41" s="3444"/>
      <c r="V41" s="3444">
        <f>I41</f>
        <v>0</v>
      </c>
      <c r="W41" s="3444"/>
      <c r="X41" s="1558"/>
      <c r="Y41" s="1580"/>
      <c r="Z41" s="1558"/>
      <c r="AA41" s="1558"/>
      <c r="AB41" s="1558"/>
      <c r="AC41" s="1558"/>
    </row>
    <row r="42" spans="1:29" ht="15.75" thickBot="1">
      <c r="A42" s="615" t="s">
        <v>2765</v>
      </c>
      <c r="B42" s="887"/>
      <c r="C42" s="2657" t="e">
        <f>R43</f>
        <v>#DIV/0!</v>
      </c>
      <c r="D42" s="2658"/>
      <c r="E42" s="2659" t="e">
        <f>R42</f>
        <v>#DIV/0!</v>
      </c>
      <c r="F42" s="2659"/>
      <c r="G42" s="2657" t="e">
        <f>T42</f>
        <v>#DIV/0!</v>
      </c>
      <c r="H42" s="2658"/>
      <c r="I42" s="2659" t="e">
        <f>V42</f>
        <v>#DIV/0!</v>
      </c>
      <c r="J42" s="2658"/>
      <c r="K42" s="1611"/>
      <c r="L42" s="2144"/>
      <c r="M42" s="2145"/>
      <c r="N42" s="2134"/>
      <c r="O42" s="2145"/>
      <c r="P42" s="3354" t="str">
        <f>A42</f>
        <v>比较价格（元/平方米）</v>
      </c>
      <c r="Q42" s="3354"/>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1558"/>
      <c r="Y42" s="1558"/>
      <c r="Z42" s="1558"/>
      <c r="AA42" s="1558"/>
      <c r="AB42" s="1558"/>
      <c r="AC42" s="1558"/>
    </row>
    <row r="43" spans="1:29" ht="15.75" thickBot="1">
      <c r="A43" s="621" t="s">
        <v>2935</v>
      </c>
      <c r="B43" s="622"/>
      <c r="C43" s="2660" t="e">
        <f>R43</f>
        <v>#DIV/0!</v>
      </c>
      <c r="D43" s="2660"/>
      <c r="E43" s="2660"/>
      <c r="F43" s="2660"/>
      <c r="G43" s="2660"/>
      <c r="H43" s="2660"/>
      <c r="I43" s="2660"/>
      <c r="J43" s="2660"/>
      <c r="K43" s="1612"/>
      <c r="L43" s="2144"/>
      <c r="M43" s="2145"/>
      <c r="N43" s="2145"/>
      <c r="O43" s="2145"/>
      <c r="P43" s="3351" t="str">
        <f>A43</f>
        <v>估价对象XX用房的比较价格（楼面单价，元/平方米）</v>
      </c>
      <c r="Q43" s="3352"/>
      <c r="R43" s="3443" t="e">
        <f>IF(F1="售价",ROUND(AVERAGE(R42:V42),0),ROUND(AVERAGE(R42:V42),1))</f>
        <v>#DIV/0!</v>
      </c>
      <c r="S43" s="3443"/>
      <c r="T43" s="3443"/>
      <c r="U43" s="3443"/>
      <c r="V43" s="3443"/>
      <c r="W43" s="3443"/>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529</v>
      </c>
      <c r="B52" s="646"/>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2560</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2561</v>
      </c>
      <c r="C76" s="2622" t="s">
        <v>2562</v>
      </c>
      <c r="D76" s="2622" t="s">
        <v>2563</v>
      </c>
      <c r="E76" s="2622" t="s">
        <v>2564</v>
      </c>
      <c r="F76" s="2622" t="s">
        <v>2565</v>
      </c>
      <c r="G76" s="2622" t="s">
        <v>2566</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2559</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790</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60" t="s">
        <v>797</v>
      </c>
      <c r="D4" s="3361"/>
      <c r="E4" s="3360" t="s">
        <v>798</v>
      </c>
      <c r="F4" s="3361"/>
      <c r="G4" s="3360" t="s">
        <v>799</v>
      </c>
      <c r="H4" s="3361"/>
      <c r="I4" s="3360" t="s">
        <v>800</v>
      </c>
      <c r="J4" s="3361"/>
      <c r="K4" s="516" t="s">
        <v>801</v>
      </c>
      <c r="L4" s="2133"/>
      <c r="M4" s="2134"/>
      <c r="N4" s="2134"/>
      <c r="O4" s="2134"/>
      <c r="P4" s="3362" t="s">
        <v>802</v>
      </c>
      <c r="Q4" s="3363"/>
      <c r="R4" s="3368" t="s">
        <v>798</v>
      </c>
      <c r="S4" s="3369"/>
      <c r="T4" s="3368" t="s">
        <v>799</v>
      </c>
      <c r="U4" s="3369"/>
      <c r="V4" s="3355" t="s">
        <v>800</v>
      </c>
      <c r="W4" s="3355"/>
      <c r="X4" s="1566"/>
      <c r="Y4" s="3368" t="s">
        <v>802</v>
      </c>
      <c r="Z4" s="3369"/>
      <c r="AA4" s="3357" t="s">
        <v>798</v>
      </c>
      <c r="AB4" s="3358" t="s">
        <v>799</v>
      </c>
      <c r="AC4" s="3357" t="s">
        <v>800</v>
      </c>
    </row>
    <row r="5" spans="1:29" ht="15">
      <c r="A5" s="517"/>
      <c r="B5" s="518"/>
      <c r="C5" s="3376" t="s">
        <v>2929</v>
      </c>
      <c r="D5" s="3377"/>
      <c r="E5" s="3376" t="s">
        <v>2930</v>
      </c>
      <c r="F5" s="3377"/>
      <c r="G5" s="3376" t="s">
        <v>2931</v>
      </c>
      <c r="H5" s="3377"/>
      <c r="I5" s="3376" t="s">
        <v>2932</v>
      </c>
      <c r="J5" s="3377"/>
      <c r="K5" s="516"/>
      <c r="L5" s="2133"/>
      <c r="M5" s="2134"/>
      <c r="N5" s="2134"/>
      <c r="O5" s="2134"/>
      <c r="P5" s="3364"/>
      <c r="Q5" s="3365"/>
      <c r="R5" s="3370"/>
      <c r="S5" s="3371"/>
      <c r="T5" s="3370"/>
      <c r="U5" s="3371"/>
      <c r="V5" s="3355"/>
      <c r="W5" s="3355"/>
      <c r="X5" s="1566"/>
      <c r="Y5" s="3370"/>
      <c r="Z5" s="3371"/>
      <c r="AA5" s="3358"/>
      <c r="AB5" s="3358"/>
      <c r="AC5" s="3358"/>
    </row>
    <row r="6" spans="1:29" ht="15.75" thickBot="1">
      <c r="A6" s="519"/>
      <c r="B6" s="520"/>
      <c r="C6" s="3374" t="s">
        <v>2933</v>
      </c>
      <c r="D6" s="3375"/>
      <c r="E6" s="3378" t="s">
        <v>2933</v>
      </c>
      <c r="F6" s="3379"/>
      <c r="G6" s="3374" t="s">
        <v>2933</v>
      </c>
      <c r="H6" s="3375"/>
      <c r="I6" s="3374" t="s">
        <v>2933</v>
      </c>
      <c r="J6" s="3375"/>
      <c r="K6" s="516" t="s">
        <v>528</v>
      </c>
      <c r="L6" s="2133"/>
      <c r="M6" s="2134"/>
      <c r="N6" s="2134"/>
      <c r="O6" s="2134"/>
      <c r="P6" s="3366"/>
      <c r="Q6" s="3367"/>
      <c r="R6" s="3370"/>
      <c r="S6" s="3371"/>
      <c r="T6" s="3372"/>
      <c r="U6" s="3373"/>
      <c r="V6" s="3355"/>
      <c r="W6" s="3355"/>
      <c r="X6" s="1566"/>
      <c r="Y6" s="3372"/>
      <c r="Z6" s="3373"/>
      <c r="AA6" s="3359"/>
      <c r="AB6" s="3359"/>
      <c r="AC6" s="3359"/>
    </row>
    <row r="7" spans="1:29" s="1219" customFormat="1" ht="15.75" thickBot="1">
      <c r="A7" s="2938"/>
      <c r="B7" s="2945" t="s">
        <v>529</v>
      </c>
      <c r="C7" s="521">
        <f>'数据-取费表'!B2</f>
        <v>43076</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85" t="s">
        <v>530</v>
      </c>
      <c r="Q7" s="3387"/>
      <c r="R7" s="1567" t="s">
        <v>8</v>
      </c>
      <c r="S7" s="1568">
        <f t="shared" ref="S7:S14" si="0">F7</f>
        <v>0</v>
      </c>
      <c r="T7" s="1567" t="s">
        <v>8</v>
      </c>
      <c r="U7" s="1568">
        <f t="shared" ref="U7:U14" si="1">H7</f>
        <v>0</v>
      </c>
      <c r="V7" s="1567" t="s">
        <v>8</v>
      </c>
      <c r="W7" s="1568">
        <f t="shared" ref="W7:W14" si="2">J7</f>
        <v>0</v>
      </c>
      <c r="X7" s="1569"/>
      <c r="Y7" s="3385" t="s">
        <v>530</v>
      </c>
      <c r="Z7" s="3386"/>
      <c r="AA7" s="1570" t="e">
        <f>D7/F7</f>
        <v>#DIV/0!</v>
      </c>
      <c r="AB7" s="1570" t="e">
        <f>D7/H7</f>
        <v>#DIV/0!</v>
      </c>
      <c r="AC7" s="1570" t="e">
        <f>D7/J7</f>
        <v>#DIV/0!</v>
      </c>
    </row>
    <row r="8" spans="1:29" s="1219" customFormat="1" ht="15.75" thickBot="1">
      <c r="A8" s="2939"/>
      <c r="B8" s="2946" t="s">
        <v>531</v>
      </c>
      <c r="C8" s="527" t="s">
        <v>576</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85" t="s">
        <v>533</v>
      </c>
      <c r="Q8" s="3386"/>
      <c r="R8" s="1567" t="s">
        <v>8</v>
      </c>
      <c r="S8" s="1568">
        <f t="shared" si="0"/>
        <v>0</v>
      </c>
      <c r="T8" s="1567" t="s">
        <v>8</v>
      </c>
      <c r="U8" s="1568">
        <f t="shared" si="1"/>
        <v>0</v>
      </c>
      <c r="V8" s="1567" t="s">
        <v>8</v>
      </c>
      <c r="W8" s="1568">
        <f t="shared" si="2"/>
        <v>0</v>
      </c>
      <c r="X8" s="1569"/>
      <c r="Y8" s="3385" t="s">
        <v>533</v>
      </c>
      <c r="Z8" s="3386"/>
      <c r="AA8" s="1570" t="e">
        <f t="shared" ref="AA8:AA36" si="3">D8/F8</f>
        <v>#DIV/0!</v>
      </c>
      <c r="AB8" s="1570" t="e">
        <f t="shared" ref="AB8:AB36" si="4">D8/H8</f>
        <v>#DIV/0!</v>
      </c>
      <c r="AC8" s="1570" t="e">
        <f t="shared" ref="AC8:AC36" si="5">D8/J8</f>
        <v>#DIV/0!</v>
      </c>
    </row>
    <row r="9" spans="1:29" s="1219" customFormat="1" ht="15">
      <c r="A9" s="2940"/>
      <c r="B9" s="2947" t="s">
        <v>2761</v>
      </c>
      <c r="C9" s="857"/>
      <c r="D9" s="253">
        <v>100</v>
      </c>
      <c r="E9" s="860"/>
      <c r="F9" s="253">
        <f>SUMIF(53:53,E9,54:54)-SUMIF(53:53,C9,54:54)+100</f>
        <v>100</v>
      </c>
      <c r="G9" s="858"/>
      <c r="H9" s="253">
        <f>SUMIF(53:53,G9,54:54)-SUMIF(53:53,C9,54:54)+100</f>
        <v>100</v>
      </c>
      <c r="I9" s="858"/>
      <c r="J9" s="253">
        <f>SUMIF(53:53,I9,54:54)-SUMIF(53:53,C9,54:54)+100</f>
        <v>100</v>
      </c>
      <c r="K9" s="526"/>
      <c r="L9" s="2135"/>
      <c r="M9" s="2136"/>
      <c r="N9" s="2136"/>
      <c r="O9" s="2137"/>
      <c r="P9" s="3354" t="s">
        <v>535</v>
      </c>
      <c r="Q9" s="1150" t="str">
        <f t="shared" ref="Q9:Q14" si="6">B9</f>
        <v>用途</v>
      </c>
      <c r="R9" s="1567" t="s">
        <v>8</v>
      </c>
      <c r="S9" s="1568">
        <f t="shared" si="0"/>
        <v>100</v>
      </c>
      <c r="T9" s="1567" t="s">
        <v>8</v>
      </c>
      <c r="U9" s="1568">
        <f t="shared" si="1"/>
        <v>100</v>
      </c>
      <c r="V9" s="1567" t="s">
        <v>8</v>
      </c>
      <c r="W9" s="1568">
        <f t="shared" si="2"/>
        <v>100</v>
      </c>
      <c r="X9" s="1569"/>
      <c r="Y9" s="3300"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SUMIF(55:55,E10,56:56)-SUMIF(55:55,C10,56:56)+100</f>
        <v>100</v>
      </c>
      <c r="G10" s="862"/>
      <c r="H10" s="254">
        <f>SUMIF(55:55,G10,56:56)-SUMIF(55:55,C10,56:56)+100</f>
        <v>100</v>
      </c>
      <c r="I10" s="861"/>
      <c r="J10" s="254">
        <f>SUMIF(55:55,I10,56:56)-SUMIF(55:55,C10,56:56)+100</f>
        <v>100</v>
      </c>
      <c r="K10" s="584"/>
      <c r="L10" s="2138"/>
      <c r="M10" s="2178"/>
      <c r="N10" s="2178"/>
      <c r="O10" s="2139"/>
      <c r="P10" s="3354"/>
      <c r="Q10" s="1150" t="str">
        <f t="shared" si="6"/>
        <v>土地使用年限（年）</v>
      </c>
      <c r="R10" s="1567" t="s">
        <v>8</v>
      </c>
      <c r="S10" s="1568">
        <f t="shared" si="0"/>
        <v>100</v>
      </c>
      <c r="T10" s="1567" t="s">
        <v>8</v>
      </c>
      <c r="U10" s="1568">
        <f t="shared" si="1"/>
        <v>100</v>
      </c>
      <c r="V10" s="1567" t="s">
        <v>8</v>
      </c>
      <c r="W10" s="1568">
        <f t="shared" si="2"/>
        <v>100</v>
      </c>
      <c r="X10" s="1569"/>
      <c r="Y10" s="3300"/>
      <c r="Z10" s="1149" t="str">
        <f t="shared" si="7"/>
        <v>土地使用年限（年）</v>
      </c>
      <c r="AA10" s="1570">
        <f t="shared" si="3"/>
        <v>1</v>
      </c>
      <c r="AB10" s="1570">
        <f t="shared" si="4"/>
        <v>1</v>
      </c>
      <c r="AC10" s="1570">
        <f t="shared" si="5"/>
        <v>1</v>
      </c>
    </row>
    <row r="11" spans="1:29" ht="15">
      <c r="A11" s="2943"/>
      <c r="B11" s="2949">
        <v>111</v>
      </c>
      <c r="C11" s="530"/>
      <c r="D11" s="254">
        <v>100</v>
      </c>
      <c r="E11" s="530"/>
      <c r="F11" s="254">
        <f>SUMIF(57:57,E11,58:58)-SUMIF(57:57,C11,58:58)+100</f>
        <v>100</v>
      </c>
      <c r="G11" s="530"/>
      <c r="H11" s="254">
        <f>SUMIF(57:57,G11,58:58)-SUMIF(57:57,C11,58:58)+100</f>
        <v>100</v>
      </c>
      <c r="I11" s="530"/>
      <c r="J11" s="254">
        <f>SUMIF(57:57,I11,58:58)-SUMIF(57:57,C11,58:58)+100</f>
        <v>100</v>
      </c>
      <c r="K11" s="581"/>
      <c r="L11" s="2140"/>
      <c r="M11" s="2134"/>
      <c r="N11" s="2134"/>
      <c r="O11" s="2141"/>
      <c r="P11" s="3354"/>
      <c r="Q11" s="1150">
        <f t="shared" si="6"/>
        <v>111</v>
      </c>
      <c r="R11" s="1567" t="s">
        <v>8</v>
      </c>
      <c r="S11" s="1568">
        <f t="shared" si="0"/>
        <v>100</v>
      </c>
      <c r="T11" s="1567" t="s">
        <v>8</v>
      </c>
      <c r="U11" s="1568">
        <f t="shared" si="1"/>
        <v>100</v>
      </c>
      <c r="V11" s="1567" t="s">
        <v>8</v>
      </c>
      <c r="W11" s="1568">
        <f t="shared" si="2"/>
        <v>100</v>
      </c>
      <c r="X11" s="1569"/>
      <c r="Y11" s="3300"/>
      <c r="Z11" s="1149">
        <f t="shared" si="7"/>
        <v>111</v>
      </c>
      <c r="AA11" s="1570">
        <f t="shared" si="3"/>
        <v>1</v>
      </c>
      <c r="AB11" s="1570">
        <f t="shared" si="4"/>
        <v>1</v>
      </c>
      <c r="AC11" s="1570">
        <f t="shared" si="5"/>
        <v>1</v>
      </c>
    </row>
    <row r="12" spans="1:29" s="1219" customFormat="1" ht="15">
      <c r="A12" s="2943"/>
      <c r="B12" s="2949">
        <v>111</v>
      </c>
      <c r="C12" s="530"/>
      <c r="D12" s="538">
        <v>100</v>
      </c>
      <c r="E12" s="530"/>
      <c r="F12" s="254">
        <f>SUMIF(59:59,E12,60:60)-SUMIF(59:59,C12,60:60)+100</f>
        <v>100</v>
      </c>
      <c r="G12" s="530"/>
      <c r="H12" s="254">
        <f>SUMIF(59:59,G12,60:60)-SUMIF(59:59,C12,60:60)+100</f>
        <v>100</v>
      </c>
      <c r="I12" s="530"/>
      <c r="J12" s="254">
        <f>SUMIF(59:59,I12,60:60)-SUMIF(59:59,C12,60:60)+100</f>
        <v>100</v>
      </c>
      <c r="K12" s="581"/>
      <c r="L12" s="2135"/>
      <c r="M12" s="2136"/>
      <c r="N12" s="2136"/>
      <c r="O12" s="2137"/>
      <c r="P12" s="3354"/>
      <c r="Q12" s="1150">
        <f t="shared" si="6"/>
        <v>111</v>
      </c>
      <c r="R12" s="1567" t="s">
        <v>8</v>
      </c>
      <c r="S12" s="1568">
        <f t="shared" si="0"/>
        <v>100</v>
      </c>
      <c r="T12" s="1567" t="s">
        <v>8</v>
      </c>
      <c r="U12" s="1568">
        <f t="shared" si="1"/>
        <v>100</v>
      </c>
      <c r="V12" s="1567" t="s">
        <v>8</v>
      </c>
      <c r="W12" s="1568">
        <f t="shared" si="2"/>
        <v>100</v>
      </c>
      <c r="X12" s="1569"/>
      <c r="Y12" s="3300"/>
      <c r="Z12" s="1149">
        <f t="shared" si="7"/>
        <v>111</v>
      </c>
      <c r="AA12" s="1570">
        <f>D12/F12</f>
        <v>1</v>
      </c>
      <c r="AB12" s="1570">
        <f>D12/H12</f>
        <v>1</v>
      </c>
      <c r="AC12" s="1570">
        <f>D12/J12</f>
        <v>1</v>
      </c>
    </row>
    <row r="13" spans="1:29" ht="15.75" thickBot="1">
      <c r="A13" s="2944"/>
      <c r="B13" s="2950">
        <v>111</v>
      </c>
      <c r="C13" s="539"/>
      <c r="D13" s="540">
        <v>100</v>
      </c>
      <c r="E13" s="530"/>
      <c r="F13" s="254">
        <f>SUMIF(61:61,E13,62:62)-SUMIF(61:61,C13,62:62)+100</f>
        <v>100</v>
      </c>
      <c r="G13" s="530"/>
      <c r="H13" s="540">
        <f>SUMIF(61:61,G13,62:62)-SUMIF(61:61,C13,62:62)+100</f>
        <v>100</v>
      </c>
      <c r="I13" s="530"/>
      <c r="J13" s="540">
        <f>SUMIF(61:61,I13,62:62)-SUMIF(61:61,C13,62:62)+100</f>
        <v>100</v>
      </c>
      <c r="K13" s="581"/>
      <c r="L13" s="2142"/>
      <c r="M13" s="2134"/>
      <c r="N13" s="2134"/>
      <c r="O13" s="2141"/>
      <c r="P13" s="3354"/>
      <c r="Q13" s="1150">
        <f t="shared" si="6"/>
        <v>111</v>
      </c>
      <c r="R13" s="1567" t="s">
        <v>8</v>
      </c>
      <c r="S13" s="1568">
        <f t="shared" si="0"/>
        <v>100</v>
      </c>
      <c r="T13" s="1567" t="s">
        <v>8</v>
      </c>
      <c r="U13" s="1568">
        <f t="shared" si="1"/>
        <v>100</v>
      </c>
      <c r="V13" s="1567" t="s">
        <v>8</v>
      </c>
      <c r="W13" s="1568">
        <f t="shared" si="2"/>
        <v>100</v>
      </c>
      <c r="X13" s="1569"/>
      <c r="Y13" s="3300"/>
      <c r="Z13" s="1149">
        <f t="shared" si="7"/>
        <v>111</v>
      </c>
      <c r="AA13" s="1570">
        <f t="shared" si="3"/>
        <v>1</v>
      </c>
      <c r="AB13" s="1570">
        <f t="shared" si="4"/>
        <v>1</v>
      </c>
      <c r="AC13" s="1570">
        <f t="shared" si="5"/>
        <v>1</v>
      </c>
    </row>
    <row r="14" spans="1:29" ht="114">
      <c r="A14" s="2936" t="s">
        <v>2759</v>
      </c>
      <c r="B14" s="547" t="s">
        <v>543</v>
      </c>
      <c r="C14" s="920" t="str">
        <f>IF(B1="工业",估价对象房地状况!G4,估价对象房地状况!C6)</f>
        <v>估价对象周边1公里有357、355路等公交车经过，公共交通通达情况一般、停车便捷程度较好，综合评价交通便捷度较差</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388" t="s">
        <v>540</v>
      </c>
      <c r="Q14" s="1571" t="str">
        <f t="shared" si="6"/>
        <v>交通便捷度</v>
      </c>
      <c r="R14" s="1572" t="s">
        <v>8</v>
      </c>
      <c r="S14" s="1573">
        <f t="shared" si="0"/>
        <v>100</v>
      </c>
      <c r="T14" s="1572" t="s">
        <v>8</v>
      </c>
      <c r="U14" s="1573">
        <f t="shared" si="1"/>
        <v>100</v>
      </c>
      <c r="V14" s="1572" t="s">
        <v>8</v>
      </c>
      <c r="W14" s="1573">
        <f t="shared" si="2"/>
        <v>100</v>
      </c>
      <c r="X14" s="1566"/>
      <c r="Y14" s="3388" t="s">
        <v>540</v>
      </c>
      <c r="Z14" s="1574" t="str">
        <f t="shared" si="7"/>
        <v>交通便捷度</v>
      </c>
      <c r="AA14" s="1575">
        <f t="shared" si="3"/>
        <v>1</v>
      </c>
      <c r="AB14" s="1575">
        <f t="shared" si="4"/>
        <v>1</v>
      </c>
      <c r="AC14" s="1575">
        <f t="shared" si="5"/>
        <v>1</v>
      </c>
    </row>
    <row r="15" spans="1:29" ht="15">
      <c r="A15" s="517"/>
      <c r="B15" s="923"/>
      <c r="C15" s="576"/>
      <c r="D15" s="555"/>
      <c r="E15" s="576"/>
      <c r="F15" s="557"/>
      <c r="G15" s="576"/>
      <c r="H15" s="559"/>
      <c r="I15" s="576"/>
      <c r="J15" s="555"/>
      <c r="K15" s="898"/>
      <c r="L15" s="2142"/>
      <c r="M15" s="2134"/>
      <c r="N15" s="2134"/>
      <c r="O15" s="2141"/>
      <c r="P15" s="3389"/>
      <c r="Q15" s="1571"/>
      <c r="R15" s="1572"/>
      <c r="S15" s="1573"/>
      <c r="T15" s="1572"/>
      <c r="U15" s="1573"/>
      <c r="V15" s="1572"/>
      <c r="W15" s="1573"/>
      <c r="X15" s="1566"/>
      <c r="Y15" s="3389"/>
      <c r="Z15" s="1574"/>
      <c r="AA15" s="1575">
        <v>1</v>
      </c>
      <c r="AB15" s="1575">
        <v>1</v>
      </c>
      <c r="AC15" s="1575">
        <v>1</v>
      </c>
    </row>
    <row r="16" spans="1:29" ht="42.75">
      <c r="A16" s="517"/>
      <c r="B16" s="2627" t="s">
        <v>2549</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389"/>
      <c r="Q16" s="1571" t="str">
        <f>B16</f>
        <v>公共配套设施</v>
      </c>
      <c r="R16" s="1572" t="s">
        <v>8</v>
      </c>
      <c r="S16" s="1573">
        <f>F16</f>
        <v>100</v>
      </c>
      <c r="T16" s="1572" t="s">
        <v>8</v>
      </c>
      <c r="U16" s="1573">
        <f>H16</f>
        <v>100</v>
      </c>
      <c r="V16" s="1572" t="s">
        <v>8</v>
      </c>
      <c r="W16" s="1573">
        <f>J16</f>
        <v>100</v>
      </c>
      <c r="X16" s="1566"/>
      <c r="Y16" s="3389"/>
      <c r="Z16" s="1574" t="str">
        <f>Q16</f>
        <v>公共配套设施</v>
      </c>
      <c r="AA16" s="1575">
        <f t="shared" si="3"/>
        <v>1</v>
      </c>
      <c r="AB16" s="1575">
        <f t="shared" si="4"/>
        <v>1</v>
      </c>
      <c r="AC16" s="1575">
        <f t="shared" si="5"/>
        <v>1</v>
      </c>
    </row>
    <row r="17" spans="1:29" ht="15">
      <c r="A17" s="517"/>
      <c r="B17" s="566"/>
      <c r="C17" s="873"/>
      <c r="D17" s="555"/>
      <c r="E17" s="576"/>
      <c r="F17" s="557"/>
      <c r="G17" s="576"/>
      <c r="H17" s="555"/>
      <c r="I17" s="576"/>
      <c r="J17" s="555"/>
      <c r="K17" s="898"/>
      <c r="L17" s="2142"/>
      <c r="M17" s="2134"/>
      <c r="N17" s="2134"/>
      <c r="O17" s="2141"/>
      <c r="P17" s="3389"/>
      <c r="Q17" s="1571"/>
      <c r="R17" s="1572"/>
      <c r="S17" s="1573"/>
      <c r="T17" s="1572"/>
      <c r="U17" s="1573"/>
      <c r="V17" s="1572"/>
      <c r="W17" s="1573"/>
      <c r="X17" s="1566"/>
      <c r="Y17" s="3389"/>
      <c r="Z17" s="1574"/>
      <c r="AA17" s="1575">
        <v>1</v>
      </c>
      <c r="AB17" s="1575">
        <v>1</v>
      </c>
      <c r="AC17" s="1575">
        <v>1</v>
      </c>
    </row>
    <row r="18" spans="1:29" ht="42.75">
      <c r="A18" s="517"/>
      <c r="B18" s="2615" t="s">
        <v>2561</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389"/>
      <c r="Q18" s="2603" t="str">
        <f>B18</f>
        <v>基础设施水平</v>
      </c>
      <c r="R18" s="1572" t="s">
        <v>8</v>
      </c>
      <c r="S18" s="1573">
        <f>F18</f>
        <v>100</v>
      </c>
      <c r="T18" s="1572" t="s">
        <v>8</v>
      </c>
      <c r="U18" s="1573">
        <f>H18</f>
        <v>100</v>
      </c>
      <c r="V18" s="1572" t="s">
        <v>8</v>
      </c>
      <c r="W18" s="1573">
        <f>J18</f>
        <v>100</v>
      </c>
      <c r="X18" s="2605"/>
      <c r="Y18" s="3389"/>
      <c r="Z18" s="2604" t="str">
        <f>Q18</f>
        <v>基础设施水平</v>
      </c>
      <c r="AA18" s="1575">
        <f t="shared" ref="AA18" si="8">D18/F18</f>
        <v>1</v>
      </c>
      <c r="AB18" s="1575">
        <f t="shared" ref="AB18" si="9">D18/H18</f>
        <v>1</v>
      </c>
      <c r="AC18" s="1575">
        <f t="shared" ref="AC18" si="10">D18/J18</f>
        <v>1</v>
      </c>
    </row>
    <row r="19" spans="1:29" ht="15">
      <c r="A19" s="517"/>
      <c r="B19" s="578"/>
      <c r="C19" s="873"/>
      <c r="D19" s="559"/>
      <c r="E19" s="576"/>
      <c r="F19" s="557"/>
      <c r="G19" s="576"/>
      <c r="H19" s="555"/>
      <c r="I19" s="576"/>
      <c r="J19" s="555"/>
      <c r="K19" s="2626"/>
      <c r="L19" s="2142"/>
      <c r="M19" s="2134"/>
      <c r="N19" s="2134"/>
      <c r="O19" s="2141"/>
      <c r="P19" s="3389"/>
      <c r="Q19" s="2603"/>
      <c r="R19" s="1572"/>
      <c r="S19" s="1573"/>
      <c r="T19" s="1572"/>
      <c r="U19" s="1573"/>
      <c r="V19" s="1572"/>
      <c r="W19" s="1573"/>
      <c r="X19" s="2605"/>
      <c r="Y19" s="3389"/>
      <c r="Z19" s="2604"/>
      <c r="AA19" s="1575">
        <v>1</v>
      </c>
      <c r="AB19" s="1575">
        <v>1</v>
      </c>
      <c r="AC19" s="1575">
        <v>1</v>
      </c>
    </row>
    <row r="20" spans="1:29" ht="57">
      <c r="A20" s="517"/>
      <c r="B20" s="560" t="s">
        <v>803</v>
      </c>
      <c r="C20" s="872" t="str">
        <f>IF(B1="工业",估价对象房地状况!G7,估价对象房地状况!C9)</f>
        <v>周边2公里内有长沙医学院、观音岩水库，区域自然环境较好</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389"/>
      <c r="Q20" s="1571" t="str">
        <f>B20</f>
        <v>自然及人文环境</v>
      </c>
      <c r="R20" s="1572" t="s">
        <v>8</v>
      </c>
      <c r="S20" s="1573">
        <f>F20</f>
        <v>100</v>
      </c>
      <c r="T20" s="1572" t="s">
        <v>8</v>
      </c>
      <c r="U20" s="1573">
        <f>H20</f>
        <v>100</v>
      </c>
      <c r="V20" s="1572" t="s">
        <v>8</v>
      </c>
      <c r="W20" s="1573">
        <f>J20</f>
        <v>100</v>
      </c>
      <c r="X20" s="1566"/>
      <c r="Y20" s="3389"/>
      <c r="Z20" s="1574" t="str">
        <f>Q20</f>
        <v>自然及人文环境</v>
      </c>
      <c r="AA20" s="1575">
        <f t="shared" si="3"/>
        <v>1</v>
      </c>
      <c r="AB20" s="1575">
        <f t="shared" si="4"/>
        <v>1</v>
      </c>
      <c r="AC20" s="1575">
        <f t="shared" si="5"/>
        <v>1</v>
      </c>
    </row>
    <row r="21" spans="1:29" ht="15">
      <c r="A21" s="517"/>
      <c r="B21" s="566"/>
      <c r="C21" s="576"/>
      <c r="D21" s="555"/>
      <c r="E21" s="576"/>
      <c r="F21" s="557"/>
      <c r="G21" s="576"/>
      <c r="H21" s="555"/>
      <c r="I21" s="576"/>
      <c r="J21" s="555"/>
      <c r="K21" s="898"/>
      <c r="L21" s="2142"/>
      <c r="M21" s="2134"/>
      <c r="N21" s="2134"/>
      <c r="O21" s="2141"/>
      <c r="P21" s="3389"/>
      <c r="Q21" s="1571"/>
      <c r="R21" s="1572"/>
      <c r="S21" s="1573"/>
      <c r="T21" s="1572"/>
      <c r="U21" s="1573"/>
      <c r="V21" s="1572"/>
      <c r="W21" s="1573"/>
      <c r="X21" s="1566"/>
      <c r="Y21" s="3389"/>
      <c r="Z21" s="1574"/>
      <c r="AA21" s="1575">
        <v>1</v>
      </c>
      <c r="AB21" s="1575">
        <v>1</v>
      </c>
      <c r="AC21" s="1575">
        <v>1</v>
      </c>
    </row>
    <row r="22" spans="1:29" ht="15">
      <c r="A22" s="517"/>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9"/>
      <c r="Q22" s="1571" t="str">
        <f>B22</f>
        <v>楼层</v>
      </c>
      <c r="R22" s="1572" t="s">
        <v>8</v>
      </c>
      <c r="S22" s="1573">
        <f>F22</f>
        <v>100</v>
      </c>
      <c r="T22" s="1572" t="s">
        <v>8</v>
      </c>
      <c r="U22" s="1573">
        <f>H22</f>
        <v>100</v>
      </c>
      <c r="V22" s="1572" t="s">
        <v>8</v>
      </c>
      <c r="W22" s="1573">
        <f>J22</f>
        <v>100</v>
      </c>
      <c r="X22" s="1566"/>
      <c r="Y22" s="3389"/>
      <c r="Z22" s="1574" t="str">
        <f>Q22</f>
        <v>楼层</v>
      </c>
      <c r="AA22" s="1575">
        <f t="shared" si="3"/>
        <v>1</v>
      </c>
      <c r="AB22" s="1575">
        <f t="shared" si="4"/>
        <v>1</v>
      </c>
      <c r="AC22" s="1575">
        <f t="shared" si="5"/>
        <v>1</v>
      </c>
    </row>
    <row r="23" spans="1:29" ht="15">
      <c r="A23" s="517"/>
      <c r="B23" s="924">
        <v>111</v>
      </c>
      <c r="C23" s="530"/>
      <c r="D23" s="540">
        <v>100</v>
      </c>
      <c r="E23" s="530"/>
      <c r="F23" s="575">
        <f>SUMIF(73:73,E23,74:74)-SUMIF(73:73,C23,74:74)+100</f>
        <v>100</v>
      </c>
      <c r="G23" s="530"/>
      <c r="H23" s="540">
        <f>SUMIF(73:73,G23,74:74)-SUMIF(73:73,C23,74:74)+100</f>
        <v>100</v>
      </c>
      <c r="I23" s="530"/>
      <c r="J23" s="540">
        <f>SUMIF(73:73,I23,74:74)-SUMIF(73:73,C23,74:74)+100</f>
        <v>100</v>
      </c>
      <c r="K23" s="581"/>
      <c r="L23" s="2142"/>
      <c r="M23" s="2134"/>
      <c r="N23" s="2134"/>
      <c r="O23" s="2141"/>
      <c r="P23" s="3389"/>
      <c r="Q23" s="1571">
        <f>B23</f>
        <v>111</v>
      </c>
      <c r="R23" s="1572" t="s">
        <v>8</v>
      </c>
      <c r="S23" s="1573">
        <f>F23</f>
        <v>100</v>
      </c>
      <c r="T23" s="1572" t="s">
        <v>8</v>
      </c>
      <c r="U23" s="1573">
        <f>H23</f>
        <v>100</v>
      </c>
      <c r="V23" s="1572" t="s">
        <v>8</v>
      </c>
      <c r="W23" s="1573">
        <f>J23</f>
        <v>100</v>
      </c>
      <c r="X23" s="1566"/>
      <c r="Y23" s="3389"/>
      <c r="Z23" s="1574">
        <f>Q23</f>
        <v>111</v>
      </c>
      <c r="AA23" s="1575">
        <f t="shared" si="3"/>
        <v>1</v>
      </c>
      <c r="AB23" s="1575">
        <f t="shared" si="4"/>
        <v>1</v>
      </c>
      <c r="AC23" s="1575">
        <f t="shared" si="5"/>
        <v>1</v>
      </c>
    </row>
    <row r="24" spans="1:29" ht="15">
      <c r="A24" s="517"/>
      <c r="B24" s="924">
        <v>111</v>
      </c>
      <c r="C24" s="530"/>
      <c r="D24" s="540">
        <v>100</v>
      </c>
      <c r="E24" s="530"/>
      <c r="F24" s="575">
        <f>SUMIF(75:75,E24,76:76)-SUMIF(75:75,C24,76:76)+100</f>
        <v>100</v>
      </c>
      <c r="G24" s="530"/>
      <c r="H24" s="540">
        <f>SUMIF(75:75,G24,76:76)-SUMIF(75:75,C24,76:76)+100</f>
        <v>100</v>
      </c>
      <c r="I24" s="530"/>
      <c r="J24" s="540">
        <f>SUMIF(75:75,I24,76:76)-SUMIF(75:75,C24,76:76)+100</f>
        <v>100</v>
      </c>
      <c r="K24" s="581"/>
      <c r="L24" s="2142"/>
      <c r="M24" s="2134"/>
      <c r="N24" s="2134"/>
      <c r="O24" s="2141"/>
      <c r="P24" s="3389"/>
      <c r="Q24" s="1571">
        <f t="shared" ref="Q24:Q36" si="11">B24</f>
        <v>111</v>
      </c>
      <c r="R24" s="1572" t="s">
        <v>8</v>
      </c>
      <c r="S24" s="1573">
        <f>F24</f>
        <v>100</v>
      </c>
      <c r="T24" s="1572" t="s">
        <v>8</v>
      </c>
      <c r="U24" s="1573">
        <f>H24</f>
        <v>100</v>
      </c>
      <c r="V24" s="1572" t="s">
        <v>8</v>
      </c>
      <c r="W24" s="1573">
        <f>J24</f>
        <v>100</v>
      </c>
      <c r="X24" s="1566"/>
      <c r="Y24" s="3389"/>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389"/>
      <c r="Q25" s="1150">
        <f t="shared" si="11"/>
        <v>111</v>
      </c>
      <c r="R25" s="1567" t="s">
        <v>8</v>
      </c>
      <c r="S25" s="1568">
        <f>F25</f>
        <v>100</v>
      </c>
      <c r="T25" s="1567" t="s">
        <v>8</v>
      </c>
      <c r="U25" s="1568">
        <f>H25</f>
        <v>100</v>
      </c>
      <c r="V25" s="1567" t="s">
        <v>8</v>
      </c>
      <c r="W25" s="1568">
        <f>J25</f>
        <v>100</v>
      </c>
      <c r="X25" s="1569"/>
      <c r="Y25" s="3389"/>
      <c r="Z25" s="1149">
        <f>Q25</f>
        <v>111</v>
      </c>
      <c r="AA25" s="1575">
        <f>D25/F25</f>
        <v>1</v>
      </c>
      <c r="AB25" s="1575">
        <f>D25/H25</f>
        <v>1</v>
      </c>
      <c r="AC25" s="1575">
        <f>D25/J25</f>
        <v>1</v>
      </c>
    </row>
    <row r="26" spans="1:29" ht="15">
      <c r="A26" s="2933" t="s">
        <v>2760</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0"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1" t="s">
        <v>550</v>
      </c>
      <c r="Z26" s="1574" t="str">
        <f t="shared" ref="Z26:Z36" si="15">Q26</f>
        <v>配套类型</v>
      </c>
      <c r="AA26" s="1575">
        <f t="shared" si="3"/>
        <v>1</v>
      </c>
      <c r="AB26" s="1575">
        <f t="shared" si="4"/>
        <v>1</v>
      </c>
      <c r="AC26" s="1575">
        <f t="shared" si="5"/>
        <v>1</v>
      </c>
    </row>
    <row r="27" spans="1:29" s="1338" customFormat="1" ht="15">
      <c r="A27" s="928"/>
      <c r="B27" s="582" t="s">
        <v>806</v>
      </c>
      <c r="C27" s="929"/>
      <c r="D27" s="254">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391"/>
      <c r="Q27" s="1604" t="str">
        <f t="shared" si="11"/>
        <v>项目停车位配比</v>
      </c>
      <c r="R27" s="1576" t="s">
        <v>8</v>
      </c>
      <c r="S27" s="1577">
        <f t="shared" si="12"/>
        <v>100</v>
      </c>
      <c r="T27" s="1576" t="s">
        <v>8</v>
      </c>
      <c r="U27" s="1577">
        <f t="shared" si="13"/>
        <v>100</v>
      </c>
      <c r="V27" s="1576" t="s">
        <v>8</v>
      </c>
      <c r="W27" s="1577">
        <f t="shared" si="14"/>
        <v>100</v>
      </c>
      <c r="X27" s="1578"/>
      <c r="Y27" s="3391"/>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1"/>
      <c r="Q28" s="1571" t="str">
        <f t="shared" si="11"/>
        <v>公共部分装修</v>
      </c>
      <c r="R28" s="1572" t="s">
        <v>8</v>
      </c>
      <c r="S28" s="1573">
        <f t="shared" si="12"/>
        <v>100</v>
      </c>
      <c r="T28" s="1572" t="s">
        <v>8</v>
      </c>
      <c r="U28" s="1573">
        <f t="shared" si="13"/>
        <v>100</v>
      </c>
      <c r="V28" s="1572" t="s">
        <v>8</v>
      </c>
      <c r="W28" s="1573">
        <f t="shared" si="14"/>
        <v>100</v>
      </c>
      <c r="X28" s="1566"/>
      <c r="Y28" s="3391"/>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391"/>
      <c r="Q29" s="1571" t="str">
        <f t="shared" si="11"/>
        <v>成新率</v>
      </c>
      <c r="R29" s="1572" t="s">
        <v>8</v>
      </c>
      <c r="S29" s="1573" t="e">
        <f t="shared" si="12"/>
        <v>#N/A</v>
      </c>
      <c r="T29" s="1572" t="s">
        <v>8</v>
      </c>
      <c r="U29" s="1573" t="e">
        <f t="shared" si="13"/>
        <v>#N/A</v>
      </c>
      <c r="V29" s="1572" t="s">
        <v>8</v>
      </c>
      <c r="W29" s="1573" t="e">
        <f t="shared" si="14"/>
        <v>#N/A</v>
      </c>
      <c r="X29" s="1566"/>
      <c r="Y29" s="3391"/>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391"/>
      <c r="Q30" s="1571" t="str">
        <f t="shared" si="11"/>
        <v>物业等级</v>
      </c>
      <c r="R30" s="1572" t="s">
        <v>8</v>
      </c>
      <c r="S30" s="1573">
        <f t="shared" si="12"/>
        <v>100</v>
      </c>
      <c r="T30" s="1572" t="s">
        <v>8</v>
      </c>
      <c r="U30" s="1573">
        <f t="shared" si="13"/>
        <v>100</v>
      </c>
      <c r="V30" s="1572" t="s">
        <v>8</v>
      </c>
      <c r="W30" s="1573">
        <f t="shared" si="14"/>
        <v>100</v>
      </c>
      <c r="X30" s="1566"/>
      <c r="Y30" s="3391"/>
      <c r="Z30" s="1574" t="str">
        <f t="shared" si="15"/>
        <v>物业等级</v>
      </c>
      <c r="AA30" s="1575">
        <f t="shared" si="3"/>
        <v>1</v>
      </c>
      <c r="AB30" s="1575">
        <f t="shared" si="4"/>
        <v>1</v>
      </c>
      <c r="AC30" s="1575">
        <f t="shared" si="5"/>
        <v>1</v>
      </c>
    </row>
    <row r="31" spans="1:29" s="1219" customFormat="1" ht="15">
      <c r="A31" s="932"/>
      <c r="B31" s="582" t="s">
        <v>810</v>
      </c>
      <c r="C31" s="879"/>
      <c r="D31" s="254">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391"/>
      <c r="Q31" s="1150" t="str">
        <f t="shared" si="11"/>
        <v>停车位面积</v>
      </c>
      <c r="R31" s="1567" t="s">
        <v>8</v>
      </c>
      <c r="S31" s="1568" t="e">
        <f t="shared" si="12"/>
        <v>#N/A</v>
      </c>
      <c r="T31" s="1567" t="s">
        <v>8</v>
      </c>
      <c r="U31" s="1568" t="e">
        <f t="shared" si="13"/>
        <v>#N/A</v>
      </c>
      <c r="V31" s="1567" t="s">
        <v>8</v>
      </c>
      <c r="W31" s="1568" t="e">
        <f t="shared" si="14"/>
        <v>#N/A</v>
      </c>
      <c r="X31" s="1569"/>
      <c r="Y31" s="3391"/>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1" t="s">
        <v>550</v>
      </c>
      <c r="Q32" s="1571" t="str">
        <f t="shared" si="11"/>
        <v>车位类型</v>
      </c>
      <c r="R32" s="1572" t="s">
        <v>8</v>
      </c>
      <c r="S32" s="1573">
        <f t="shared" si="12"/>
        <v>100</v>
      </c>
      <c r="T32" s="1572" t="s">
        <v>8</v>
      </c>
      <c r="U32" s="1573">
        <f t="shared" si="13"/>
        <v>100</v>
      </c>
      <c r="V32" s="1572" t="s">
        <v>8</v>
      </c>
      <c r="W32" s="1573">
        <f t="shared" si="14"/>
        <v>100</v>
      </c>
      <c r="X32" s="1566"/>
      <c r="Y32" s="3391" t="s">
        <v>550</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1"/>
      <c r="Q33" s="1571" t="str">
        <f t="shared" si="11"/>
        <v>是否直接入户</v>
      </c>
      <c r="R33" s="1572" t="s">
        <v>8</v>
      </c>
      <c r="S33" s="1573">
        <f t="shared" si="12"/>
        <v>100</v>
      </c>
      <c r="T33" s="1572" t="s">
        <v>8</v>
      </c>
      <c r="U33" s="1573">
        <f t="shared" si="13"/>
        <v>100</v>
      </c>
      <c r="V33" s="1572" t="s">
        <v>8</v>
      </c>
      <c r="W33" s="1573">
        <f t="shared" si="14"/>
        <v>100</v>
      </c>
      <c r="X33" s="1566"/>
      <c r="Y33" s="3391"/>
      <c r="Z33" s="1574" t="str">
        <f t="shared" si="15"/>
        <v>是否直接入户</v>
      </c>
      <c r="AA33" s="1575">
        <f t="shared" si="3"/>
        <v>1</v>
      </c>
      <c r="AB33" s="1575">
        <f t="shared" si="4"/>
        <v>1</v>
      </c>
      <c r="AC33" s="1575">
        <f t="shared" si="5"/>
        <v>1</v>
      </c>
    </row>
    <row r="34" spans="1:29" ht="15">
      <c r="A34" s="930"/>
      <c r="B34" s="924">
        <v>111</v>
      </c>
      <c r="C34" s="530"/>
      <c r="D34" s="540">
        <v>100</v>
      </c>
      <c r="E34" s="530"/>
      <c r="F34" s="575">
        <f>SUMIF(97:97,E34,98:98)-SUMIF(97:97,C34,98:98)+100</f>
        <v>100</v>
      </c>
      <c r="G34" s="530"/>
      <c r="H34" s="540">
        <f>SUMIF(97:97,G34,98:98)-SUMIF(97:97,C34,98:98)+100</f>
        <v>100</v>
      </c>
      <c r="I34" s="530"/>
      <c r="J34" s="540">
        <f>SUMIF(97:97,I34,98:98)-SUMIF(97:97,C34,98:98)+100</f>
        <v>100</v>
      </c>
      <c r="K34" s="581"/>
      <c r="L34" s="2142"/>
      <c r="M34" s="2134"/>
      <c r="N34" s="2134"/>
      <c r="O34" s="2141"/>
      <c r="P34" s="3391"/>
      <c r="Q34" s="1571">
        <f t="shared" si="11"/>
        <v>111</v>
      </c>
      <c r="R34" s="1572" t="s">
        <v>8</v>
      </c>
      <c r="S34" s="1573">
        <f t="shared" si="12"/>
        <v>100</v>
      </c>
      <c r="T34" s="1572" t="s">
        <v>8</v>
      </c>
      <c r="U34" s="1573">
        <f t="shared" si="13"/>
        <v>100</v>
      </c>
      <c r="V34" s="1572" t="s">
        <v>8</v>
      </c>
      <c r="W34" s="1573">
        <f t="shared" si="14"/>
        <v>100</v>
      </c>
      <c r="X34" s="1566"/>
      <c r="Y34" s="3391"/>
      <c r="Z34" s="1574">
        <f t="shared" si="15"/>
        <v>111</v>
      </c>
      <c r="AA34" s="1575">
        <f t="shared" si="3"/>
        <v>1</v>
      </c>
      <c r="AB34" s="1575">
        <f t="shared" si="4"/>
        <v>1</v>
      </c>
      <c r="AC34" s="1575">
        <f t="shared" si="5"/>
        <v>1</v>
      </c>
    </row>
    <row r="35" spans="1:29" s="1338" customFormat="1" ht="15">
      <c r="A35" s="928"/>
      <c r="B35" s="924">
        <v>111</v>
      </c>
      <c r="C35" s="530"/>
      <c r="D35" s="540">
        <v>100</v>
      </c>
      <c r="E35" s="530"/>
      <c r="F35" s="575">
        <f>SUMIF(99:99,E35,100:100)-SUMIF(99:99,C35,100:100)+100</f>
        <v>100</v>
      </c>
      <c r="G35" s="530"/>
      <c r="H35" s="540">
        <f>SUMIF(99:99,G35,100:100)-SUMIF(99:99,C35,100:100)+100</f>
        <v>100</v>
      </c>
      <c r="I35" s="530"/>
      <c r="J35" s="540">
        <f>SUMIF(99:99,I35,100:100)-SUMIF(99:99,C35,100:100)+100</f>
        <v>100</v>
      </c>
      <c r="K35" s="581"/>
      <c r="L35" s="2140"/>
      <c r="M35" s="2171"/>
      <c r="N35" s="2171"/>
      <c r="O35" s="2143"/>
      <c r="P35" s="3391"/>
      <c r="Q35" s="1604">
        <f t="shared" si="11"/>
        <v>111</v>
      </c>
      <c r="R35" s="1576" t="s">
        <v>8</v>
      </c>
      <c r="S35" s="1577">
        <f t="shared" si="12"/>
        <v>100</v>
      </c>
      <c r="T35" s="1576" t="s">
        <v>8</v>
      </c>
      <c r="U35" s="1577">
        <f t="shared" si="13"/>
        <v>100</v>
      </c>
      <c r="V35" s="1576" t="s">
        <v>8</v>
      </c>
      <c r="W35" s="1577">
        <f t="shared" si="14"/>
        <v>100</v>
      </c>
      <c r="X35" s="1578"/>
      <c r="Y35" s="3391"/>
      <c r="Z35" s="1579">
        <f t="shared" si="15"/>
        <v>111</v>
      </c>
      <c r="AA35" s="1575">
        <f t="shared" si="3"/>
        <v>1</v>
      </c>
      <c r="AB35" s="1575">
        <f t="shared" si="4"/>
        <v>1</v>
      </c>
      <c r="AC35" s="1575">
        <f t="shared" si="5"/>
        <v>1</v>
      </c>
    </row>
    <row r="36" spans="1:29" ht="15.75" thickBot="1">
      <c r="A36" s="933"/>
      <c r="B36" s="913">
        <v>111</v>
      </c>
      <c r="C36" s="539"/>
      <c r="D36" s="540">
        <v>100</v>
      </c>
      <c r="E36" s="530"/>
      <c r="F36" s="575">
        <f>SUMIF(101:101,E36,102:102)-SUMIF(101:101,C36,102:102)+100</f>
        <v>100</v>
      </c>
      <c r="G36" s="530"/>
      <c r="H36" s="540">
        <f>SUMIF(101:101,G36,102:102)-SUMIF(101:101,C36,102:102)+100</f>
        <v>100</v>
      </c>
      <c r="I36" s="530"/>
      <c r="J36" s="540">
        <f>SUMIF(101:101,I36,102:102)-SUMIF(101:101,C36,102:102)+100</f>
        <v>100</v>
      </c>
      <c r="K36" s="581"/>
      <c r="L36" s="2142"/>
      <c r="M36" s="2134"/>
      <c r="N36" s="2134"/>
      <c r="O36" s="2141"/>
      <c r="P36" s="3391"/>
      <c r="Q36" s="1571">
        <f t="shared" si="11"/>
        <v>111</v>
      </c>
      <c r="R36" s="1572" t="s">
        <v>8</v>
      </c>
      <c r="S36" s="1573">
        <f t="shared" si="12"/>
        <v>100</v>
      </c>
      <c r="T36" s="1572" t="s">
        <v>8</v>
      </c>
      <c r="U36" s="1573">
        <f t="shared" si="13"/>
        <v>100</v>
      </c>
      <c r="V36" s="1572" t="s">
        <v>8</v>
      </c>
      <c r="W36" s="1573">
        <f t="shared" si="14"/>
        <v>100</v>
      </c>
      <c r="X36" s="1566"/>
      <c r="Y36" s="3391"/>
      <c r="Z36" s="1574">
        <f t="shared" si="15"/>
        <v>111</v>
      </c>
      <c r="AA36" s="1575">
        <f t="shared" si="3"/>
        <v>1</v>
      </c>
      <c r="AB36" s="1575">
        <f t="shared" si="4"/>
        <v>1</v>
      </c>
      <c r="AC36" s="1575">
        <f t="shared" si="5"/>
        <v>1</v>
      </c>
    </row>
    <row r="37" spans="1:29" ht="15">
      <c r="A37" s="1846" t="s">
        <v>2078</v>
      </c>
      <c r="B37" s="1847" t="s">
        <v>2079</v>
      </c>
      <c r="C37" s="2651" t="s">
        <v>1</v>
      </c>
      <c r="D37" s="2652"/>
      <c r="E37" s="2653"/>
      <c r="F37" s="2654"/>
      <c r="G37" s="2655"/>
      <c r="H37" s="2656"/>
      <c r="I37" s="2653"/>
      <c r="J37" s="2656"/>
      <c r="K37" s="1610"/>
      <c r="L37" s="2144"/>
      <c r="M37" s="2145"/>
      <c r="N37" s="2134"/>
      <c r="O37" s="2145"/>
      <c r="P37" s="3354" t="str">
        <f>A37</f>
        <v>成交单价</v>
      </c>
      <c r="Q37" s="3354"/>
      <c r="R37" s="3444">
        <f>E37</f>
        <v>0</v>
      </c>
      <c r="S37" s="3444"/>
      <c r="T37" s="3444">
        <f>G37</f>
        <v>0</v>
      </c>
      <c r="U37" s="3444"/>
      <c r="V37" s="3444">
        <f>I37</f>
        <v>0</v>
      </c>
      <c r="W37" s="3444"/>
      <c r="X37" s="1558"/>
      <c r="Y37" s="1580"/>
      <c r="Z37" s="1558"/>
      <c r="AA37" s="1558"/>
      <c r="AB37" s="1558"/>
      <c r="AC37" s="1558"/>
    </row>
    <row r="38" spans="1:29" ht="15.75" thickBot="1">
      <c r="A38" s="615" t="s">
        <v>2765</v>
      </c>
      <c r="B38" s="887"/>
      <c r="C38" s="2657" t="e">
        <f>R39</f>
        <v>#DIV/0!</v>
      </c>
      <c r="D38" s="2658"/>
      <c r="E38" s="2659" t="e">
        <f>R38</f>
        <v>#DIV/0!</v>
      </c>
      <c r="F38" s="2659"/>
      <c r="G38" s="2657" t="e">
        <f>T38</f>
        <v>#DIV/0!</v>
      </c>
      <c r="H38" s="2658"/>
      <c r="I38" s="2659" t="e">
        <f>V38</f>
        <v>#DIV/0!</v>
      </c>
      <c r="J38" s="2658"/>
      <c r="K38" s="1611"/>
      <c r="L38" s="2144"/>
      <c r="M38" s="2145"/>
      <c r="N38" s="2145"/>
      <c r="O38" s="2145"/>
      <c r="P38" s="3354" t="str">
        <f>A38</f>
        <v>比较价格（元/平方米）</v>
      </c>
      <c r="Q38" s="3354"/>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1558"/>
      <c r="Y38" s="1558"/>
      <c r="Z38" s="1558"/>
      <c r="AA38" s="1558"/>
      <c r="AB38" s="1558"/>
      <c r="AC38" s="1558"/>
    </row>
    <row r="39" spans="1:29" ht="15.75" thickBot="1">
      <c r="A39" s="621" t="s">
        <v>2935</v>
      </c>
      <c r="B39" s="622"/>
      <c r="C39" s="2660" t="e">
        <f>R39</f>
        <v>#DIV/0!</v>
      </c>
      <c r="D39" s="2660"/>
      <c r="E39" s="2660"/>
      <c r="F39" s="2660"/>
      <c r="G39" s="2660"/>
      <c r="H39" s="2660"/>
      <c r="I39" s="2660"/>
      <c r="J39" s="2660"/>
      <c r="K39" s="1612"/>
      <c r="L39" s="2144"/>
      <c r="M39" s="2145"/>
      <c r="N39" s="2145"/>
      <c r="O39" s="2145"/>
      <c r="P39" s="3351" t="str">
        <f>A39</f>
        <v>估价对象XX用房的比较价格（楼面单价，元/平方米）</v>
      </c>
      <c r="Q39" s="3352"/>
      <c r="R39" s="3443" t="e">
        <f>IF(F1="售价",ROUND(AVERAGE(R38:V38),0),ROUND(AVERAGE(R38:V38),1))</f>
        <v>#DIV/0!</v>
      </c>
      <c r="S39" s="3443"/>
      <c r="T39" s="3443"/>
      <c r="U39" s="3443"/>
      <c r="V39" s="3443"/>
      <c r="W39" s="3443"/>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2560</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2561</v>
      </c>
      <c r="C67" s="2622" t="s">
        <v>2562</v>
      </c>
      <c r="D67" s="2622" t="s">
        <v>2563</v>
      </c>
      <c r="E67" s="2622" t="s">
        <v>2564</v>
      </c>
      <c r="F67" s="2622" t="s">
        <v>2565</v>
      </c>
      <c r="G67" s="2622" t="s">
        <v>2566</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60" t="s">
        <v>797</v>
      </c>
      <c r="D4" s="3361"/>
      <c r="E4" s="3394" t="s">
        <v>798</v>
      </c>
      <c r="F4" s="3395"/>
      <c r="G4" s="3360" t="s">
        <v>799</v>
      </c>
      <c r="H4" s="3361"/>
      <c r="I4" s="3360" t="s">
        <v>800</v>
      </c>
      <c r="J4" s="3361"/>
      <c r="K4" s="516" t="s">
        <v>801</v>
      </c>
      <c r="L4" s="2133"/>
      <c r="M4" s="2134"/>
      <c r="N4" s="2134"/>
      <c r="O4" s="2134"/>
      <c r="P4" s="3362" t="s">
        <v>802</v>
      </c>
      <c r="Q4" s="3363"/>
      <c r="R4" s="3368" t="s">
        <v>798</v>
      </c>
      <c r="S4" s="3369"/>
      <c r="T4" s="3368" t="s">
        <v>799</v>
      </c>
      <c r="U4" s="3369"/>
      <c r="V4" s="3355" t="s">
        <v>800</v>
      </c>
      <c r="W4" s="3355"/>
      <c r="X4" s="1566"/>
      <c r="Y4" s="3368" t="s">
        <v>802</v>
      </c>
      <c r="Z4" s="3369"/>
      <c r="AA4" s="3357" t="s">
        <v>798</v>
      </c>
      <c r="AB4" s="3358" t="s">
        <v>799</v>
      </c>
      <c r="AC4" s="3357" t="s">
        <v>800</v>
      </c>
    </row>
    <row r="5" spans="1:29" ht="15">
      <c r="A5" s="517"/>
      <c r="B5" s="518"/>
      <c r="C5" s="3376" t="s">
        <v>2929</v>
      </c>
      <c r="D5" s="3377"/>
      <c r="E5" s="3396" t="s">
        <v>2930</v>
      </c>
      <c r="F5" s="3397"/>
      <c r="G5" s="3376" t="s">
        <v>2931</v>
      </c>
      <c r="H5" s="3377"/>
      <c r="I5" s="3376" t="s">
        <v>2932</v>
      </c>
      <c r="J5" s="3377"/>
      <c r="K5" s="516"/>
      <c r="L5" s="2133"/>
      <c r="M5" s="2134"/>
      <c r="N5" s="2134"/>
      <c r="O5" s="2134"/>
      <c r="P5" s="3364"/>
      <c r="Q5" s="3365"/>
      <c r="R5" s="3370"/>
      <c r="S5" s="3371"/>
      <c r="T5" s="3370"/>
      <c r="U5" s="3371"/>
      <c r="V5" s="3355"/>
      <c r="W5" s="3355"/>
      <c r="X5" s="1566"/>
      <c r="Y5" s="3370"/>
      <c r="Z5" s="3371"/>
      <c r="AA5" s="3358"/>
      <c r="AB5" s="3358"/>
      <c r="AC5" s="3358"/>
    </row>
    <row r="6" spans="1:29" ht="15.75" thickBot="1">
      <c r="A6" s="519"/>
      <c r="B6" s="520"/>
      <c r="C6" s="3374" t="s">
        <v>2933</v>
      </c>
      <c r="D6" s="3375"/>
      <c r="E6" s="3392" t="s">
        <v>2933</v>
      </c>
      <c r="F6" s="3393"/>
      <c r="G6" s="3374" t="s">
        <v>2933</v>
      </c>
      <c r="H6" s="3375"/>
      <c r="I6" s="3374" t="s">
        <v>2933</v>
      </c>
      <c r="J6" s="3375"/>
      <c r="K6" s="516" t="s">
        <v>528</v>
      </c>
      <c r="L6" s="2133"/>
      <c r="M6" s="2134"/>
      <c r="N6" s="2134"/>
      <c r="O6" s="2134"/>
      <c r="P6" s="3366"/>
      <c r="Q6" s="3367"/>
      <c r="R6" s="3370"/>
      <c r="S6" s="3371"/>
      <c r="T6" s="3372"/>
      <c r="U6" s="3373"/>
      <c r="V6" s="3355"/>
      <c r="W6" s="3355"/>
      <c r="X6" s="1566"/>
      <c r="Y6" s="3372"/>
      <c r="Z6" s="3373"/>
      <c r="AA6" s="3359"/>
      <c r="AB6" s="3359"/>
      <c r="AC6" s="3359"/>
    </row>
    <row r="7" spans="1:29" s="1219" customFormat="1" ht="15.75" thickBot="1">
      <c r="A7" s="2938"/>
      <c r="B7" s="2945" t="s">
        <v>529</v>
      </c>
      <c r="C7" s="521">
        <f>'数据-取费表'!B2</f>
        <v>43076</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85" t="s">
        <v>530</v>
      </c>
      <c r="Q7" s="3387"/>
      <c r="R7" s="1567" t="s">
        <v>8</v>
      </c>
      <c r="S7" s="1568">
        <f t="shared" ref="S7:S14" si="0">F7</f>
        <v>0</v>
      </c>
      <c r="T7" s="1567" t="s">
        <v>8</v>
      </c>
      <c r="U7" s="1568">
        <f t="shared" ref="U7:U14" si="1">H7</f>
        <v>0</v>
      </c>
      <c r="V7" s="1567" t="s">
        <v>8</v>
      </c>
      <c r="W7" s="1568">
        <f t="shared" ref="W7:W14" si="2">J7</f>
        <v>0</v>
      </c>
      <c r="X7" s="1569"/>
      <c r="Y7" s="3385" t="s">
        <v>530</v>
      </c>
      <c r="Z7" s="3386"/>
      <c r="AA7" s="1570" t="e">
        <f>D7/F7</f>
        <v>#DIV/0!</v>
      </c>
      <c r="AB7" s="1570" t="e">
        <f>D7/H7</f>
        <v>#DIV/0!</v>
      </c>
      <c r="AC7" s="1570" t="e">
        <f>D7/J7</f>
        <v>#DIV/0!</v>
      </c>
    </row>
    <row r="8" spans="1:29" s="1219" customFormat="1" ht="15.75" thickBot="1">
      <c r="A8" s="2939"/>
      <c r="B8" s="2946" t="s">
        <v>531</v>
      </c>
      <c r="C8" s="527" t="s">
        <v>576</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85" t="s">
        <v>533</v>
      </c>
      <c r="Q8" s="3386"/>
      <c r="R8" s="1567" t="s">
        <v>8</v>
      </c>
      <c r="S8" s="1568">
        <f t="shared" si="0"/>
        <v>0</v>
      </c>
      <c r="T8" s="1567" t="s">
        <v>8</v>
      </c>
      <c r="U8" s="1568">
        <f t="shared" si="1"/>
        <v>0</v>
      </c>
      <c r="V8" s="1567" t="s">
        <v>8</v>
      </c>
      <c r="W8" s="1568">
        <f t="shared" si="2"/>
        <v>0</v>
      </c>
      <c r="X8" s="1569"/>
      <c r="Y8" s="3385" t="s">
        <v>533</v>
      </c>
      <c r="Z8" s="3386"/>
      <c r="AA8" s="1570" t="e">
        <f t="shared" ref="AA8:AA34" si="3">D8/F8</f>
        <v>#DIV/0!</v>
      </c>
      <c r="AB8" s="1570" t="e">
        <f t="shared" ref="AB8:AB34" si="4">D8/H8</f>
        <v>#DIV/0!</v>
      </c>
      <c r="AC8" s="1570" t="e">
        <f t="shared" ref="AC8:AC34" si="5">D8/J8</f>
        <v>#DIV/0!</v>
      </c>
    </row>
    <row r="9" spans="1:29" s="1219" customFormat="1" ht="15">
      <c r="A9" s="2940"/>
      <c r="B9" s="2947" t="s">
        <v>2761</v>
      </c>
      <c r="C9" s="857"/>
      <c r="D9" s="253">
        <v>100</v>
      </c>
      <c r="E9" s="860"/>
      <c r="F9" s="253">
        <f>SUMIF(51:51,E9,52:52)-SUMIF(51:51,C9,52:52)+100</f>
        <v>100</v>
      </c>
      <c r="G9" s="860"/>
      <c r="H9" s="253">
        <f>SUMIF(51:51,G9,52:52)-SUMIF(51:51,C9,52:52)+100</f>
        <v>100</v>
      </c>
      <c r="I9" s="860"/>
      <c r="J9" s="253">
        <f>SUMIF(51:51,I9,52:52)-SUMIF(51:51,C9,52:52)+100</f>
        <v>100</v>
      </c>
      <c r="K9" s="526"/>
      <c r="L9" s="2135"/>
      <c r="M9" s="2136"/>
      <c r="N9" s="2136"/>
      <c r="O9" s="2137"/>
      <c r="P9" s="3354" t="s">
        <v>535</v>
      </c>
      <c r="Q9" s="1150" t="str">
        <f t="shared" ref="Q9:Q14" si="6">B9</f>
        <v>用途</v>
      </c>
      <c r="R9" s="1567" t="s">
        <v>8</v>
      </c>
      <c r="S9" s="1568">
        <f t="shared" si="0"/>
        <v>100</v>
      </c>
      <c r="T9" s="1567" t="s">
        <v>8</v>
      </c>
      <c r="U9" s="1568">
        <f t="shared" si="1"/>
        <v>100</v>
      </c>
      <c r="V9" s="1567" t="s">
        <v>8</v>
      </c>
      <c r="W9" s="1568">
        <f t="shared" si="2"/>
        <v>100</v>
      </c>
      <c r="X9" s="1569"/>
      <c r="Y9" s="3300"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SUMIF(53:53,E10,54:54)-SUMIF(53:53,C10,54:54)+100</f>
        <v>100</v>
      </c>
      <c r="G10" s="862"/>
      <c r="H10" s="254">
        <f>SUMIF(53:53,G10,54:54)-SUMIF(53:53,C10,54:54)+100</f>
        <v>100</v>
      </c>
      <c r="I10" s="861"/>
      <c r="J10" s="254">
        <f>SUMIF(53:53,I10,54:54)-SUMIF(53:53,C10,54:54)+100</f>
        <v>100</v>
      </c>
      <c r="K10" s="584"/>
      <c r="L10" s="2138"/>
      <c r="M10" s="2178"/>
      <c r="N10" s="2178"/>
      <c r="O10" s="2139"/>
      <c r="P10" s="3354"/>
      <c r="Q10" s="1150" t="str">
        <f t="shared" si="6"/>
        <v>土地使用年限（年）</v>
      </c>
      <c r="R10" s="1567" t="s">
        <v>8</v>
      </c>
      <c r="S10" s="1568">
        <f t="shared" si="0"/>
        <v>100</v>
      </c>
      <c r="T10" s="1567" t="s">
        <v>8</v>
      </c>
      <c r="U10" s="1568">
        <f t="shared" si="1"/>
        <v>100</v>
      </c>
      <c r="V10" s="1567" t="s">
        <v>8</v>
      </c>
      <c r="W10" s="1568">
        <f t="shared" si="2"/>
        <v>100</v>
      </c>
      <c r="X10" s="1569"/>
      <c r="Y10" s="3300"/>
      <c r="Z10" s="1149" t="str">
        <f t="shared" si="7"/>
        <v>土地使用年限（年）</v>
      </c>
      <c r="AA10" s="1570">
        <f t="shared" si="3"/>
        <v>1</v>
      </c>
      <c r="AB10" s="1570">
        <f t="shared" si="4"/>
        <v>1</v>
      </c>
      <c r="AC10" s="1570">
        <f t="shared" si="5"/>
        <v>1</v>
      </c>
    </row>
    <row r="11" spans="1:29" ht="15">
      <c r="A11" s="2943"/>
      <c r="B11" s="2949">
        <v>111</v>
      </c>
      <c r="C11" s="530"/>
      <c r="D11" s="254">
        <v>100</v>
      </c>
      <c r="E11" s="879"/>
      <c r="F11" s="254">
        <f>SUMIF(55:55,E11,56:56)-SUMIF(55:55,C11,56:56)+100</f>
        <v>100</v>
      </c>
      <c r="G11" s="879"/>
      <c r="H11" s="254">
        <f>SUMIF(55:55,G11,56:56)-SUMIF(55:55,C11,56:56)+100</f>
        <v>100</v>
      </c>
      <c r="I11" s="879"/>
      <c r="J11" s="254">
        <f>SUMIF(55:55,I11,56:56)-SUMIF(55:55,C11,56:56)+100</f>
        <v>100</v>
      </c>
      <c r="K11" s="581"/>
      <c r="L11" s="2140"/>
      <c r="M11" s="2134"/>
      <c r="N11" s="2134"/>
      <c r="O11" s="2141"/>
      <c r="P11" s="3354"/>
      <c r="Q11" s="1150">
        <f t="shared" si="6"/>
        <v>111</v>
      </c>
      <c r="R11" s="1567" t="s">
        <v>8</v>
      </c>
      <c r="S11" s="1568">
        <f t="shared" si="0"/>
        <v>100</v>
      </c>
      <c r="T11" s="1567" t="s">
        <v>8</v>
      </c>
      <c r="U11" s="1568">
        <f t="shared" si="1"/>
        <v>100</v>
      </c>
      <c r="V11" s="1567" t="s">
        <v>8</v>
      </c>
      <c r="W11" s="1568">
        <f t="shared" si="2"/>
        <v>100</v>
      </c>
      <c r="X11" s="1569"/>
      <c r="Y11" s="3300"/>
      <c r="Z11" s="1149">
        <f t="shared" si="7"/>
        <v>111</v>
      </c>
      <c r="AA11" s="1570">
        <f t="shared" si="3"/>
        <v>1</v>
      </c>
      <c r="AB11" s="1570">
        <f t="shared" si="4"/>
        <v>1</v>
      </c>
      <c r="AC11" s="1570">
        <f t="shared" si="5"/>
        <v>1</v>
      </c>
    </row>
    <row r="12" spans="1:29" s="1219" customFormat="1" ht="15">
      <c r="A12" s="2943"/>
      <c r="B12" s="2949">
        <v>111</v>
      </c>
      <c r="C12" s="530"/>
      <c r="D12" s="538">
        <v>100</v>
      </c>
      <c r="E12" s="879"/>
      <c r="F12" s="254">
        <f>SUMIF(57:57,E12,58:58)-SUMIF(57:57,C12,58:58)+100</f>
        <v>100</v>
      </c>
      <c r="G12" s="879"/>
      <c r="H12" s="254">
        <f>SUMIF(57:57,G12,58:58)-SUMIF(57:57,C12,58:58)+100</f>
        <v>100</v>
      </c>
      <c r="I12" s="879"/>
      <c r="J12" s="254">
        <f>SUMIF(57:57,I12,58:58)-SUMIF(57:57,C12,58:58)+100</f>
        <v>100</v>
      </c>
      <c r="K12" s="581"/>
      <c r="L12" s="2135"/>
      <c r="M12" s="2136"/>
      <c r="N12" s="2136"/>
      <c r="O12" s="2137"/>
      <c r="P12" s="3354"/>
      <c r="Q12" s="1150">
        <f t="shared" si="6"/>
        <v>111</v>
      </c>
      <c r="R12" s="1567" t="s">
        <v>8</v>
      </c>
      <c r="S12" s="1568">
        <f t="shared" si="0"/>
        <v>100</v>
      </c>
      <c r="T12" s="1567" t="s">
        <v>8</v>
      </c>
      <c r="U12" s="1568">
        <f t="shared" si="1"/>
        <v>100</v>
      </c>
      <c r="V12" s="1567" t="s">
        <v>8</v>
      </c>
      <c r="W12" s="1568">
        <f t="shared" si="2"/>
        <v>100</v>
      </c>
      <c r="X12" s="1569"/>
      <c r="Y12" s="3300"/>
      <c r="Z12" s="1149">
        <f t="shared" si="7"/>
        <v>111</v>
      </c>
      <c r="AA12" s="1570">
        <f>D12/F12</f>
        <v>1</v>
      </c>
      <c r="AB12" s="1570">
        <f>D12/H12</f>
        <v>1</v>
      </c>
      <c r="AC12" s="1570">
        <f>D12/J12</f>
        <v>1</v>
      </c>
    </row>
    <row r="13" spans="1:29" ht="15.75" thickBot="1">
      <c r="A13" s="2944"/>
      <c r="B13" s="2950">
        <v>111</v>
      </c>
      <c r="C13" s="539"/>
      <c r="D13" s="540">
        <v>100</v>
      </c>
      <c r="E13" s="879"/>
      <c r="F13" s="254">
        <f>SUMIF(59:59,E13,60:60)-SUMIF(59:59,C13,60:60)+100</f>
        <v>100</v>
      </c>
      <c r="G13" s="879"/>
      <c r="H13" s="540">
        <f>SUMIF(59:59,G13,60:60)-SUMIF(59:59,C13,60:60)+100</f>
        <v>100</v>
      </c>
      <c r="I13" s="879"/>
      <c r="J13" s="540">
        <f>SUMIF(59:59,I13,60:60)-SUMIF(59:59,C13,60:60)+100</f>
        <v>100</v>
      </c>
      <c r="K13" s="581"/>
      <c r="L13" s="2142"/>
      <c r="M13" s="2134"/>
      <c r="N13" s="2134"/>
      <c r="O13" s="2141"/>
      <c r="P13" s="3354"/>
      <c r="Q13" s="1150">
        <f t="shared" si="6"/>
        <v>111</v>
      </c>
      <c r="R13" s="1567" t="s">
        <v>8</v>
      </c>
      <c r="S13" s="1568">
        <f t="shared" si="0"/>
        <v>100</v>
      </c>
      <c r="T13" s="1567" t="s">
        <v>8</v>
      </c>
      <c r="U13" s="1568">
        <f t="shared" si="1"/>
        <v>100</v>
      </c>
      <c r="V13" s="1567" t="s">
        <v>8</v>
      </c>
      <c r="W13" s="1568">
        <f t="shared" si="2"/>
        <v>100</v>
      </c>
      <c r="X13" s="1569"/>
      <c r="Y13" s="3300"/>
      <c r="Z13" s="1149">
        <f t="shared" si="7"/>
        <v>111</v>
      </c>
      <c r="AA13" s="1570">
        <f t="shared" si="3"/>
        <v>1</v>
      </c>
      <c r="AB13" s="1570">
        <f t="shared" si="4"/>
        <v>1</v>
      </c>
      <c r="AC13" s="1570">
        <f t="shared" si="5"/>
        <v>1</v>
      </c>
    </row>
    <row r="14" spans="1:29" ht="114">
      <c r="A14" s="2936" t="s">
        <v>2759</v>
      </c>
      <c r="B14" s="166" t="s">
        <v>543</v>
      </c>
      <c r="C14" s="920" t="str">
        <f>IF(B1="工业",估价对象房地状况!G4,估价对象房地状况!C6)</f>
        <v>估价对象周边1公里有357、355路等公交车经过，公共交通通达情况一般、停车便捷程度较好，综合评价交通便捷度较差</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388" t="s">
        <v>540</v>
      </c>
      <c r="Q14" s="1571" t="str">
        <f t="shared" si="6"/>
        <v>交通便捷度</v>
      </c>
      <c r="R14" s="1572" t="s">
        <v>8</v>
      </c>
      <c r="S14" s="1573">
        <f t="shared" si="0"/>
        <v>100</v>
      </c>
      <c r="T14" s="1572" t="s">
        <v>8</v>
      </c>
      <c r="U14" s="1573">
        <f t="shared" si="1"/>
        <v>100</v>
      </c>
      <c r="V14" s="1572" t="s">
        <v>8</v>
      </c>
      <c r="W14" s="1573">
        <f t="shared" si="2"/>
        <v>100</v>
      </c>
      <c r="X14" s="1566"/>
      <c r="Y14" s="3388"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389"/>
      <c r="Q15" s="1571"/>
      <c r="R15" s="1572"/>
      <c r="S15" s="1573"/>
      <c r="T15" s="1572"/>
      <c r="U15" s="1573"/>
      <c r="V15" s="1572"/>
      <c r="W15" s="1573"/>
      <c r="X15" s="1566"/>
      <c r="Y15" s="3389"/>
      <c r="Z15" s="1574"/>
      <c r="AA15" s="1575">
        <v>1</v>
      </c>
      <c r="AB15" s="1575">
        <v>1</v>
      </c>
      <c r="AC15" s="1575">
        <v>1</v>
      </c>
    </row>
    <row r="16" spans="1:29" ht="42.75">
      <c r="A16" s="532"/>
      <c r="B16" s="2627" t="s">
        <v>2549</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389"/>
      <c r="Q16" s="1571" t="str">
        <f>B16</f>
        <v>公共配套设施</v>
      </c>
      <c r="R16" s="1572" t="s">
        <v>8</v>
      </c>
      <c r="S16" s="1573">
        <f>F16</f>
        <v>100</v>
      </c>
      <c r="T16" s="1572" t="s">
        <v>8</v>
      </c>
      <c r="U16" s="1573">
        <f>H16</f>
        <v>100</v>
      </c>
      <c r="V16" s="1572" t="s">
        <v>8</v>
      </c>
      <c r="W16" s="1573">
        <f>J16</f>
        <v>100</v>
      </c>
      <c r="X16" s="1566"/>
      <c r="Y16" s="3389"/>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389"/>
      <c r="Q17" s="1571"/>
      <c r="R17" s="1572"/>
      <c r="S17" s="1573"/>
      <c r="T17" s="1572"/>
      <c r="U17" s="1573"/>
      <c r="V17" s="1572"/>
      <c r="W17" s="1573"/>
      <c r="X17" s="1566"/>
      <c r="Y17" s="3389"/>
      <c r="Z17" s="1574"/>
      <c r="AA17" s="1575">
        <v>1</v>
      </c>
      <c r="AB17" s="1575">
        <v>1</v>
      </c>
      <c r="AC17" s="1575">
        <v>1</v>
      </c>
    </row>
    <row r="18" spans="1:29" ht="42.75">
      <c r="A18" s="532"/>
      <c r="B18" s="2615" t="s">
        <v>2561</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389"/>
      <c r="Q18" s="2603" t="str">
        <f>B18</f>
        <v>基础设施水平</v>
      </c>
      <c r="R18" s="1572" t="s">
        <v>8</v>
      </c>
      <c r="S18" s="1573">
        <f>F18</f>
        <v>100</v>
      </c>
      <c r="T18" s="1572" t="s">
        <v>8</v>
      </c>
      <c r="U18" s="1573">
        <f>H18</f>
        <v>100</v>
      </c>
      <c r="V18" s="1572" t="s">
        <v>8</v>
      </c>
      <c r="W18" s="1573">
        <f>J18</f>
        <v>100</v>
      </c>
      <c r="X18" s="2605"/>
      <c r="Y18" s="3389"/>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389"/>
      <c r="Q19" s="2603"/>
      <c r="R19" s="1572"/>
      <c r="S19" s="1573"/>
      <c r="T19" s="1572"/>
      <c r="U19" s="1573"/>
      <c r="V19" s="1572"/>
      <c r="W19" s="1573"/>
      <c r="X19" s="2605"/>
      <c r="Y19" s="3389"/>
      <c r="Z19" s="2604"/>
      <c r="AA19" s="1575">
        <v>1</v>
      </c>
      <c r="AB19" s="1575">
        <v>1</v>
      </c>
      <c r="AC19" s="1575">
        <v>1</v>
      </c>
    </row>
    <row r="20" spans="1:29" ht="57">
      <c r="A20" s="532"/>
      <c r="B20" s="871" t="s">
        <v>803</v>
      </c>
      <c r="C20" s="872" t="str">
        <f>IF(B1="工业",估价对象房地状况!G7,估价对象房地状况!C9)</f>
        <v>周边2公里内有长沙医学院、观音岩水库，区域自然环境较好</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389"/>
      <c r="Q20" s="1571" t="str">
        <f>B20</f>
        <v>自然及人文环境</v>
      </c>
      <c r="R20" s="1572" t="s">
        <v>8</v>
      </c>
      <c r="S20" s="1573">
        <f>F20</f>
        <v>100</v>
      </c>
      <c r="T20" s="1572" t="s">
        <v>8</v>
      </c>
      <c r="U20" s="1573">
        <f>H20</f>
        <v>100</v>
      </c>
      <c r="V20" s="1572" t="s">
        <v>8</v>
      </c>
      <c r="W20" s="1573">
        <f>J20</f>
        <v>100</v>
      </c>
      <c r="X20" s="1566"/>
      <c r="Y20" s="3389"/>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389"/>
      <c r="Q21" s="1571"/>
      <c r="R21" s="1572"/>
      <c r="S21" s="1573"/>
      <c r="T21" s="1572"/>
      <c r="U21" s="1573"/>
      <c r="V21" s="1572"/>
      <c r="W21" s="1573"/>
      <c r="X21" s="1566"/>
      <c r="Y21" s="3389"/>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9"/>
      <c r="Q22" s="1571" t="str">
        <f>B22</f>
        <v>楼层</v>
      </c>
      <c r="R22" s="1572" t="s">
        <v>8</v>
      </c>
      <c r="S22" s="1573">
        <f>F22</f>
        <v>100</v>
      </c>
      <c r="T22" s="1572" t="s">
        <v>8</v>
      </c>
      <c r="U22" s="1573">
        <f>H22</f>
        <v>100</v>
      </c>
      <c r="V22" s="1572" t="s">
        <v>8</v>
      </c>
      <c r="W22" s="1573">
        <f>J22</f>
        <v>100</v>
      </c>
      <c r="X22" s="1566"/>
      <c r="Y22" s="3389"/>
      <c r="Z22" s="1574" t="str">
        <f>Q22</f>
        <v>楼层</v>
      </c>
      <c r="AA22" s="1575">
        <f t="shared" si="3"/>
        <v>1</v>
      </c>
      <c r="AB22" s="1575">
        <f t="shared" si="4"/>
        <v>1</v>
      </c>
      <c r="AC22" s="1575">
        <f t="shared" si="5"/>
        <v>1</v>
      </c>
    </row>
    <row r="23" spans="1:29" ht="15">
      <c r="A23" s="517"/>
      <c r="B23" s="537">
        <v>111</v>
      </c>
      <c r="C23" s="530"/>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9"/>
      <c r="Q23" s="1571">
        <f>B23</f>
        <v>111</v>
      </c>
      <c r="R23" s="1572" t="s">
        <v>8</v>
      </c>
      <c r="S23" s="1573">
        <f>F23</f>
        <v>100</v>
      </c>
      <c r="T23" s="1572" t="s">
        <v>8</v>
      </c>
      <c r="U23" s="1573">
        <f>H23</f>
        <v>100</v>
      </c>
      <c r="V23" s="1572" t="s">
        <v>8</v>
      </c>
      <c r="W23" s="1573">
        <f>J23</f>
        <v>100</v>
      </c>
      <c r="X23" s="1566"/>
      <c r="Y23" s="3389"/>
      <c r="Z23" s="1574">
        <f>Q23</f>
        <v>111</v>
      </c>
      <c r="AA23" s="1575">
        <f t="shared" si="3"/>
        <v>1</v>
      </c>
      <c r="AB23" s="1575">
        <f t="shared" si="4"/>
        <v>1</v>
      </c>
      <c r="AC23" s="1575">
        <f t="shared" si="5"/>
        <v>1</v>
      </c>
    </row>
    <row r="24" spans="1:29" ht="15">
      <c r="A24" s="532"/>
      <c r="B24" s="537">
        <v>111</v>
      </c>
      <c r="C24" s="530"/>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9"/>
      <c r="Q24" s="1571">
        <f t="shared" ref="Q24:Q34" si="11">B24</f>
        <v>111</v>
      </c>
      <c r="R24" s="1572" t="s">
        <v>8</v>
      </c>
      <c r="S24" s="1573">
        <f>F24</f>
        <v>100</v>
      </c>
      <c r="T24" s="1572" t="s">
        <v>8</v>
      </c>
      <c r="U24" s="1573">
        <f>H24</f>
        <v>100</v>
      </c>
      <c r="V24" s="1572" t="s">
        <v>8</v>
      </c>
      <c r="W24" s="1573">
        <f>J24</f>
        <v>100</v>
      </c>
      <c r="X24" s="1566"/>
      <c r="Y24" s="3389"/>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389"/>
      <c r="Q25" s="1150">
        <f t="shared" si="11"/>
        <v>111</v>
      </c>
      <c r="R25" s="1567" t="s">
        <v>8</v>
      </c>
      <c r="S25" s="1568">
        <f>F25</f>
        <v>100</v>
      </c>
      <c r="T25" s="1567" t="s">
        <v>8</v>
      </c>
      <c r="U25" s="1568">
        <f>H25</f>
        <v>100</v>
      </c>
      <c r="V25" s="1567" t="s">
        <v>8</v>
      </c>
      <c r="W25" s="1568">
        <f>J25</f>
        <v>100</v>
      </c>
      <c r="X25" s="1569"/>
      <c r="Y25" s="3389"/>
      <c r="Z25" s="1149">
        <f>Q25</f>
        <v>111</v>
      </c>
      <c r="AA25" s="1575">
        <f>D25/F25</f>
        <v>1</v>
      </c>
      <c r="AB25" s="1575">
        <f>D25/H25</f>
        <v>1</v>
      </c>
      <c r="AC25" s="1575">
        <f>D25/J25</f>
        <v>1</v>
      </c>
    </row>
    <row r="26" spans="1:29" ht="15">
      <c r="A26" s="2933" t="s">
        <v>2760</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390"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1" t="s">
        <v>820</v>
      </c>
      <c r="Z26" s="1574" t="str">
        <f t="shared" ref="Z26:Z34" si="15">Q26</f>
        <v>公共部分装修</v>
      </c>
      <c r="AA26" s="1575">
        <f t="shared" si="3"/>
        <v>1</v>
      </c>
      <c r="AB26" s="1575">
        <f t="shared" si="4"/>
        <v>1</v>
      </c>
      <c r="AC26" s="1575">
        <f t="shared" si="5"/>
        <v>1</v>
      </c>
    </row>
    <row r="27" spans="1:29" s="1338" customFormat="1" ht="15">
      <c r="A27" s="603"/>
      <c r="B27" s="529" t="s">
        <v>808</v>
      </c>
      <c r="C27" s="882"/>
      <c r="D27" s="254">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391"/>
      <c r="Q27" s="1604" t="str">
        <f t="shared" si="11"/>
        <v>成新率</v>
      </c>
      <c r="R27" s="1576" t="s">
        <v>8</v>
      </c>
      <c r="S27" s="1577" t="e">
        <f t="shared" si="12"/>
        <v>#N/A</v>
      </c>
      <c r="T27" s="1576" t="s">
        <v>8</v>
      </c>
      <c r="U27" s="1577" t="e">
        <f t="shared" si="13"/>
        <v>#N/A</v>
      </c>
      <c r="V27" s="1576" t="s">
        <v>8</v>
      </c>
      <c r="W27" s="1577" t="e">
        <f t="shared" si="14"/>
        <v>#N/A</v>
      </c>
      <c r="X27" s="1578"/>
      <c r="Y27" s="3391"/>
      <c r="Z27" s="1579" t="str">
        <f t="shared" si="15"/>
        <v>成新率</v>
      </c>
      <c r="AA27" s="1575" t="e">
        <f t="shared" si="3"/>
        <v>#N/A</v>
      </c>
      <c r="AB27" s="1575" t="e">
        <f t="shared" si="4"/>
        <v>#N/A</v>
      </c>
      <c r="AC27" s="1575" t="e">
        <f t="shared" si="5"/>
        <v>#N/A</v>
      </c>
    </row>
    <row r="28" spans="1:29" ht="15">
      <c r="A28" s="594"/>
      <c r="B28" s="529"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1"/>
      <c r="Q28" s="1571" t="str">
        <f t="shared" si="11"/>
        <v>物业等级</v>
      </c>
      <c r="R28" s="1572" t="s">
        <v>8</v>
      </c>
      <c r="S28" s="1573">
        <f t="shared" si="12"/>
        <v>100</v>
      </c>
      <c r="T28" s="1572" t="s">
        <v>8</v>
      </c>
      <c r="U28" s="1573">
        <f t="shared" si="13"/>
        <v>100</v>
      </c>
      <c r="V28" s="1572" t="s">
        <v>8</v>
      </c>
      <c r="W28" s="1573">
        <f t="shared" si="14"/>
        <v>100</v>
      </c>
      <c r="X28" s="1566"/>
      <c r="Y28" s="3391"/>
      <c r="Z28" s="1574" t="str">
        <f t="shared" si="15"/>
        <v>物业等级</v>
      </c>
      <c r="AA28" s="1575">
        <f t="shared" si="3"/>
        <v>1</v>
      </c>
      <c r="AB28" s="1575">
        <f t="shared" si="4"/>
        <v>1</v>
      </c>
      <c r="AC28" s="1575">
        <f t="shared" si="5"/>
        <v>1</v>
      </c>
    </row>
    <row r="29" spans="1:29" ht="15">
      <c r="A29" s="594"/>
      <c r="B29" s="529" t="s">
        <v>821</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391"/>
      <c r="Q29" s="1571" t="str">
        <f t="shared" si="11"/>
        <v>有无电梯</v>
      </c>
      <c r="R29" s="1572" t="s">
        <v>8</v>
      </c>
      <c r="S29" s="1573">
        <f t="shared" si="12"/>
        <v>100</v>
      </c>
      <c r="T29" s="1572" t="s">
        <v>8</v>
      </c>
      <c r="U29" s="1573">
        <f t="shared" si="13"/>
        <v>100</v>
      </c>
      <c r="V29" s="1572" t="s">
        <v>8</v>
      </c>
      <c r="W29" s="1573">
        <f t="shared" si="14"/>
        <v>100</v>
      </c>
      <c r="X29" s="1566"/>
      <c r="Y29" s="3391"/>
      <c r="Z29" s="1574" t="str">
        <f t="shared" si="15"/>
        <v>有无电梯</v>
      </c>
      <c r="AA29" s="1575">
        <f t="shared" si="3"/>
        <v>1</v>
      </c>
      <c r="AB29" s="1575">
        <f t="shared" si="4"/>
        <v>1</v>
      </c>
      <c r="AC29" s="1575">
        <f t="shared" si="5"/>
        <v>1</v>
      </c>
    </row>
    <row r="30" spans="1:29" ht="15">
      <c r="A30" s="594"/>
      <c r="B30" s="529"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391"/>
      <c r="Q30" s="1571" t="str">
        <f t="shared" si="11"/>
        <v>建筑面积</v>
      </c>
      <c r="R30" s="1572" t="s">
        <v>8</v>
      </c>
      <c r="S30" s="1573" t="e">
        <f t="shared" si="12"/>
        <v>#N/A</v>
      </c>
      <c r="T30" s="1572" t="s">
        <v>8</v>
      </c>
      <c r="U30" s="1573" t="e">
        <f t="shared" si="13"/>
        <v>#N/A</v>
      </c>
      <c r="V30" s="1572" t="s">
        <v>8</v>
      </c>
      <c r="W30" s="1573" t="e">
        <f t="shared" si="14"/>
        <v>#N/A</v>
      </c>
      <c r="X30" s="1566"/>
      <c r="Y30" s="3391"/>
      <c r="Z30" s="1574" t="str">
        <f t="shared" si="15"/>
        <v>建筑面积</v>
      </c>
      <c r="AA30" s="1575" t="e">
        <f t="shared" si="3"/>
        <v>#N/A</v>
      </c>
      <c r="AB30" s="1575" t="e">
        <f t="shared" si="4"/>
        <v>#N/A</v>
      </c>
      <c r="AC30" s="1575" t="e">
        <f t="shared" si="5"/>
        <v>#N/A</v>
      </c>
    </row>
    <row r="31" spans="1:29" s="1219" customFormat="1" ht="15">
      <c r="A31" s="600"/>
      <c r="B31" s="529" t="s">
        <v>823</v>
      </c>
      <c r="C31" s="931"/>
      <c r="D31" s="254">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391"/>
      <c r="Q31" s="1150" t="str">
        <f t="shared" si="11"/>
        <v>是否封闭</v>
      </c>
      <c r="R31" s="1567" t="s">
        <v>8</v>
      </c>
      <c r="S31" s="1568">
        <f t="shared" si="12"/>
        <v>100</v>
      </c>
      <c r="T31" s="1567" t="s">
        <v>8</v>
      </c>
      <c r="U31" s="1568">
        <f t="shared" si="13"/>
        <v>100</v>
      </c>
      <c r="V31" s="1567" t="s">
        <v>8</v>
      </c>
      <c r="W31" s="1568">
        <f t="shared" si="14"/>
        <v>100</v>
      </c>
      <c r="X31" s="1569"/>
      <c r="Y31" s="3391"/>
      <c r="Z31" s="1149" t="str">
        <f t="shared" si="15"/>
        <v>是否封闭</v>
      </c>
      <c r="AA31" s="1570">
        <f t="shared" si="3"/>
        <v>1</v>
      </c>
      <c r="AB31" s="1570">
        <f t="shared" si="4"/>
        <v>1</v>
      </c>
      <c r="AC31" s="1570">
        <f t="shared" si="5"/>
        <v>1</v>
      </c>
    </row>
    <row r="32" spans="1:29" ht="15">
      <c r="A32" s="594"/>
      <c r="B32" s="537">
        <v>111</v>
      </c>
      <c r="C32" s="530"/>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391" t="s">
        <v>550</v>
      </c>
      <c r="Q32" s="1571">
        <f t="shared" si="11"/>
        <v>111</v>
      </c>
      <c r="R32" s="1572" t="s">
        <v>8</v>
      </c>
      <c r="S32" s="1573">
        <f t="shared" si="12"/>
        <v>100</v>
      </c>
      <c r="T32" s="1572" t="s">
        <v>8</v>
      </c>
      <c r="U32" s="1573">
        <f t="shared" si="13"/>
        <v>100</v>
      </c>
      <c r="V32" s="1572" t="s">
        <v>8</v>
      </c>
      <c r="W32" s="1573">
        <f t="shared" si="14"/>
        <v>100</v>
      </c>
      <c r="X32" s="1566"/>
      <c r="Y32" s="3391" t="s">
        <v>550</v>
      </c>
      <c r="Z32" s="1574">
        <f t="shared" si="15"/>
        <v>111</v>
      </c>
      <c r="AA32" s="1575">
        <f t="shared" si="3"/>
        <v>1</v>
      </c>
      <c r="AB32" s="1575">
        <f t="shared" si="4"/>
        <v>1</v>
      </c>
      <c r="AC32" s="1575">
        <f t="shared" si="5"/>
        <v>1</v>
      </c>
    </row>
    <row r="33" spans="1:29" ht="15">
      <c r="A33" s="594"/>
      <c r="B33" s="537">
        <v>111</v>
      </c>
      <c r="C33" s="530"/>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391"/>
      <c r="Q33" s="1571">
        <f t="shared" si="11"/>
        <v>111</v>
      </c>
      <c r="R33" s="1572" t="s">
        <v>8</v>
      </c>
      <c r="S33" s="1573">
        <f t="shared" si="12"/>
        <v>100</v>
      </c>
      <c r="T33" s="1572" t="s">
        <v>8</v>
      </c>
      <c r="U33" s="1573">
        <f t="shared" si="13"/>
        <v>100</v>
      </c>
      <c r="V33" s="1572" t="s">
        <v>8</v>
      </c>
      <c r="W33" s="1573">
        <f t="shared" si="14"/>
        <v>100</v>
      </c>
      <c r="X33" s="1566"/>
      <c r="Y33" s="3391"/>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391"/>
      <c r="Q34" s="1571">
        <f t="shared" si="11"/>
        <v>111</v>
      </c>
      <c r="R34" s="1572" t="s">
        <v>8</v>
      </c>
      <c r="S34" s="1573">
        <f t="shared" si="12"/>
        <v>100</v>
      </c>
      <c r="T34" s="1572" t="s">
        <v>8</v>
      </c>
      <c r="U34" s="1573">
        <f t="shared" si="13"/>
        <v>100</v>
      </c>
      <c r="V34" s="1572" t="s">
        <v>8</v>
      </c>
      <c r="W34" s="1573">
        <f t="shared" si="14"/>
        <v>100</v>
      </c>
      <c r="X34" s="1566"/>
      <c r="Y34" s="3391"/>
      <c r="Z34" s="1574">
        <f t="shared" si="15"/>
        <v>111</v>
      </c>
      <c r="AA34" s="1575">
        <f t="shared" si="3"/>
        <v>1</v>
      </c>
      <c r="AB34" s="1575">
        <f t="shared" si="4"/>
        <v>1</v>
      </c>
      <c r="AC34" s="1575">
        <f t="shared" si="5"/>
        <v>1</v>
      </c>
    </row>
    <row r="35" spans="1:29" ht="15">
      <c r="A35" s="607" t="s">
        <v>735</v>
      </c>
      <c r="B35" s="886"/>
      <c r="C35" s="2651" t="s">
        <v>1</v>
      </c>
      <c r="D35" s="2652"/>
      <c r="E35" s="2653"/>
      <c r="F35" s="2654"/>
      <c r="G35" s="2655"/>
      <c r="H35" s="2656"/>
      <c r="I35" s="2653"/>
      <c r="J35" s="2656"/>
      <c r="K35" s="1610"/>
      <c r="L35" s="2144"/>
      <c r="M35" s="2145"/>
      <c r="N35" s="2134"/>
      <c r="O35" s="2145"/>
      <c r="P35" s="3354" t="str">
        <f>A35</f>
        <v>成交单价（元/平方米）</v>
      </c>
      <c r="Q35" s="3354"/>
      <c r="R35" s="3444">
        <f>E35</f>
        <v>0</v>
      </c>
      <c r="S35" s="3444"/>
      <c r="T35" s="3444">
        <f>G35</f>
        <v>0</v>
      </c>
      <c r="U35" s="3444"/>
      <c r="V35" s="3444">
        <f>I35</f>
        <v>0</v>
      </c>
      <c r="W35" s="3444"/>
      <c r="X35" s="1558"/>
      <c r="Y35" s="1580"/>
      <c r="Z35" s="1558"/>
      <c r="AA35" s="1558"/>
      <c r="AB35" s="1558"/>
      <c r="AC35" s="1558"/>
    </row>
    <row r="36" spans="1:29" ht="15.75" thickBot="1">
      <c r="A36" s="615" t="s">
        <v>2765</v>
      </c>
      <c r="B36" s="887"/>
      <c r="C36" s="2657" t="e">
        <f>R37</f>
        <v>#DIV/0!</v>
      </c>
      <c r="D36" s="2658"/>
      <c r="E36" s="2659" t="e">
        <f>R36</f>
        <v>#DIV/0!</v>
      </c>
      <c r="F36" s="2659"/>
      <c r="G36" s="2657" t="e">
        <f>T36</f>
        <v>#DIV/0!</v>
      </c>
      <c r="H36" s="2658"/>
      <c r="I36" s="2659" t="e">
        <f>V36</f>
        <v>#DIV/0!</v>
      </c>
      <c r="J36" s="2658"/>
      <c r="K36" s="1611"/>
      <c r="L36" s="2144"/>
      <c r="M36" s="2145"/>
      <c r="N36" s="2134"/>
      <c r="O36" s="2145"/>
      <c r="P36" s="3354" t="str">
        <f>A36</f>
        <v>比较价格（元/平方米）</v>
      </c>
      <c r="Q36" s="3354"/>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1558"/>
      <c r="Y36" s="1558"/>
      <c r="Z36" s="1558"/>
      <c r="AA36" s="1558"/>
      <c r="AB36" s="1558"/>
      <c r="AC36" s="1558"/>
    </row>
    <row r="37" spans="1:29" ht="15.75" thickBot="1">
      <c r="A37" s="621" t="s">
        <v>2935</v>
      </c>
      <c r="B37" s="622"/>
      <c r="C37" s="2660" t="e">
        <f>R37</f>
        <v>#DIV/0!</v>
      </c>
      <c r="D37" s="2660"/>
      <c r="E37" s="2660"/>
      <c r="F37" s="2660"/>
      <c r="G37" s="2660"/>
      <c r="H37" s="2660"/>
      <c r="I37" s="2660"/>
      <c r="J37" s="2660"/>
      <c r="K37" s="1612"/>
      <c r="L37" s="2144"/>
      <c r="M37" s="2145"/>
      <c r="N37" s="2145"/>
      <c r="O37" s="2145"/>
      <c r="P37" s="3351" t="str">
        <f>A37</f>
        <v>估价对象XX用房的比较价格（楼面单价，元/平方米）</v>
      </c>
      <c r="Q37" s="3352"/>
      <c r="R37" s="3443" t="e">
        <f>IF(F1="售价",ROUND(AVERAGE(R36:V36),0),ROUND(AVERAGE(R36:V36),1))</f>
        <v>#DIV/0!</v>
      </c>
      <c r="S37" s="3443"/>
      <c r="T37" s="3443"/>
      <c r="U37" s="3443"/>
      <c r="V37" s="3443"/>
      <c r="W37" s="3443"/>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529</v>
      </c>
      <c r="B46" s="646"/>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2560</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2561</v>
      </c>
      <c r="C65" s="2622" t="s">
        <v>2562</v>
      </c>
      <c r="D65" s="2622" t="s">
        <v>2563</v>
      </c>
      <c r="E65" s="2622" t="s">
        <v>2564</v>
      </c>
      <c r="F65" s="2622" t="s">
        <v>2565</v>
      </c>
      <c r="G65" s="2622" t="s">
        <v>2566</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7"/>
      <c r="B1" s="2234" t="s">
        <v>2304</v>
      </c>
      <c r="C1" s="3478" t="s">
        <v>2305</v>
      </c>
      <c r="D1" s="3479"/>
      <c r="E1" s="3479"/>
      <c r="F1" s="3479"/>
      <c r="G1" s="3479"/>
      <c r="H1" s="3479"/>
      <c r="I1" s="3479"/>
      <c r="J1" s="3479"/>
      <c r="K1" s="3479"/>
      <c r="L1" s="3479"/>
      <c r="M1" s="3479"/>
      <c r="N1" s="3479"/>
      <c r="O1" s="3479"/>
      <c r="P1" s="3479"/>
      <c r="Q1" s="3479"/>
      <c r="R1" s="3479"/>
      <c r="S1" s="3480"/>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75" t="s">
        <v>20</v>
      </c>
      <c r="D22" s="3476"/>
      <c r="E22" s="3476"/>
      <c r="F22" s="3476"/>
      <c r="G22" s="3476"/>
      <c r="H22" s="3476"/>
      <c r="I22" s="3476"/>
      <c r="J22" s="3476"/>
      <c r="K22" s="3476"/>
      <c r="L22" s="3476"/>
      <c r="M22" s="3476"/>
      <c r="N22" s="3476"/>
      <c r="O22" s="3476"/>
      <c r="P22" s="3476"/>
      <c r="Q22" s="3477"/>
      <c r="R22" s="492"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3"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2">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2">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2">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2">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2">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2">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2">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2">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2">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2">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2">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2">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2">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2">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2">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2">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2">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2">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2">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2">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2">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2">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2">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2">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2">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2">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2">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2">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2">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2">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2">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2">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2">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2">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2">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2">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2">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2">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2">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2">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2">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2">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2">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2">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2">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2">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2">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2">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2">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2">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2">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2">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2">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2">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2">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2">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2">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2">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2">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2">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2">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2">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2">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2">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2">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2">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2">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2">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2">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2">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2">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2">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2">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2">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2">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2">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2">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2">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2">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2">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2">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2">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2">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2">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2">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2">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2">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2">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2">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2">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2">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2">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2">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2">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2">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2">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2">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2">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2">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2">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2">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2">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2">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2">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2">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2">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2">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2">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2">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2">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2">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2">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2">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2">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2">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2">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2">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2">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2">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2">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2">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2">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2">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2">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2">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2">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2">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2">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2">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2">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2">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2">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2">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2">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2">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2">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2">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2">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2">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2">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2">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2">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2">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2">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2">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2">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2">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2">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2">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2">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2">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2">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2">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2">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2">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2">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2">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2">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2">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2">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2">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2">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2">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2">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2">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2">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2">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2">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2">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2">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2">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2">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2">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2">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2">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2">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2">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2">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2">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2">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2">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2">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2">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2">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2">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2">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2">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2">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2">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2">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2">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2">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2">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2">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2">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2">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2">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2">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2">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2">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2">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2">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2">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2">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2">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2">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2">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2">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2">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2">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2">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2">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2">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2">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2">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2">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2">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2">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2">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2">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2">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2">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2">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2">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2">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2">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2">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2">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2">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2">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2">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2">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2">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2">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2">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2">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2">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2">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2">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2">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2">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2">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2">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2">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2">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2">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2">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2">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2">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2">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2">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2">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2">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2">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2">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2">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2">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2">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2">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2">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2">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2">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2">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2">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2">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2">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2">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2">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2">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2">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2">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2">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2">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2">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2">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2">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2">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2">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2">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2">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2">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2">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2">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2">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2">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2">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2">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2">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2">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2">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2">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2">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2">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2">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2">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2">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2">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2">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2">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2">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2">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2">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2">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2">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2">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2">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2">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2">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2">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2">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2">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2">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2">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2">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2">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2">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2">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2">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2">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2">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2">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2">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2">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2">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2">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2">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2">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2">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2">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2">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2">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2">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2">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2">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2">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2">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2">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2">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2">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2">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2">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2">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2">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2">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2">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2">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2">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2">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2">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2">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2">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2">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2">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2">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2">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2">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2">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2">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2">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2">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2">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2">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2">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2">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2">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2">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2">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2">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2">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2">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2">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2">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2">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2">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2">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2">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2">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2">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2">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2">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2">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2">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2">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2">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2">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2">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2">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2">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2">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2">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2">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2">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2">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2">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2">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2">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2">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2">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2">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2">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2">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2">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2">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2">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2">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2">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2">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2">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2">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2">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2">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2">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2">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2">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2">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2">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2">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2">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2">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2">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2">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2">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2">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2">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2">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2">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2">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2">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2">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2">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2">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2">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2">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2">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2">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2">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2">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2">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2">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2">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2">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2">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2">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2">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2">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2">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2">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2">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2">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2">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2">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2">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2">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2">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2">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2">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2">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2">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2">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2">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2">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2">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2">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2">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2">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2">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2">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2">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2">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2">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2">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2">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2">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2">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2">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2">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2">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2">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2">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2">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2">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2">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2">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2">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2">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2">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2">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2">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2">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2">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2">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2">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2">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2">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2">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2">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2">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2">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2">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2">
        <f t="shared" si="93"/>
        <v>0</v>
      </c>
      <c r="S524" s="799">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受贵公司委托，我公司对湖南省长沙市望城区金山桥街道出让国有建设用地使用权市场价格进行了预评估。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7" spans="1:4" ht="93.75">
      <c r="A7" s="2899" t="s">
        <v>2753</v>
      </c>
    </row>
    <row r="8" spans="1:4" ht="18.75">
      <c r="A8" s="1794" t="s">
        <v>1906</v>
      </c>
    </row>
    <row r="9" spans="1:4" ht="75">
      <c r="A9" s="1796" t="str">
        <f>IF(项目基本情况!B8="抵押",IF(项目基本情况!B5=项目基本情况!B6,定义!C51,定义!B51),定义!D51)</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2017年12月7日（评估专业人员勘察现场之日）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根据《可研报告》，本次评估估价对象证载（地类）用途为。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根据《国有土地使用证》[]，估价对象（分摊）出让国有建设用地使用权面积为105421.08平方米。根据《建设工程规划许可证》[]、《出让合同》[]，估价对象规划建筑面积为231926.37平方米。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901" t="s">
        <v>2754</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43076</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1.5</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workbookViewId="0">
      <selection activeCell="I17" sqref="I17"/>
    </sheetView>
  </sheetViews>
  <sheetFormatPr defaultRowHeight="13.5"/>
  <cols>
    <col min="1" max="1" width="27.625" customWidth="1"/>
    <col min="8" max="8" width="13.125" customWidth="1"/>
    <col min="9" max="9" width="13" customWidth="1"/>
    <col min="12" max="12" width="10.5" customWidth="1"/>
    <col min="13" max="13" width="14.375" customWidth="1"/>
  </cols>
  <sheetData>
    <row r="1" spans="1:14" s="2965" customFormat="1">
      <c r="A1" s="2965" t="s">
        <v>2974</v>
      </c>
      <c r="B1" s="2965" t="s">
        <v>2975</v>
      </c>
      <c r="C1" s="2965" t="s">
        <v>2976</v>
      </c>
      <c r="D1" s="2965" t="s">
        <v>3081</v>
      </c>
      <c r="E1" s="2965" t="s">
        <v>3101</v>
      </c>
      <c r="F1" s="2965" t="s">
        <v>2977</v>
      </c>
      <c r="G1" s="2965" t="s">
        <v>2978</v>
      </c>
      <c r="H1" s="2965" t="s">
        <v>2033</v>
      </c>
      <c r="I1" s="2965" t="s">
        <v>2979</v>
      </c>
      <c r="J1" s="2965" t="s">
        <v>2980</v>
      </c>
      <c r="K1" s="2965" t="s">
        <v>2981</v>
      </c>
      <c r="L1" s="2965" t="s">
        <v>2982</v>
      </c>
      <c r="M1" s="2965" t="s">
        <v>2983</v>
      </c>
      <c r="N1" s="2965" t="s">
        <v>2984</v>
      </c>
    </row>
    <row r="2" spans="1:14" s="3174" customFormat="1">
      <c r="A2" s="3174" t="s">
        <v>3102</v>
      </c>
      <c r="B2" s="3174" t="s">
        <v>3089</v>
      </c>
      <c r="C2" s="3174" t="s">
        <v>2972</v>
      </c>
      <c r="D2" s="3174" t="s">
        <v>3103</v>
      </c>
      <c r="E2" s="3174" t="s">
        <v>3091</v>
      </c>
      <c r="F2" s="3174">
        <v>108220.7</v>
      </c>
      <c r="G2" s="3174">
        <v>270551.8</v>
      </c>
      <c r="H2" s="3174" t="s">
        <v>3104</v>
      </c>
      <c r="I2" s="3174" t="s">
        <v>3105</v>
      </c>
      <c r="J2" s="3174" t="s">
        <v>3106</v>
      </c>
      <c r="K2" s="3174">
        <v>112208</v>
      </c>
      <c r="L2" s="3174">
        <v>691.23</v>
      </c>
      <c r="M2" s="3174">
        <v>4147.38</v>
      </c>
      <c r="N2" s="3174">
        <v>45.52</v>
      </c>
    </row>
    <row r="3" spans="1:14" s="3174" customFormat="1">
      <c r="A3" s="3174" t="s">
        <v>3095</v>
      </c>
      <c r="B3" s="3174" t="s">
        <v>3089</v>
      </c>
      <c r="C3" s="3174" t="s">
        <v>2972</v>
      </c>
      <c r="D3" s="3174" t="s">
        <v>3090</v>
      </c>
      <c r="E3" s="3174" t="s">
        <v>3091</v>
      </c>
      <c r="F3" s="3174">
        <v>42186.86</v>
      </c>
      <c r="G3" s="3174">
        <v>92811.09</v>
      </c>
      <c r="H3" s="3174" t="s">
        <v>3092</v>
      </c>
      <c r="I3" s="3174" t="s">
        <v>3096</v>
      </c>
      <c r="J3" s="3174" t="s">
        <v>3094</v>
      </c>
      <c r="K3" s="3174">
        <v>41041</v>
      </c>
      <c r="L3" s="3174">
        <v>648.55999999999995</v>
      </c>
      <c r="M3" s="3174">
        <v>4421.9799999999996</v>
      </c>
      <c r="N3" s="3174">
        <v>150.38999999999999</v>
      </c>
    </row>
    <row r="4" spans="1:14" s="3174" customFormat="1">
      <c r="A4" s="3174" t="s">
        <v>3097</v>
      </c>
      <c r="B4" s="3174" t="s">
        <v>3089</v>
      </c>
      <c r="C4" s="3174" t="s">
        <v>2973</v>
      </c>
      <c r="D4" s="3174" t="s">
        <v>3090</v>
      </c>
      <c r="E4" s="3174" t="s">
        <v>3091</v>
      </c>
      <c r="F4" s="3174">
        <v>48017.08</v>
      </c>
      <c r="G4" s="3174">
        <v>144051.20000000001</v>
      </c>
      <c r="H4" s="3174" t="s">
        <v>3098</v>
      </c>
      <c r="I4" s="3174" t="s">
        <v>3099</v>
      </c>
      <c r="J4" s="3174" t="s">
        <v>3100</v>
      </c>
      <c r="K4" s="3174">
        <v>57764</v>
      </c>
      <c r="L4" s="3174">
        <v>801.99</v>
      </c>
      <c r="M4" s="3174">
        <v>4009.96</v>
      </c>
      <c r="N4" s="3174">
        <v>124.03</v>
      </c>
    </row>
    <row r="5" spans="1:14" s="3162" customFormat="1">
      <c r="A5" s="3185" t="s">
        <v>3107</v>
      </c>
      <c r="B5" s="3162" t="s">
        <v>3089</v>
      </c>
      <c r="C5" s="3162" t="s">
        <v>2973</v>
      </c>
      <c r="D5" s="3162" t="s">
        <v>3090</v>
      </c>
      <c r="E5" s="3162" t="s">
        <v>3091</v>
      </c>
      <c r="F5" s="3162">
        <v>105421.1</v>
      </c>
      <c r="G5" s="3162">
        <v>231928.6</v>
      </c>
      <c r="H5" s="3162" t="s">
        <v>3092</v>
      </c>
      <c r="I5" s="3162" t="s">
        <v>3093</v>
      </c>
      <c r="J5" s="3162" t="s">
        <v>3094</v>
      </c>
      <c r="K5" s="3162">
        <v>89555</v>
      </c>
      <c r="L5" s="3162">
        <v>566.33000000000004</v>
      </c>
      <c r="M5" s="3162">
        <v>3861.32</v>
      </c>
      <c r="N5" s="3162">
        <v>119.69</v>
      </c>
    </row>
    <row r="13" spans="1:14">
      <c r="B13" s="3177" t="s">
        <v>3078</v>
      </c>
    </row>
    <row r="17" spans="8:9">
      <c r="H17">
        <v>33</v>
      </c>
    </row>
    <row r="18" spans="8:9">
      <c r="H18">
        <v>33</v>
      </c>
    </row>
    <row r="19" spans="8:9">
      <c r="H19">
        <v>33</v>
      </c>
    </row>
    <row r="20" spans="8:9">
      <c r="H20">
        <v>34</v>
      </c>
    </row>
    <row r="21" spans="8:9">
      <c r="H21">
        <v>24</v>
      </c>
    </row>
    <row r="22" spans="8:9">
      <c r="H22">
        <f>SUM(H17:H21)</f>
        <v>157</v>
      </c>
      <c r="I22">
        <v>159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2039</v>
      </c>
      <c r="B1" s="3187"/>
      <c r="C1" s="3187"/>
      <c r="D1" s="3187"/>
      <c r="E1" s="3187"/>
      <c r="F1" s="3187"/>
      <c r="G1" s="3187"/>
      <c r="H1" s="3187"/>
      <c r="I1" s="3187"/>
      <c r="J1" s="3187"/>
      <c r="K1" s="3187"/>
      <c r="L1" s="3187"/>
      <c r="M1" s="3187"/>
      <c r="N1" s="3187"/>
      <c r="O1" s="3187"/>
      <c r="P1" s="3187"/>
      <c r="Q1" s="3187"/>
      <c r="R1" s="3187"/>
    </row>
    <row r="2" spans="1:18">
      <c r="A2" s="1807" t="s">
        <v>2041</v>
      </c>
      <c r="B2" s="1807"/>
      <c r="C2" s="1807"/>
      <c r="D2" s="1807"/>
      <c r="E2" s="1807"/>
      <c r="F2" s="1807"/>
      <c r="G2" s="1807"/>
      <c r="H2" s="1807"/>
      <c r="I2" s="1808"/>
      <c r="J2" s="1808"/>
      <c r="K2" s="1809" t="str">
        <f>"估价期日："&amp;TEXT(项目基本情况!D3,"yyyy年m月d日;;")</f>
        <v>估价期日：2017年12月7日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88" t="s">
        <v>2030</v>
      </c>
      <c r="B3" s="3188" t="s">
        <v>2736</v>
      </c>
      <c r="C3" s="3189" t="s">
        <v>2031</v>
      </c>
      <c r="D3" s="3188" t="s">
        <v>2740</v>
      </c>
      <c r="E3" s="3191" t="s">
        <v>2032</v>
      </c>
      <c r="F3" s="3191"/>
      <c r="G3" s="3191"/>
      <c r="H3" s="3191" t="s">
        <v>2033</v>
      </c>
      <c r="I3" s="3191"/>
      <c r="J3" s="3191"/>
      <c r="K3" s="3189" t="s">
        <v>2034</v>
      </c>
      <c r="L3" s="3189" t="s">
        <v>2035</v>
      </c>
      <c r="M3" s="3188" t="s">
        <v>2737</v>
      </c>
      <c r="N3" s="3190" t="str">
        <f>"（分摊）"&amp;项目基本情况!B16&amp;"国有建设用地使用权面积/㎡"</f>
        <v>（分摊）出让国有建设用地使用权面积/㎡</v>
      </c>
      <c r="O3" s="3188" t="s">
        <v>2064</v>
      </c>
      <c r="P3" s="3189" t="s">
        <v>2044</v>
      </c>
      <c r="Q3" s="3189" t="s">
        <v>2065</v>
      </c>
      <c r="R3" s="3189" t="s">
        <v>2036</v>
      </c>
    </row>
    <row r="4" spans="1:18" ht="36.75" customHeight="1">
      <c r="A4" s="3188"/>
      <c r="B4" s="3188"/>
      <c r="C4" s="3189"/>
      <c r="D4" s="3188"/>
      <c r="E4" s="2674" t="s">
        <v>2043</v>
      </c>
      <c r="F4" s="2674" t="s">
        <v>2749</v>
      </c>
      <c r="G4" s="2674" t="s">
        <v>2037</v>
      </c>
      <c r="H4" s="2674" t="s">
        <v>2038</v>
      </c>
      <c r="I4" s="2674" t="s">
        <v>2750</v>
      </c>
      <c r="J4" s="2674" t="s">
        <v>2037</v>
      </c>
      <c r="K4" s="3189"/>
      <c r="L4" s="3189"/>
      <c r="M4" s="3188"/>
      <c r="N4" s="3190"/>
      <c r="O4" s="3188"/>
      <c r="P4" s="3189"/>
      <c r="Q4" s="3189"/>
      <c r="R4" s="3189"/>
    </row>
    <row r="5" spans="1:18" ht="135" customHeight="1">
      <c r="A5" s="1943" t="s">
        <v>2660</v>
      </c>
      <c r="B5" s="2893" t="s">
        <v>2658</v>
      </c>
      <c r="C5" s="2673">
        <v>22</v>
      </c>
      <c r="D5" s="2672" t="s">
        <v>2659</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105421.08</v>
      </c>
      <c r="O5" s="1810">
        <f>项目基本情况!C21</f>
        <v>231926.37</v>
      </c>
      <c r="P5" s="1810">
        <f ca="1">结果表!E42</f>
        <v>8845</v>
      </c>
      <c r="Q5" s="1810">
        <f ca="1">结果表!D42</f>
        <v>4021</v>
      </c>
      <c r="R5" s="1811">
        <f ca="1">结果表!C42</f>
        <v>93246</v>
      </c>
    </row>
    <row r="6" spans="1:18">
      <c r="A6" s="3192" t="str">
        <f>IF(项目基本情况!B9="市场价格","——","抵押价格")</f>
        <v>——</v>
      </c>
      <c r="B6" s="3193"/>
      <c r="C6" s="3193"/>
      <c r="D6" s="3193"/>
      <c r="E6" s="3193"/>
      <c r="F6" s="3193"/>
      <c r="G6" s="3193"/>
      <c r="H6" s="3193"/>
      <c r="I6" s="3193"/>
      <c r="J6" s="3193"/>
      <c r="K6" s="3193"/>
      <c r="L6" s="3193"/>
      <c r="M6" s="3193"/>
      <c r="N6" s="3193"/>
      <c r="O6" s="3193"/>
      <c r="P6" s="3193"/>
      <c r="Q6" s="3194"/>
      <c r="R6" s="1812">
        <f ca="1">结果表!O39</f>
        <v>93246</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2" t="str">
        <f>结果表!O40</f>
        <v>——</v>
      </c>
    </row>
    <row r="8" spans="1:18">
      <c r="A8" s="3192" t="str">
        <f>IF(项目基本情况!B9="市场价格","——",项目基本情况!E9)</f>
        <v>——</v>
      </c>
      <c r="B8" s="3193"/>
      <c r="C8" s="3193"/>
      <c r="D8" s="3193"/>
      <c r="E8" s="3193"/>
      <c r="F8" s="3193"/>
      <c r="G8" s="3193"/>
      <c r="H8" s="3193"/>
      <c r="I8" s="3193"/>
      <c r="J8" s="3193"/>
      <c r="K8" s="3193"/>
      <c r="L8" s="3193"/>
      <c r="M8" s="3193"/>
      <c r="N8" s="3193"/>
      <c r="O8" s="3193"/>
      <c r="P8" s="3193"/>
      <c r="Q8" s="3194"/>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196" t="s">
        <v>2066</v>
      </c>
      <c r="B1" s="3196"/>
      <c r="C1" s="3196"/>
      <c r="D1" s="3196"/>
    </row>
    <row r="2" spans="1:4" ht="47.25" customHeight="1">
      <c r="A2" s="3197" t="str">
        <f>"1.权利限制："&amp;项目基本情况!L24&amp;"未设定租赁等其他他项权利。"</f>
        <v>1.权利限制：根据估价对象《不动产权证书》——、《国有土地使用权》——，截至估价期日，估价对象抵押权未见登记。未设定租赁等其他他项权利。</v>
      </c>
      <c r="B2" s="3197"/>
      <c r="C2" s="3197"/>
      <c r="D2" s="3197"/>
    </row>
    <row r="3" spans="1:4" ht="48" customHeight="1">
      <c r="A3" s="31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6"/>
      <c r="C3" s="3196"/>
      <c r="D3" s="3196"/>
    </row>
    <row r="4" spans="1:4" ht="36.75" customHeight="1">
      <c r="A4" s="3196" t="str">
        <f>"3.估价规划限制条件：详见"&amp;项目基本情况!E21&amp;"。"</f>
        <v>3.估价规划限制条件：详见《建设工程规划许可证》[]、《出让合同》[]。</v>
      </c>
      <c r="B4" s="3196"/>
      <c r="C4" s="3196"/>
      <c r="D4" s="3196"/>
    </row>
    <row r="5" spans="1:4">
      <c r="A5" s="3195" t="s">
        <v>2067</v>
      </c>
      <c r="B5" s="3195"/>
      <c r="C5" s="3195"/>
      <c r="D5" s="3195"/>
    </row>
    <row r="6" spans="1:4">
      <c r="A6" s="3196" t="s">
        <v>2045</v>
      </c>
      <c r="B6" s="3196"/>
      <c r="C6" s="3196"/>
      <c r="D6" s="3196"/>
    </row>
    <row r="7" spans="1:4" ht="33" customHeight="1">
      <c r="A7" s="3196" t="s">
        <v>2578</v>
      </c>
      <c r="B7" s="3196"/>
      <c r="C7" s="3196"/>
      <c r="D7" s="3196"/>
    </row>
    <row r="8" spans="1:4" ht="32.25" customHeight="1">
      <c r="A8" s="31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6"/>
      <c r="C8" s="3196"/>
      <c r="D8" s="3196"/>
    </row>
    <row r="9" spans="1:4" ht="33.75" customHeight="1">
      <c r="A9" s="31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6"/>
      <c r="C9" s="3196"/>
      <c r="D9" s="3196"/>
    </row>
    <row r="10" spans="1:4">
      <c r="A10" s="3196" t="str">
        <f>IF(项目基本情况!B8="抵押","4.估价师所知悉的法定优先受偿款情况为：","——")</f>
        <v>4.估价师所知悉的法定优先受偿款情况为：</v>
      </c>
      <c r="B10" s="3196"/>
      <c r="C10" s="3196"/>
      <c r="D10" s="3196"/>
    </row>
    <row r="11" spans="1:4" ht="37.5" customHeight="1">
      <c r="A11" s="3198" t="str">
        <f>IF(项目基本情况!B8="抵押","（1）"&amp;CONCATENATE(项目基本情况!L24,项目基本情况!L25,项目基本情况!L26),"——")</f>
        <v>（1）根据估价对象《不动产权证书》——、《国有土地使用权》——，截至估价期日，估价对象抵押权未见登记。</v>
      </c>
      <c r="B11" s="3198"/>
      <c r="C11" s="3198"/>
      <c r="D11" s="3198"/>
    </row>
    <row r="12" spans="1:4" ht="168" customHeight="1">
      <c r="A12" s="3195" t="s">
        <v>2069</v>
      </c>
      <c r="B12" s="3195"/>
      <c r="C12" s="3195"/>
      <c r="D12" s="3195"/>
    </row>
    <row r="13" spans="1:4">
      <c r="A13" s="3199" t="s">
        <v>2751</v>
      </c>
      <c r="B13" s="3199"/>
      <c r="C13" s="3199"/>
      <c r="D13" s="3199"/>
    </row>
    <row r="14" spans="1:4">
      <c r="A14" s="3198" t="str">
        <f>IF(项目基本情况!B8="抵押","综上，"&amp;结果表!K47,"——")</f>
        <v>综上，本次评估不存在估价师知悉的法定优先受偿款</v>
      </c>
      <c r="B14" s="3198"/>
      <c r="C14" s="3198"/>
      <c r="D14" s="3198"/>
    </row>
    <row r="15" spans="1:4" ht="58.5" customHeight="1">
      <c r="A15" s="31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6"/>
      <c r="C15" s="3196"/>
      <c r="D15" s="3196"/>
    </row>
    <row r="16" spans="1:4" ht="70.5" customHeight="1">
      <c r="A16" s="31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6"/>
      <c r="C16" s="3196"/>
      <c r="D16" s="3196"/>
    </row>
    <row r="17" spans="1:4">
      <c r="A17" s="3196" t="s">
        <v>2707</v>
      </c>
      <c r="B17" s="3196"/>
      <c r="C17" s="3196"/>
      <c r="D17" s="3196"/>
    </row>
    <row r="18" spans="1:4">
      <c r="A18" s="3196" t="s">
        <v>2699</v>
      </c>
      <c r="B18" s="3196"/>
      <c r="C18" s="3196"/>
      <c r="D18" s="3196"/>
    </row>
    <row r="19" spans="1:4">
      <c r="A19" s="2894" t="s">
        <v>2700</v>
      </c>
      <c r="B19" s="2894" t="s">
        <v>2701</v>
      </c>
      <c r="C19" s="2894" t="s">
        <v>2702</v>
      </c>
      <c r="D19" s="2894" t="s">
        <v>2703</v>
      </c>
    </row>
    <row r="20" spans="1:4">
      <c r="A20" s="2894" t="str">
        <f>项目基本情况!B4</f>
        <v>欧红伟</v>
      </c>
      <c r="B20" s="2894">
        <f ca="1">项目基本情况!C4</f>
        <v>2000110082</v>
      </c>
      <c r="C20" s="2896"/>
      <c r="D20" s="1800" t="s">
        <v>2708</v>
      </c>
    </row>
    <row r="21" spans="1:4">
      <c r="A21" s="2894" t="str">
        <f>项目基本情况!D4</f>
        <v>梁津</v>
      </c>
      <c r="B21" s="2894">
        <f ca="1">项目基本情况!E4</f>
        <v>96010014</v>
      </c>
      <c r="C21" s="2896"/>
      <c r="D21" s="1800" t="s">
        <v>2709</v>
      </c>
    </row>
    <row r="23" spans="1:4">
      <c r="A23" s="3196" t="s">
        <v>2704</v>
      </c>
      <c r="B23" s="3196"/>
      <c r="C23" s="3196"/>
      <c r="D23" s="3196"/>
    </row>
    <row r="24" spans="1:4">
      <c r="A24" s="2894" t="s">
        <v>2700</v>
      </c>
      <c r="B24" s="2894" t="s">
        <v>2705</v>
      </c>
      <c r="C24" s="2894" t="s">
        <v>2702</v>
      </c>
      <c r="D24" s="2894" t="s">
        <v>2703</v>
      </c>
    </row>
    <row r="25" spans="1:4">
      <c r="A25" s="2897" t="s">
        <v>2706</v>
      </c>
      <c r="B25" s="2894" t="s">
        <v>951</v>
      </c>
      <c r="C25" s="2896"/>
      <c r="D25" s="1800" t="s">
        <v>2709</v>
      </c>
    </row>
    <row r="29" spans="1:4">
      <c r="D29" s="2895" t="s">
        <v>2040</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07" t="s">
        <v>53</v>
      </c>
      <c r="B15" s="3208" t="s">
        <v>845</v>
      </c>
      <c r="C15" s="3204"/>
    </row>
    <row r="16" spans="1:7" ht="14.25">
      <c r="A16" s="3207"/>
      <c r="B16" s="3205" t="s">
        <v>54</v>
      </c>
      <c r="C16" s="1171" t="s">
        <v>53</v>
      </c>
    </row>
    <row r="17" spans="1:3" ht="14.25">
      <c r="A17" s="3207"/>
      <c r="B17" s="3205"/>
      <c r="C17" s="1171" t="s">
        <v>55</v>
      </c>
    </row>
    <row r="18" spans="1:3" ht="14.25">
      <c r="A18" s="3207"/>
      <c r="B18" s="3205"/>
      <c r="C18" s="1171" t="s">
        <v>56</v>
      </c>
    </row>
    <row r="19" spans="1:3" ht="14.25">
      <c r="A19" s="3207"/>
      <c r="B19" s="3203" t="s">
        <v>57</v>
      </c>
      <c r="C19" s="3204"/>
    </row>
    <row r="20" spans="1:3" ht="14.25">
      <c r="A20" s="1172" t="s">
        <v>58</v>
      </c>
      <c r="B20" s="1173"/>
      <c r="C20" s="1174"/>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5" t="s">
        <v>836</v>
      </c>
    </row>
    <row r="25" spans="1:3" ht="14.25">
      <c r="A25" s="3206"/>
      <c r="B25" s="3210"/>
      <c r="C25" s="1175" t="s">
        <v>837</v>
      </c>
    </row>
    <row r="26" spans="1:3" ht="14.25">
      <c r="A26" s="3206"/>
      <c r="B26" s="3210"/>
      <c r="C26" s="1175" t="s">
        <v>838</v>
      </c>
    </row>
    <row r="27" spans="1:3" ht="14.25">
      <c r="A27" s="3206"/>
      <c r="B27" s="3210"/>
      <c r="C27" s="1175" t="s">
        <v>839</v>
      </c>
    </row>
    <row r="28" spans="1:3" ht="14.25">
      <c r="A28" s="3206"/>
      <c r="B28" s="3210"/>
      <c r="C28" s="1175" t="s">
        <v>840</v>
      </c>
    </row>
    <row r="29" spans="1:3" ht="14.25">
      <c r="A29" s="3206"/>
      <c r="B29" s="3210"/>
      <c r="C29" s="1175" t="s">
        <v>841</v>
      </c>
    </row>
    <row r="30" spans="1:3" ht="14.25">
      <c r="A30" s="3206"/>
      <c r="B30" s="3210"/>
      <c r="C30" s="1175" t="s">
        <v>842</v>
      </c>
    </row>
    <row r="31" spans="1:3" ht="14.25">
      <c r="A31" s="3206"/>
      <c r="B31" s="3210"/>
      <c r="C31" s="1175" t="s">
        <v>843</v>
      </c>
    </row>
    <row r="32" spans="1:3" ht="14.25">
      <c r="A32" s="3206"/>
      <c r="B32" s="3210"/>
      <c r="C32" s="1175" t="s">
        <v>1646</v>
      </c>
    </row>
    <row r="33" spans="1:3" ht="14.25">
      <c r="A33" s="3206"/>
      <c r="B33" s="3200" t="s">
        <v>1652</v>
      </c>
      <c r="C33" s="1175" t="s">
        <v>1647</v>
      </c>
    </row>
    <row r="34" spans="1:3" ht="14.25">
      <c r="A34" s="3206"/>
      <c r="B34" s="3201"/>
      <c r="C34" s="1180" t="s">
        <v>1648</v>
      </c>
    </row>
    <row r="35" spans="1:3" ht="14.25">
      <c r="A35" s="3206"/>
      <c r="B35" s="3201"/>
      <c r="C35" s="1181" t="s">
        <v>1649</v>
      </c>
    </row>
    <row r="36" spans="1:3" ht="14.25">
      <c r="A36" s="3206"/>
      <c r="B36" s="3201"/>
      <c r="C36" s="1181" t="s">
        <v>1650</v>
      </c>
    </row>
    <row r="37" spans="1:3" ht="14.25">
      <c r="A37" s="3206"/>
      <c r="B37" s="3202"/>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43080</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2">
        <v>43849</v>
      </c>
      <c r="D4" s="2343" t="s">
        <v>1914</v>
      </c>
      <c r="E4" s="2343">
        <f ca="1">IF(F4&lt;B2,"已过期",96010014)</f>
        <v>96010014</v>
      </c>
      <c r="F4" s="3033">
        <v>47118</v>
      </c>
    </row>
    <row r="5" spans="1:6" ht="20.25" customHeight="1">
      <c r="A5" s="2343" t="s">
        <v>1915</v>
      </c>
      <c r="B5" s="2343">
        <f ca="1">IF(C5&lt;B2,"已过期",1119970074)</f>
        <v>1119970074</v>
      </c>
      <c r="C5" s="3032">
        <v>43849</v>
      </c>
      <c r="D5" s="2343" t="s">
        <v>1915</v>
      </c>
      <c r="E5" s="2343">
        <f ca="1">IF(F5&lt;B2,"已过期",2002110027)</f>
        <v>2002110027</v>
      </c>
      <c r="F5" s="3033">
        <v>46752</v>
      </c>
    </row>
    <row r="6" spans="1:6" ht="20.25" customHeight="1">
      <c r="A6" s="2343" t="s">
        <v>1916</v>
      </c>
      <c r="B6" s="2343">
        <f ca="1">IF(C6&lt;B2,"已过期",1119970111)</f>
        <v>1119970111</v>
      </c>
      <c r="C6" s="3032">
        <v>43849</v>
      </c>
      <c r="D6" s="2343" t="s">
        <v>1916</v>
      </c>
      <c r="E6" s="2343">
        <f ca="1">IF(F6&lt;B2,"已过期",94010078)</f>
        <v>94010078</v>
      </c>
      <c r="F6" s="3033">
        <v>46387</v>
      </c>
    </row>
    <row r="7" spans="1:6" ht="20.25" customHeight="1">
      <c r="A7" s="2343" t="s">
        <v>1917</v>
      </c>
      <c r="B7" s="2343">
        <f ca="1">IF(C7&lt;B2,"已过期",1120050019)</f>
        <v>1120050019</v>
      </c>
      <c r="C7" s="3032">
        <v>43359</v>
      </c>
      <c r="D7" s="2343" t="s">
        <v>1917</v>
      </c>
      <c r="E7" s="2343">
        <f ca="1">IF(F7&lt;B2,"已过期",2002110030)</f>
        <v>2002110030</v>
      </c>
      <c r="F7" s="3033">
        <v>46387</v>
      </c>
    </row>
    <row r="8" spans="1:6" ht="20.25" customHeight="1">
      <c r="A8" s="2343" t="s">
        <v>1918</v>
      </c>
      <c r="B8" s="2343">
        <f ca="1">IF(C8&lt;B2,"已过期",1120000080)</f>
        <v>1120000080</v>
      </c>
      <c r="C8" s="3032">
        <v>43849</v>
      </c>
      <c r="D8" s="2343" t="s">
        <v>1918</v>
      </c>
      <c r="E8" s="2343">
        <f ca="1">IF(F8&lt;B2,"已过期",2000110082)</f>
        <v>2000110082</v>
      </c>
      <c r="F8" s="3033">
        <v>46387</v>
      </c>
    </row>
    <row r="9" spans="1:6" ht="20.25" customHeight="1">
      <c r="A9" s="2343" t="s">
        <v>1919</v>
      </c>
      <c r="B9" s="2343">
        <f ca="1">IF(C9&lt;B2,"已过期",1419970001)</f>
        <v>1419970001</v>
      </c>
      <c r="C9" s="3032">
        <v>43867</v>
      </c>
      <c r="D9" s="2343" t="s">
        <v>1919</v>
      </c>
      <c r="E9" s="2343">
        <f ca="1">IF(F9&lt;B2,"已过期",2002110125)</f>
        <v>2002110125</v>
      </c>
      <c r="F9" s="3033">
        <v>47118</v>
      </c>
    </row>
    <row r="10" spans="1:6" ht="20.25" customHeight="1">
      <c r="A10" s="2343" t="s">
        <v>1920</v>
      </c>
      <c r="B10" s="2343">
        <f ca="1">IF(C10&lt;B2,"已过期",1120060040)</f>
        <v>1120060040</v>
      </c>
      <c r="C10" s="3032">
        <v>43483</v>
      </c>
      <c r="D10" s="2343" t="s">
        <v>1920</v>
      </c>
      <c r="E10" s="2343">
        <f ca="1">IF(F10&lt;B2,"已过期",2004110096)</f>
        <v>2004110096</v>
      </c>
      <c r="F10" s="3033">
        <v>47118</v>
      </c>
    </row>
    <row r="11" spans="1:6" ht="20.25" customHeight="1">
      <c r="A11" s="2343" t="s">
        <v>1921</v>
      </c>
      <c r="B11" s="2343">
        <f ca="1">IF(C11&lt;B2,"已过期",1120100036)</f>
        <v>1120100036</v>
      </c>
      <c r="C11" s="3032">
        <v>43622</v>
      </c>
      <c r="D11" s="2343" t="s">
        <v>1921</v>
      </c>
      <c r="E11" s="2343">
        <f ca="1">IF(F11&lt;B2,"已过期",2010110070)</f>
        <v>2010110070</v>
      </c>
      <c r="F11" s="3033">
        <v>47907</v>
      </c>
    </row>
    <row r="12" spans="1:6" ht="20.25" customHeight="1">
      <c r="A12" s="2343"/>
      <c r="B12" s="2343"/>
      <c r="C12" s="3032"/>
      <c r="D12" s="2343"/>
      <c r="E12" s="2343"/>
      <c r="F12" s="2343"/>
    </row>
    <row r="13" spans="1:6" ht="20.25" customHeight="1">
      <c r="A13" s="2343" t="s">
        <v>1922</v>
      </c>
      <c r="B13" s="2343">
        <f ca="1">IF(C13&lt;B2,"已过期",1120070131)</f>
        <v>1120070131</v>
      </c>
      <c r="C13" s="3032">
        <v>43814</v>
      </c>
      <c r="D13" s="2343" t="s">
        <v>1922</v>
      </c>
      <c r="E13" s="2343">
        <v>2014110011</v>
      </c>
      <c r="F13" s="3033">
        <v>49302</v>
      </c>
    </row>
    <row r="14" spans="1:6" ht="20.25" customHeight="1">
      <c r="A14" s="2343" t="s">
        <v>1923</v>
      </c>
      <c r="B14" s="2343">
        <f ca="1">IF(C14&lt;B2,"已过期",1120130020)</f>
        <v>1120130020</v>
      </c>
      <c r="C14" s="3032">
        <v>43622</v>
      </c>
      <c r="D14" s="2343"/>
      <c r="E14" s="2343"/>
      <c r="F14" s="2343"/>
    </row>
    <row r="15" spans="1:6" ht="20.25" customHeight="1">
      <c r="A15" s="2343" t="s">
        <v>2577</v>
      </c>
      <c r="B15" s="2343">
        <v>1120070085</v>
      </c>
      <c r="C15" s="3032">
        <v>43814</v>
      </c>
      <c r="D15" s="2343" t="s">
        <v>2577</v>
      </c>
      <c r="E15" s="2343">
        <v>2004110128</v>
      </c>
      <c r="F15" s="3033">
        <v>47118</v>
      </c>
    </row>
    <row r="16" spans="1:6" ht="20.25" customHeight="1">
      <c r="A16" s="2343" t="s">
        <v>1924</v>
      </c>
      <c r="B16" s="2343">
        <f ca="1">IF(C16&lt;B2,"已过期",1120140022)</f>
        <v>1120140022</v>
      </c>
      <c r="C16" s="3032">
        <v>44029</v>
      </c>
      <c r="D16" s="2343" t="s">
        <v>1924</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1925</v>
      </c>
      <c r="E21" s="2343">
        <f ca="1">IF(F21&lt;B2,"已过期",2011110090)</f>
        <v>2011110090</v>
      </c>
      <c r="F21" s="3033">
        <v>48302</v>
      </c>
    </row>
    <row r="22" spans="1:7" ht="20.25" customHeight="1">
      <c r="A22" s="2343" t="s">
        <v>1926</v>
      </c>
      <c r="B22" s="2343">
        <f ca="1">IF(C22&lt;B2,"已过期",1120020033)</f>
        <v>1120020033</v>
      </c>
      <c r="C22" s="3032">
        <v>43304</v>
      </c>
      <c r="D22" s="2343" t="s">
        <v>1926</v>
      </c>
      <c r="E22" s="2343">
        <f ca="1">IF(F22&lt;B2,"已过期",2000110137)</f>
        <v>2000110137</v>
      </c>
      <c r="F22" s="3033">
        <v>46387</v>
      </c>
    </row>
    <row r="23" spans="1:7" ht="20.25" customHeight="1">
      <c r="A23" s="2343" t="s">
        <v>1927</v>
      </c>
      <c r="B23" s="2343">
        <f ca="1">IF(C23&lt;B2,"已过期",1120130048)</f>
        <v>1120130048</v>
      </c>
      <c r="C23" s="3032">
        <v>43686</v>
      </c>
      <c r="D23" s="2343"/>
      <c r="E23" s="2343"/>
      <c r="F23" s="2343"/>
    </row>
    <row r="24" spans="1:7" s="2347" customFormat="1" ht="20.25" customHeight="1">
      <c r="A24" s="2345" t="s">
        <v>2054</v>
      </c>
      <c r="B24" s="2345" t="s">
        <v>2054</v>
      </c>
      <c r="C24" s="3032"/>
      <c r="D24" s="3034" t="s">
        <v>2054</v>
      </c>
      <c r="E24" s="2345" t="s">
        <v>2054</v>
      </c>
      <c r="F24" s="2346"/>
    </row>
    <row r="25" spans="1:7" ht="20.25" customHeight="1">
      <c r="A25" s="3211" t="s">
        <v>1928</v>
      </c>
      <c r="B25" s="3211"/>
      <c r="C25" s="3211"/>
      <c r="D25" s="3211"/>
      <c r="E25" s="3211"/>
      <c r="F25" s="3211"/>
      <c r="G25" s="3211"/>
    </row>
    <row r="26" spans="1:7" ht="20.25" customHeight="1">
      <c r="A26" s="3212" t="s">
        <v>1929</v>
      </c>
      <c r="B26" s="3212"/>
      <c r="C26" s="3212"/>
      <c r="D26" s="3212" t="s">
        <v>1930</v>
      </c>
      <c r="E26" s="3212"/>
      <c r="F26" s="3212"/>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2" sqref="B3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2548</v>
      </c>
      <c r="R1" s="2606" t="s">
        <v>2542</v>
      </c>
      <c r="S1" s="6" t="s">
        <v>145</v>
      </c>
      <c r="T1" s="7" t="s">
        <v>146</v>
      </c>
      <c r="U1" s="6" t="s">
        <v>147</v>
      </c>
      <c r="V1" s="6" t="s">
        <v>148</v>
      </c>
      <c r="W1" s="1003"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5" t="s">
        <v>879</v>
      </c>
      <c r="Q2" s="9" t="s">
        <v>75</v>
      </c>
      <c r="R2" s="1005" t="s">
        <v>2543</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875</v>
      </c>
    </row>
    <row r="4" spans="1:23">
      <c r="A4" s="8" t="s">
        <v>87</v>
      </c>
      <c r="B4" s="8" t="s">
        <v>151</v>
      </c>
      <c r="C4" s="1550"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2545</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2547</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1148" t="s">
        <v>3072</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40" t="s">
        <v>2958</v>
      </c>
      <c r="C18" s="1553"/>
    </row>
    <row r="19" spans="1:3">
      <c r="A19" s="8" t="s">
        <v>119</v>
      </c>
      <c r="B19" s="3140" t="s">
        <v>2966</v>
      </c>
      <c r="C19" s="1553"/>
    </row>
    <row r="20" spans="1:3">
      <c r="A20" s="8" t="s">
        <v>120</v>
      </c>
      <c r="B20" s="8" t="s">
        <v>1641</v>
      </c>
      <c r="C20" s="1553"/>
    </row>
    <row r="21" spans="1:3">
      <c r="A21" s="8" t="s">
        <v>121</v>
      </c>
      <c r="B21" s="8" t="s">
        <v>1641</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13"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剩余土地使用年限为的出让国有建设用地使用权价格。</v>
      </c>
      <c r="D53" s="1767"/>
      <c r="E53" s="1767"/>
    </row>
    <row r="54" spans="1:5">
      <c r="A54" s="3213"/>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3"/>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3"/>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3"/>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'不动产比较法-住宅'!Print_Area</vt:lpstr>
      <vt:lpstr>不动产收益法!Print_Area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2017-10-23T02:12:01Z</cp:lastPrinted>
  <dcterms:created xsi:type="dcterms:W3CDTF">2015-07-13T07:17:23Z</dcterms:created>
  <dcterms:modified xsi:type="dcterms:W3CDTF">2017-12-11T05:49:28Z</dcterms:modified>
</cp:coreProperties>
</file>