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 sheetId="15" r:id="rId31"/>
    <sheet name="酒店收入计算" sheetId="57" state="hidden" r:id="rId32"/>
    <sheet name="成本逼近法" sheetId="1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7">'比较法-住宅、综合'!$A$1:$J$50</definedName>
    <definedName name="_xlnm.Print_Area" localSheetId="29">'不动产比较法-住宅'!$A$1:$J$49</definedName>
    <definedName name="_xlnm.Print_Area" localSheetId="30">不动产收益法!$A$1:$F$43</definedName>
    <definedName name="_xlnm.Print_Area" localSheetId="16">结果表!$A$1:$I$60</definedName>
    <definedName name="_xlnm.Print_Area" localSheetId="18">'剩余法-待开发'!$A$1:$K$36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13" i="68" l="1"/>
  <c r="D13" i="68"/>
  <c r="C13" i="68"/>
  <c r="F12" i="68"/>
  <c r="E12" i="68"/>
  <c r="D12" i="68"/>
  <c r="C12" i="68"/>
  <c r="F11" i="68"/>
  <c r="E11" i="68"/>
  <c r="D11" i="68"/>
  <c r="C11" i="68"/>
  <c r="D3" i="4"/>
  <c r="E47" i="21" l="1"/>
  <c r="G47" i="21"/>
  <c r="K23" i="21"/>
  <c r="G37" i="21" l="1"/>
  <c r="E37" i="21"/>
  <c r="H22" i="68" l="1"/>
  <c r="I48" i="39" l="1"/>
  <c r="G48" i="39"/>
  <c r="E48" i="39"/>
  <c r="F20" i="6" l="1"/>
  <c r="F19" i="6"/>
  <c r="I13" i="3"/>
  <c r="K14" i="3"/>
  <c r="I9" i="39" l="1"/>
  <c r="G9" i="39"/>
  <c r="E9" i="39"/>
  <c r="F21" i="6" l="1"/>
  <c r="G20" i="6"/>
  <c r="G27" i="21" l="1"/>
  <c r="K21" i="21" l="1"/>
  <c r="K19" i="21"/>
  <c r="K17" i="21"/>
  <c r="K15" i="21"/>
  <c r="C27" i="21"/>
  <c r="R47" i="21"/>
  <c r="G7" i="21"/>
  <c r="I7" i="21" s="1"/>
  <c r="I40" i="39" l="1"/>
  <c r="G40" i="39"/>
  <c r="E40" i="39"/>
  <c r="C40" i="39"/>
  <c r="I7" i="39"/>
  <c r="G7" i="39"/>
  <c r="E7" i="39"/>
  <c r="B35" i="1"/>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8" i="51"/>
  <c r="A27" i="51"/>
  <c r="D5" i="46" l="1"/>
  <c r="Q6" i="59" l="1"/>
  <c r="O6" i="59"/>
  <c r="N7" i="59"/>
  <c r="O7" i="59"/>
  <c r="P7" i="59"/>
  <c r="Q7" i="59"/>
  <c r="N6" i="59"/>
  <c r="P6" i="59"/>
  <c r="E12" i="67"/>
  <c r="E13" i="67"/>
  <c r="E8" i="67"/>
  <c r="E10" i="67"/>
  <c r="F14" i="67"/>
  <c r="E9" i="67"/>
  <c r="F9" i="67"/>
  <c r="B13" i="67"/>
  <c r="B14" i="67"/>
  <c r="F11" i="67"/>
  <c r="F10" i="67"/>
  <c r="F13" i="67"/>
  <c r="E14" i="67"/>
  <c r="B10" i="67"/>
  <c r="B9" i="67"/>
  <c r="F8" i="67"/>
  <c r="B11" i="67"/>
  <c r="B8" i="67"/>
  <c r="B12" i="67"/>
  <c r="F12" i="67"/>
  <c r="E11"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D18" i="59"/>
  <c r="AE18" i="59"/>
  <c r="AF18" i="59"/>
  <c r="AG18" i="59"/>
  <c r="AH18" i="59"/>
  <c r="AH19" i="59"/>
  <c r="AG19" i="59"/>
  <c r="AE19" i="59"/>
  <c r="AF19" i="59" s="1"/>
  <c r="AD19" i="59"/>
  <c r="AD20" i="59"/>
  <c r="AE20" i="59"/>
  <c r="AF20" i="59" s="1"/>
  <c r="AG20" i="59"/>
  <c r="AH20" i="59"/>
  <c r="S2" i="31" l="1"/>
  <c r="M2" i="31"/>
  <c r="N2" i="31"/>
  <c r="O2" i="31"/>
  <c r="P2" i="31"/>
  <c r="Q2" i="31"/>
  <c r="R2" i="31"/>
  <c r="C3" i="65" l="1"/>
  <c r="C1" i="65"/>
  <c r="N1" i="65" s="1"/>
  <c r="N7" i="65"/>
  <c r="H1" i="65" l="1"/>
  <c r="B76" i="63"/>
  <c r="N3" i="65"/>
  <c r="J6" i="65"/>
  <c r="J3" i="65"/>
  <c r="I7" i="65"/>
  <c r="N6" i="65"/>
  <c r="I4" i="65"/>
  <c r="N5" i="65"/>
  <c r="I3" i="65"/>
  <c r="N4" i="65"/>
  <c r="E20" i="46" l="1"/>
  <c r="J1" i="65"/>
  <c r="C4" i="65"/>
  <c r="B39" i="1" s="1"/>
  <c r="J5" i="65"/>
  <c r="I6" i="65"/>
  <c r="J7" i="65"/>
  <c r="I5" i="65"/>
  <c r="J4" i="65"/>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P16" i="59"/>
  <c r="AA16" i="59" s="1"/>
  <c r="O16" i="59"/>
  <c r="N16" i="59"/>
  <c r="X16" i="59" s="1"/>
  <c r="Q15" i="59"/>
  <c r="P15" i="59"/>
  <c r="AA15" i="59" s="1"/>
  <c r="O15" i="59"/>
  <c r="N15" i="59"/>
  <c r="X15" i="59" s="1"/>
  <c r="Q14" i="59"/>
  <c r="P14" i="59"/>
  <c r="AA14" i="59" s="1"/>
  <c r="O14" i="59"/>
  <c r="Y14" i="59" s="1"/>
  <c r="Z14" i="59" s="1"/>
  <c r="N14" i="59"/>
  <c r="X14" i="59" s="1"/>
  <c r="Q13" i="59"/>
  <c r="P13" i="59"/>
  <c r="O13" i="59"/>
  <c r="N13" i="59"/>
  <c r="D13" i="59"/>
  <c r="Q12" i="59"/>
  <c r="AB12" i="59" s="1"/>
  <c r="P12" i="59"/>
  <c r="O12" i="59"/>
  <c r="Y12" i="59" s="1"/>
  <c r="Z12" i="59" s="1"/>
  <c r="N12" i="59"/>
  <c r="Q11" i="59"/>
  <c r="AB11" i="59" s="1"/>
  <c r="P11" i="59"/>
  <c r="O11" i="59"/>
  <c r="Y11" i="59" s="1"/>
  <c r="Z11" i="59" s="1"/>
  <c r="N11" i="59"/>
  <c r="Q10" i="59"/>
  <c r="AB10" i="59" s="1"/>
  <c r="P10" i="59"/>
  <c r="O10" i="59"/>
  <c r="Y10" i="59" s="1"/>
  <c r="Z10" i="59" s="1"/>
  <c r="N10" i="59"/>
  <c r="X10" i="59" s="1"/>
  <c r="Q9" i="59"/>
  <c r="P9" i="59"/>
  <c r="AA9" i="59" s="1"/>
  <c r="O9" i="59"/>
  <c r="N9" i="59"/>
  <c r="D9" i="59"/>
  <c r="B10" i="59" l="1"/>
  <c r="X9" i="59"/>
  <c r="AA10" i="59"/>
  <c r="X11" i="59"/>
  <c r="AA11" i="59"/>
  <c r="X12" i="59"/>
  <c r="AA12" i="59"/>
  <c r="C14" i="59"/>
  <c r="Y13" i="59"/>
  <c r="Z13" i="59" s="1"/>
  <c r="F14" i="59"/>
  <c r="AB13" i="59"/>
  <c r="AB14" i="59"/>
  <c r="Y15" i="59"/>
  <c r="Z15" i="59" s="1"/>
  <c r="AB15" i="59"/>
  <c r="Y16" i="59"/>
  <c r="Z16" i="59" s="1"/>
  <c r="AB16" i="59"/>
  <c r="B18" i="59"/>
  <c r="B19" i="59" s="1"/>
  <c r="B20" i="59" s="1"/>
  <c r="S20" i="59" s="1"/>
  <c r="X17" i="59"/>
  <c r="E18" i="59"/>
  <c r="E19" i="59" s="1"/>
  <c r="E20" i="59" s="1"/>
  <c r="U20" i="59" s="1"/>
  <c r="AA17" i="59"/>
  <c r="S8" i="59"/>
  <c r="B7" i="59"/>
  <c r="B6" i="59" s="1"/>
  <c r="B5" i="59" s="1"/>
  <c r="B4" i="59" s="1"/>
  <c r="U8" i="59"/>
  <c r="E7" i="59"/>
  <c r="E6" i="59" s="1"/>
  <c r="E5" i="59" s="1"/>
  <c r="E4" i="59" s="1"/>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C5" i="59" l="1"/>
  <c r="D6"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L23" i="6"/>
  <c r="P22" i="6"/>
  <c r="P21" i="6"/>
  <c r="L21" i="6"/>
  <c r="P20" i="6"/>
  <c r="P19" i="6"/>
  <c r="P27" i="6" l="1"/>
  <c r="Q18" i="36"/>
  <c r="Z18" i="36" s="1"/>
  <c r="C18" i="36"/>
  <c r="D66" i="36"/>
  <c r="F18" i="36" s="1"/>
  <c r="AA18" i="36" s="1"/>
  <c r="Q18" i="35"/>
  <c r="Z18" i="35" s="1"/>
  <c r="F18" i="35"/>
  <c r="AA18" i="35" s="1"/>
  <c r="C18" i="35"/>
  <c r="D68" i="35"/>
  <c r="E68" i="35" s="1"/>
  <c r="F68" i="35" s="1"/>
  <c r="G68" i="35" s="1"/>
  <c r="Z21" i="37"/>
  <c r="Q21" i="37"/>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Z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Z210" i="3" s="1"/>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Z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c r="J17" i="40" s="1"/>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s="1"/>
  <c r="Q42" i="39"/>
  <c r="Z42" i="39" s="1"/>
  <c r="Q43" i="39"/>
  <c r="Z43" i="39" s="1"/>
  <c r="Q44" i="39"/>
  <c r="Z44" i="39" s="1"/>
  <c r="Q45" i="39"/>
  <c r="Z45" i="39" s="1"/>
  <c r="Q46" i="39"/>
  <c r="Z46" i="39" s="1"/>
  <c r="Q47" i="39"/>
  <c r="Z47" i="39" s="1"/>
  <c r="Q40" i="39"/>
  <c r="Z40" i="39"/>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F25" i="36" s="1"/>
  <c r="AA25" i="36" s="1"/>
  <c r="B73" i="36"/>
  <c r="J24" i="36"/>
  <c r="W24" i="36" s="1"/>
  <c r="B71" i="36"/>
  <c r="D70" i="36"/>
  <c r="H22" i="36"/>
  <c r="AB22" i="36" s="1"/>
  <c r="D68" i="36"/>
  <c r="E68" i="36" s="1"/>
  <c r="D64" i="36"/>
  <c r="E64" i="36" s="1"/>
  <c r="F64" i="36" s="1"/>
  <c r="G64" i="36" s="1"/>
  <c r="J16" i="36"/>
  <c r="D62" i="36"/>
  <c r="E62" i="36" s="1"/>
  <c r="B59" i="36"/>
  <c r="J13" i="36" s="1"/>
  <c r="W13" i="36" s="1"/>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B77" i="35"/>
  <c r="F25" i="35" s="1"/>
  <c r="AA25" i="35" s="1"/>
  <c r="B75" i="35"/>
  <c r="J24" i="35"/>
  <c r="B73" i="35"/>
  <c r="B57" i="35"/>
  <c r="F11" i="35" s="1"/>
  <c r="S11" i="35" s="1"/>
  <c r="B61" i="35"/>
  <c r="B59" i="35"/>
  <c r="F12" i="35" s="1"/>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AC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J42" i="21" s="1"/>
  <c r="AC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D77" i="21"/>
  <c r="E77" i="21" s="1"/>
  <c r="B130" i="21"/>
  <c r="B128" i="21"/>
  <c r="B126" i="21"/>
  <c r="H44" i="21" s="1"/>
  <c r="B98" i="21"/>
  <c r="B96" i="21"/>
  <c r="F30" i="21" s="1"/>
  <c r="S30" i="21" s="1"/>
  <c r="B94" i="21"/>
  <c r="B92" i="21"/>
  <c r="F28" i="21" s="1"/>
  <c r="AA28" i="21" s="1"/>
  <c r="B90" i="21"/>
  <c r="J27" i="21" s="1"/>
  <c r="W27" i="21" s="1"/>
  <c r="B74" i="21"/>
  <c r="B72" i="21"/>
  <c r="B70"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Q35" i="21"/>
  <c r="Z35" i="21"/>
  <c r="Q36" i="21"/>
  <c r="Z36" i="2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T47" i="21"/>
  <c r="V47" i="21"/>
  <c r="P48" i="21"/>
  <c r="P49" i="21"/>
  <c r="F8" i="21"/>
  <c r="AA8" i="21" s="1"/>
  <c r="E13" i="11"/>
  <c r="E12" i="11"/>
  <c r="C9" i="12"/>
  <c r="BB12" i="3"/>
  <c r="F9" i="12"/>
  <c r="D9" i="12"/>
  <c r="E9" i="12"/>
  <c r="G9" i="12"/>
  <c r="K5" i="3"/>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U26" i="36"/>
  <c r="J33" i="36"/>
  <c r="W33" i="36" s="1"/>
  <c r="U31" i="35"/>
  <c r="S31" i="35"/>
  <c r="W31" i="35"/>
  <c r="U34" i="35"/>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AC40" i="21"/>
  <c r="U36" i="39"/>
  <c r="S42" i="39"/>
  <c r="H32" i="33"/>
  <c r="AB32" i="33" s="1"/>
  <c r="F86" i="40"/>
  <c r="AA12" i="33"/>
  <c r="J27" i="36"/>
  <c r="W27" i="36" s="1"/>
  <c r="J34" i="36"/>
  <c r="J30" i="35"/>
  <c r="W30" i="35" s="1"/>
  <c r="F22" i="35"/>
  <c r="AA22" i="35" s="1"/>
  <c r="H10" i="35"/>
  <c r="U10" i="35" s="1"/>
  <c r="AC24" i="36"/>
  <c r="U29" i="36"/>
  <c r="U24" i="36"/>
  <c r="J29" i="36"/>
  <c r="AC29" i="36" s="1"/>
  <c r="F12" i="36"/>
  <c r="S12" i="36" s="1"/>
  <c r="F24" i="36"/>
  <c r="AA24" i="36" s="1"/>
  <c r="F34" i="36"/>
  <c r="S34" i="36" s="1"/>
  <c r="S10" i="36"/>
  <c r="H16" i="35"/>
  <c r="U16" i="35" s="1"/>
  <c r="H33" i="35"/>
  <c r="AB33" i="35" s="1"/>
  <c r="W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S38" i="33"/>
  <c r="E113" i="33"/>
  <c r="F36" i="33"/>
  <c r="S36" i="33" s="1"/>
  <c r="F19" i="33"/>
  <c r="S19" i="33" s="1"/>
  <c r="J19" i="33"/>
  <c r="W40" i="33"/>
  <c r="G86" i="40"/>
  <c r="AB30" i="36"/>
  <c r="S22" i="35"/>
  <c r="H29" i="35"/>
  <c r="U34" i="37"/>
  <c r="S34" i="37"/>
  <c r="AA34" i="37"/>
  <c r="AB42" i="34"/>
  <c r="W36" i="34"/>
  <c r="J19" i="34"/>
  <c r="AC19" i="34" s="1"/>
  <c r="F113" i="33"/>
  <c r="G113" i="33" s="1"/>
  <c r="H113" i="33" s="1"/>
  <c r="I113" i="33" s="1"/>
  <c r="J113" i="33" s="1"/>
  <c r="K113" i="33" s="1"/>
  <c r="L113" i="33" s="1"/>
  <c r="M113" i="33" s="1"/>
  <c r="H37" i="33"/>
  <c r="AB37" i="33" s="1"/>
  <c r="S37" i="33"/>
  <c r="AC42" i="34"/>
  <c r="W42" i="34"/>
  <c r="AA42" i="34"/>
  <c r="S42" i="34"/>
  <c r="AC38" i="34"/>
  <c r="W38" i="34"/>
  <c r="AA38" i="34"/>
  <c r="S38" i="34"/>
  <c r="J37" i="33"/>
  <c r="W37" i="33" s="1"/>
  <c r="J44" i="34"/>
  <c r="AC44" i="34" s="1"/>
  <c r="F44" i="34"/>
  <c r="S44" i="34" s="1"/>
  <c r="J10" i="35"/>
  <c r="W10" i="35" s="1"/>
  <c r="AL5" i="3"/>
  <c r="BQ13" i="3"/>
  <c r="BL13" i="3" s="1"/>
  <c r="F14" i="21"/>
  <c r="AA14" i="21" s="1"/>
  <c r="J28" i="21"/>
  <c r="AC28" i="21" s="1"/>
  <c r="J44" i="21"/>
  <c r="AC44" i="21" s="1"/>
  <c r="J46" i="21"/>
  <c r="W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31" i="33"/>
  <c r="AC31" i="33" s="1"/>
  <c r="H31" i="33"/>
  <c r="U31" i="33" s="1"/>
  <c r="S31" i="33"/>
  <c r="F45" i="33"/>
  <c r="S45" i="33" s="1"/>
  <c r="H28" i="36"/>
  <c r="U28" i="36" s="1"/>
  <c r="H32" i="36"/>
  <c r="AB32" i="36" s="1"/>
  <c r="J32" i="36"/>
  <c r="J11" i="36"/>
  <c r="W11" i="36" s="1"/>
  <c r="H13" i="36"/>
  <c r="AB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F44" i="33"/>
  <c r="S44" i="33" s="1"/>
  <c r="J46" i="33"/>
  <c r="AC46" i="33" s="1"/>
  <c r="F46" i="33"/>
  <c r="AA46" i="33" s="1"/>
  <c r="H46" i="33"/>
  <c r="AB46" i="33" s="1"/>
  <c r="H13" i="34"/>
  <c r="U13" i="34" s="1"/>
  <c r="J13" i="34"/>
  <c r="W13" i="34" s="1"/>
  <c r="F13" i="34"/>
  <c r="AA13" i="34" s="1"/>
  <c r="J29" i="34"/>
  <c r="AC29" i="34" s="1"/>
  <c r="F29" i="34"/>
  <c r="S29" i="34" s="1"/>
  <c r="H29" i="34"/>
  <c r="U29" i="34" s="1"/>
  <c r="J31" i="34"/>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AB13" i="35"/>
  <c r="W46" i="33"/>
  <c r="U30" i="33"/>
  <c r="AB40" i="37"/>
  <c r="J36" i="37"/>
  <c r="AC36" i="37" s="1"/>
  <c r="AB28" i="36"/>
  <c r="AB31" i="21"/>
  <c r="AB13" i="21"/>
  <c r="S46" i="33"/>
  <c r="U36" i="37"/>
  <c r="AC13" i="36"/>
  <c r="AB31"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U43" i="33" s="1"/>
  <c r="H17" i="37"/>
  <c r="U17" i="37" s="1"/>
  <c r="F23" i="37"/>
  <c r="S23" i="37" s="1"/>
  <c r="F79"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S39" i="33"/>
  <c r="F43" i="33"/>
  <c r="AA43" i="33" s="1"/>
  <c r="AA23" i="37"/>
  <c r="AB44" i="33"/>
  <c r="G107" i="37"/>
  <c r="H107" i="37" s="1"/>
  <c r="I107" i="37" s="1"/>
  <c r="J107" i="37" s="1"/>
  <c r="K107" i="37" s="1"/>
  <c r="L107" i="37" s="1"/>
  <c r="M107" i="37" s="1"/>
  <c r="AA9" i="2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54" i="3"/>
  <c r="AA36" i="35"/>
  <c r="H11" i="37"/>
  <c r="AB11" i="37" s="1"/>
  <c r="W37" i="37"/>
  <c r="AA30" i="33"/>
  <c r="AA36" i="37"/>
  <c r="S42" i="33"/>
  <c r="U32" i="33"/>
  <c r="AB17" i="37"/>
  <c r="AZ488" i="3"/>
  <c r="AZ508" i="3"/>
  <c r="AC29" i="33"/>
  <c r="AA45" i="33"/>
  <c r="AC11" i="36"/>
  <c r="AC10" i="36"/>
  <c r="AB45" i="34"/>
  <c r="AC14" i="37"/>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H32" i="21"/>
  <c r="U32" i="21" s="1"/>
  <c r="AB26" i="21"/>
  <c r="U26" i="21"/>
  <c r="J32" i="21"/>
  <c r="AC32" i="21" s="1"/>
  <c r="G13" i="3"/>
  <c r="AC5" i="3"/>
  <c r="H17" i="21"/>
  <c r="AB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19" i="39"/>
  <c r="U19" i="39" s="1"/>
  <c r="F43" i="39"/>
  <c r="S43" i="39" s="1"/>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AA32" i="21"/>
  <c r="AB34" i="21"/>
  <c r="BL571" i="3"/>
  <c r="BA571" i="3"/>
  <c r="AZ571" i="3"/>
  <c r="BL570" i="3"/>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L19" i="3"/>
  <c r="AZ19" i="3" s="1"/>
  <c r="BA18" i="3"/>
  <c r="F36" i="44"/>
  <c r="F114" i="34"/>
  <c r="G114" i="34" s="1"/>
  <c r="H114" i="34" s="1"/>
  <c r="I114" i="34" s="1"/>
  <c r="J114" i="34" s="1"/>
  <c r="K114" i="34" s="1"/>
  <c r="L114" i="34" s="1"/>
  <c r="M114" i="34" s="1"/>
  <c r="H38" i="34"/>
  <c r="U38" i="34" s="1"/>
  <c r="H30" i="40"/>
  <c r="AB30" i="40" s="1"/>
  <c r="F38" i="40"/>
  <c r="AA38" i="40" s="1"/>
  <c r="AA36" i="34"/>
  <c r="S35" i="21"/>
  <c r="AB10" i="21"/>
  <c r="U8" i="21"/>
  <c r="AB8" i="21"/>
  <c r="S34" i="21"/>
  <c r="AC36" i="21"/>
  <c r="AB8" i="33"/>
  <c r="U8" i="33"/>
  <c r="E106" i="33"/>
  <c r="H34" i="33"/>
  <c r="U34" i="33" s="1"/>
  <c r="F34" i="33"/>
  <c r="S34" i="33" s="1"/>
  <c r="E121" i="33"/>
  <c r="F121" i="33" s="1"/>
  <c r="G121" i="33" s="1"/>
  <c r="H121" i="33" s="1"/>
  <c r="I121" i="33" s="1"/>
  <c r="J121" i="33" s="1"/>
  <c r="K121" i="33" s="1"/>
  <c r="L121" i="33" s="1"/>
  <c r="M121" i="33" s="1"/>
  <c r="F41" i="33"/>
  <c r="S41" i="33" s="1"/>
  <c r="AC34" i="34"/>
  <c r="W34" i="34"/>
  <c r="AA39" i="34"/>
  <c r="S39" i="34"/>
  <c r="S43" i="34"/>
  <c r="E78" i="34"/>
  <c r="F15" i="34"/>
  <c r="AC28" i="35"/>
  <c r="W28" i="35"/>
  <c r="J20" i="35"/>
  <c r="AC20" i="35" s="1"/>
  <c r="E72" i="35"/>
  <c r="F72" i="35" s="1"/>
  <c r="G72" i="35" s="1"/>
  <c r="H22" i="35"/>
  <c r="AB22" i="35" s="1"/>
  <c r="H23" i="35"/>
  <c r="AB23" i="35" s="1"/>
  <c r="F23" i="35"/>
  <c r="AA23" i="35" s="1"/>
  <c r="W12" i="36"/>
  <c r="AC12" i="36"/>
  <c r="U31" i="36"/>
  <c r="S8" i="37"/>
  <c r="AA8" i="37"/>
  <c r="F14" i="39"/>
  <c r="AA14" i="39" s="1"/>
  <c r="H14" i="39"/>
  <c r="AB14" i="39" s="1"/>
  <c r="J14" i="39"/>
  <c r="AC14" i="39" s="1"/>
  <c r="F16" i="39"/>
  <c r="AA16" i="39" s="1"/>
  <c r="H16" i="39"/>
  <c r="U16" i="39" s="1"/>
  <c r="J16" i="39"/>
  <c r="AC16" i="39" s="1"/>
  <c r="E97" i="39"/>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F34" i="44"/>
  <c r="F66" i="9"/>
  <c r="P72" i="9" s="1"/>
  <c r="F72" i="9"/>
  <c r="AC14" i="40"/>
  <c r="W35" i="40"/>
  <c r="S33" i="40"/>
  <c r="AB32" i="40"/>
  <c r="S47" i="39"/>
  <c r="AB37" i="34"/>
  <c r="W41" i="40"/>
  <c r="J23" i="40"/>
  <c r="AC23" i="40" s="1"/>
  <c r="F23" i="40"/>
  <c r="S23" i="40" s="1"/>
  <c r="AC15" i="40"/>
  <c r="W15" i="40"/>
  <c r="AB16" i="39"/>
  <c r="U23" i="35"/>
  <c r="H20" i="35"/>
  <c r="AB20" i="35" s="1"/>
  <c r="F20" i="35"/>
  <c r="S20" i="35" s="1"/>
  <c r="H15" i="34"/>
  <c r="AB15" i="34" s="1"/>
  <c r="F78" i="34"/>
  <c r="G78" i="34"/>
  <c r="J15" i="34"/>
  <c r="H41" i="33"/>
  <c r="U41" i="33" s="1"/>
  <c r="F30" i="40"/>
  <c r="AA30" i="40" s="1"/>
  <c r="AB38" i="34"/>
  <c r="AZ486" i="3"/>
  <c r="AZ497" i="3"/>
  <c r="AZ504" i="3"/>
  <c r="AZ515" i="3"/>
  <c r="AZ529" i="3"/>
  <c r="AZ530" i="3"/>
  <c r="AZ537" i="3"/>
  <c r="AZ547" i="3"/>
  <c r="AZ548" i="3"/>
  <c r="AZ549" i="3"/>
  <c r="AB37" i="39"/>
  <c r="AA29" i="35"/>
  <c r="U39" i="39"/>
  <c r="AB21" i="39"/>
  <c r="U21" i="39"/>
  <c r="AB33" i="36"/>
  <c r="AA11" i="36"/>
  <c r="AA14" i="35"/>
  <c r="S14" i="35"/>
  <c r="G99" i="37"/>
  <c r="F33" i="37" s="1"/>
  <c r="U46" i="34"/>
  <c r="AC30" i="34"/>
  <c r="AA14" i="34"/>
  <c r="W12" i="34"/>
  <c r="U29" i="33"/>
  <c r="AC13" i="33"/>
  <c r="U17" i="34"/>
  <c r="AA11" i="34"/>
  <c r="W32" i="33"/>
  <c r="H15" i="33"/>
  <c r="U15" i="33" s="1"/>
  <c r="AA11" i="33"/>
  <c r="AA40" i="21"/>
  <c r="W34" i="40"/>
  <c r="AB42" i="40"/>
  <c r="AC16" i="40"/>
  <c r="H25" i="40"/>
  <c r="AB25" i="40" s="1"/>
  <c r="U47" i="39"/>
  <c r="W15" i="39"/>
  <c r="J37" i="34"/>
  <c r="AC37" i="34" s="1"/>
  <c r="J36" i="33"/>
  <c r="W36" i="33" s="1"/>
  <c r="S41" i="40"/>
  <c r="AB23" i="40"/>
  <c r="H23" i="39"/>
  <c r="AB23" i="39" s="1"/>
  <c r="F97" i="39"/>
  <c r="G97" i="39" s="1"/>
  <c r="S15" i="34"/>
  <c r="AA15" i="34"/>
  <c r="AA41" i="33"/>
  <c r="AA34" i="33"/>
  <c r="F106" i="33"/>
  <c r="G106" i="33" s="1"/>
  <c r="H106" i="33" s="1"/>
  <c r="I106" i="33" s="1"/>
  <c r="J106" i="33" s="1"/>
  <c r="K106" i="33" s="1"/>
  <c r="L106" i="33" s="1"/>
  <c r="M106" i="33" s="1"/>
  <c r="J34" i="33"/>
  <c r="AC34" i="33" s="1"/>
  <c r="U30" i="40"/>
  <c r="AA37" i="39"/>
  <c r="W29" i="35"/>
  <c r="AC39" i="39"/>
  <c r="W39" i="39"/>
  <c r="AA39" i="39"/>
  <c r="S39" i="39"/>
  <c r="AB46"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AC15" i="34"/>
  <c r="U20" i="35"/>
  <c r="W23" i="40"/>
  <c r="D73" i="9"/>
  <c r="N73" i="9" s="1"/>
  <c r="AP11" i="1"/>
  <c r="J51" i="15"/>
  <c r="B11" i="1"/>
  <c r="E11" i="1" s="1"/>
  <c r="K11" i="1"/>
  <c r="M11" i="1" s="1"/>
  <c r="B9" i="1"/>
  <c r="E9" i="1" s="1"/>
  <c r="K9" i="1"/>
  <c r="M9" i="1" s="1"/>
  <c r="B7" i="1"/>
  <c r="E7" i="1" s="1"/>
  <c r="K7" i="1"/>
  <c r="AH7" i="1" s="1"/>
  <c r="C20" i="43"/>
  <c r="E2" i="65"/>
  <c r="F103" i="39" l="1"/>
  <c r="G103" i="39" s="1"/>
  <c r="H29" i="39"/>
  <c r="U29" i="39" s="1"/>
  <c r="J29" i="39"/>
  <c r="AC29" i="39" s="1"/>
  <c r="F29" i="39"/>
  <c r="AA29" i="39" s="1"/>
  <c r="F23" i="39"/>
  <c r="AA23" i="39" s="1"/>
  <c r="S28" i="21"/>
  <c r="U17" i="21"/>
  <c r="M8" i="1"/>
  <c r="O8" i="1" s="1"/>
  <c r="P8" i="1" s="1"/>
  <c r="S40" i="39"/>
  <c r="J19" i="39"/>
  <c r="W19" i="39" s="1"/>
  <c r="F19" i="39"/>
  <c r="S19" i="39" s="1"/>
  <c r="J17" i="21"/>
  <c r="AC17" i="21" s="1"/>
  <c r="F17" i="21"/>
  <c r="S17" i="21" s="1"/>
  <c r="AB9" i="33"/>
  <c r="U9" i="33"/>
  <c r="AZ484" i="3"/>
  <c r="AA12" i="35"/>
  <c r="S12" i="35"/>
  <c r="J30" i="40"/>
  <c r="AC30" i="40" s="1"/>
  <c r="H100" i="40"/>
  <c r="I100" i="40" s="1"/>
  <c r="J100" i="40" s="1"/>
  <c r="K100" i="40" s="1"/>
  <c r="L100" i="40" s="1"/>
  <c r="M100" i="40" s="1"/>
  <c r="S17" i="34"/>
  <c r="S16" i="39"/>
  <c r="J23" i="39"/>
  <c r="AC23" i="39" s="1"/>
  <c r="W32" i="40"/>
  <c r="AB34" i="40"/>
  <c r="U16" i="40"/>
  <c r="U41" i="40"/>
  <c r="AC47" i="39"/>
  <c r="F71" i="9"/>
  <c r="W40" i="40"/>
  <c r="AB15" i="37"/>
  <c r="U12" i="37"/>
  <c r="S10" i="35"/>
  <c r="AB43" i="33"/>
  <c r="AZ559" i="3"/>
  <c r="AC31" i="34"/>
  <c r="W31" i="34"/>
  <c r="F44" i="21"/>
  <c r="AA44" i="21" s="1"/>
  <c r="H28" i="21"/>
  <c r="J28" i="34"/>
  <c r="W34" i="36"/>
  <c r="AC34" i="36"/>
  <c r="C23" i="39"/>
  <c r="J19" i="21"/>
  <c r="W19" i="21" s="1"/>
  <c r="G572" i="3"/>
  <c r="H5" i="3"/>
  <c r="BL572" i="3"/>
  <c r="AZ572" i="3" s="1"/>
  <c r="AA33" i="33"/>
  <c r="S33" i="33"/>
  <c r="AB38" i="33"/>
  <c r="U38" i="33"/>
  <c r="H27" i="33"/>
  <c r="F27" i="33"/>
  <c r="AA34" i="35"/>
  <c r="S34" i="35"/>
  <c r="H36" i="35"/>
  <c r="J36" i="35"/>
  <c r="W27" i="35"/>
  <c r="AC27" i="35"/>
  <c r="U8" i="36"/>
  <c r="AB8" i="36"/>
  <c r="W35" i="21"/>
  <c r="AC35" i="21"/>
  <c r="F12" i="21"/>
  <c r="J12" i="21"/>
  <c r="J14" i="21"/>
  <c r="H14" i="21"/>
  <c r="H30" i="21"/>
  <c r="U30" i="21" s="1"/>
  <c r="J30" i="21"/>
  <c r="U44" i="21"/>
  <c r="AB44" i="21"/>
  <c r="H46" i="21"/>
  <c r="F46" i="21"/>
  <c r="F81" i="21"/>
  <c r="G81" i="21" s="1"/>
  <c r="H19" i="21"/>
  <c r="AB19" i="21" s="1"/>
  <c r="H113" i="21"/>
  <c r="F37" i="21"/>
  <c r="S37" i="21" s="1"/>
  <c r="J9" i="33"/>
  <c r="F9" i="33"/>
  <c r="AA9" i="33" s="1"/>
  <c r="S28" i="34"/>
  <c r="AA28" i="34"/>
  <c r="U40" i="34"/>
  <c r="AB40" i="34"/>
  <c r="AC43" i="34"/>
  <c r="W43" i="34"/>
  <c r="H45" i="33"/>
  <c r="J45" i="33"/>
  <c r="H12" i="35"/>
  <c r="J12" i="35"/>
  <c r="AC24" i="35"/>
  <c r="W24" i="35"/>
  <c r="J35" i="35"/>
  <c r="H35" i="35"/>
  <c r="AC22" i="36"/>
  <c r="W22" i="36"/>
  <c r="W31" i="36"/>
  <c r="AC31" i="36"/>
  <c r="A14" i="55"/>
  <c r="B65" i="63" s="1"/>
  <c r="F9" i="1"/>
  <c r="AP9" i="1" s="1"/>
  <c r="BI5" i="3"/>
  <c r="BE5" i="3"/>
  <c r="F26" i="37"/>
  <c r="AA26" i="37" s="1"/>
  <c r="C92" i="9"/>
  <c r="C18" i="9"/>
  <c r="D18" i="9" s="1"/>
  <c r="M44" i="9" s="1"/>
  <c r="AZ400" i="3"/>
  <c r="AZ404" i="3"/>
  <c r="AZ416" i="3"/>
  <c r="AZ421" i="3"/>
  <c r="AZ435" i="3"/>
  <c r="AZ440" i="3"/>
  <c r="AZ453" i="3"/>
  <c r="AZ460" i="3"/>
  <c r="AZ464" i="3"/>
  <c r="AZ476" i="3"/>
  <c r="AZ480" i="3"/>
  <c r="AZ368" i="3"/>
  <c r="AZ384" i="3"/>
  <c r="AZ386" i="3"/>
  <c r="AZ214" i="3"/>
  <c r="AZ218" i="3"/>
  <c r="AZ230" i="3"/>
  <c r="AZ234" i="3"/>
  <c r="AZ246" i="3"/>
  <c r="AZ250" i="3"/>
  <c r="AZ262" i="3"/>
  <c r="AZ266" i="3"/>
  <c r="AZ277" i="3"/>
  <c r="AZ280" i="3"/>
  <c r="AZ293" i="3"/>
  <c r="AZ117" i="3"/>
  <c r="AZ120" i="3"/>
  <c r="AZ133" i="3"/>
  <c r="AZ136" i="3"/>
  <c r="AZ156" i="3"/>
  <c r="AZ159" i="3"/>
  <c r="AZ172" i="3"/>
  <c r="AZ175" i="3"/>
  <c r="AZ202" i="3"/>
  <c r="AZ28" i="3"/>
  <c r="AZ34" i="3"/>
  <c r="AZ37" i="3"/>
  <c r="AZ44" i="3"/>
  <c r="AZ50" i="3"/>
  <c r="AZ53" i="3"/>
  <c r="AZ60" i="3"/>
  <c r="BA21" i="3"/>
  <c r="AZ21" i="3" s="1"/>
  <c r="AZ68" i="3"/>
  <c r="AZ72" i="3"/>
  <c r="AZ75" i="3"/>
  <c r="AZ81" i="3"/>
  <c r="AZ85" i="3"/>
  <c r="AZ88" i="3"/>
  <c r="AZ95" i="3"/>
  <c r="AZ101" i="3"/>
  <c r="AZ104" i="3"/>
  <c r="AZ111" i="3"/>
  <c r="I21" i="57"/>
  <c r="D1" i="57"/>
  <c r="E10" i="57" s="1"/>
  <c r="M7" i="1"/>
  <c r="O7" i="1" s="1"/>
  <c r="P7" i="1" s="1"/>
  <c r="F8" i="1"/>
  <c r="AP8" i="1" s="1"/>
  <c r="S45" i="21"/>
  <c r="AB12" i="21"/>
  <c r="S10" i="21"/>
  <c r="G123" i="21"/>
  <c r="H123" i="21" s="1"/>
  <c r="I123" i="21" s="1"/>
  <c r="J123" i="21" s="1"/>
  <c r="K123" i="21" s="1"/>
  <c r="L123" i="21" s="1"/>
  <c r="M123" i="21" s="1"/>
  <c r="H42" i="21"/>
  <c r="F42" i="21"/>
  <c r="AA42" i="21" s="1"/>
  <c r="W42" i="21"/>
  <c r="AA38" i="21"/>
  <c r="U38" i="21"/>
  <c r="U39" i="21"/>
  <c r="AA36" i="21"/>
  <c r="AB30" i="21"/>
  <c r="S19" i="21"/>
  <c r="W9" i="21"/>
  <c r="U9" i="21"/>
  <c r="W14" i="39"/>
  <c r="AB36" i="21"/>
  <c r="A30" i="51"/>
  <c r="A30" i="64"/>
  <c r="F91" i="39"/>
  <c r="G91" i="39" s="1"/>
  <c r="H17" i="39"/>
  <c r="U17" i="39" s="1"/>
  <c r="F17" i="39"/>
  <c r="AA17" i="39" s="1"/>
  <c r="J17" i="39"/>
  <c r="W17" i="39" s="1"/>
  <c r="U34" i="39"/>
  <c r="U27" i="39"/>
  <c r="AB25" i="39"/>
  <c r="AB19" i="39"/>
  <c r="U40" i="39"/>
  <c r="S23" i="39"/>
  <c r="AA19" i="39"/>
  <c r="AB44" i="39"/>
  <c r="AA43" i="39"/>
  <c r="AC33" i="39"/>
  <c r="W27" i="39"/>
  <c r="C29" i="39"/>
  <c r="W43" i="39"/>
  <c r="G1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AB37" i="21"/>
  <c r="AB32" i="21"/>
  <c r="W28" i="21"/>
  <c r="AC46" i="21"/>
  <c r="AC26" i="21"/>
  <c r="F85" i="21"/>
  <c r="G85" i="21" s="1"/>
  <c r="J23" i="21"/>
  <c r="W23" i="21" s="1"/>
  <c r="F23" i="21"/>
  <c r="H23" i="21"/>
  <c r="F77" i="21"/>
  <c r="G77" i="21" s="1"/>
  <c r="J15" i="21"/>
  <c r="H15"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AC21"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C16" i="46" s="1"/>
  <c r="C5" i="46" s="1"/>
  <c r="E17" i="46"/>
  <c r="D71" i="46"/>
  <c r="D84" i="46"/>
  <c r="E80" i="46" s="1"/>
  <c r="B78" i="46" s="1"/>
  <c r="D69" i="46"/>
  <c r="E69" i="46" s="1"/>
  <c r="B67" i="46" s="1"/>
  <c r="E47" i="46"/>
  <c r="E58" i="46"/>
  <c r="C52" i="15"/>
  <c r="A4" i="64"/>
  <c r="A4" i="51"/>
  <c r="B6" i="63" s="1"/>
  <c r="C51" i="10"/>
  <c r="H58" i="46"/>
  <c r="H61" i="46"/>
  <c r="H62" i="46"/>
  <c r="H71"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3" i="15"/>
  <c r="F11" i="44"/>
  <c r="J15" i="15"/>
  <c r="F18" i="44"/>
  <c r="M30" i="44"/>
  <c r="F8" i="44"/>
  <c r="F39" i="44"/>
  <c r="L48" i="15"/>
  <c r="F40" i="44"/>
  <c r="F43" i="44"/>
  <c r="F37" i="15"/>
  <c r="L48" i="44"/>
  <c r="M26" i="44"/>
  <c r="M24" i="15"/>
  <c r="F15" i="44"/>
  <c r="M31" i="44"/>
  <c r="M28" i="44"/>
  <c r="F9" i="15"/>
  <c r="M26" i="15"/>
  <c r="F38" i="44"/>
  <c r="M11" i="44"/>
  <c r="F16" i="15"/>
  <c r="J17" i="44"/>
  <c r="F10" i="44"/>
  <c r="F45" i="44"/>
  <c r="L49" i="44"/>
  <c r="F26" i="15"/>
  <c r="F8" i="15"/>
  <c r="M10" i="44"/>
  <c r="F6" i="15"/>
  <c r="F43" i="15"/>
  <c r="F28" i="44"/>
  <c r="M25" i="44"/>
  <c r="J36" i="15"/>
  <c r="M24" i="44"/>
  <c r="F40" i="15"/>
  <c r="M29" i="44"/>
  <c r="M8" i="44"/>
  <c r="F9" i="44"/>
  <c r="AB29" i="39" l="1"/>
  <c r="U19" i="21"/>
  <c r="S29" i="39"/>
  <c r="F15" i="21"/>
  <c r="S15" i="21" s="1"/>
  <c r="S42" i="21"/>
  <c r="AA17" i="21"/>
  <c r="AB17" i="39"/>
  <c r="G9" i="1"/>
  <c r="AB11" i="46"/>
  <c r="AB13" i="46" s="1"/>
  <c r="AC19" i="21"/>
  <c r="W17" i="21"/>
  <c r="G8" i="1"/>
  <c r="C7" i="46"/>
  <c r="AC35" i="35"/>
  <c r="W35" i="35"/>
  <c r="U45" i="33"/>
  <c r="AB45" i="33"/>
  <c r="AC9" i="33"/>
  <c r="W9" i="33"/>
  <c r="AB46" i="21"/>
  <c r="U46" i="21"/>
  <c r="W14" i="21"/>
  <c r="AC14" i="21"/>
  <c r="S12" i="21"/>
  <c r="AA12" i="21"/>
  <c r="AB36" i="35"/>
  <c r="U36" i="35"/>
  <c r="U27" i="33"/>
  <c r="AB27" i="33"/>
  <c r="W28" i="34"/>
  <c r="AC28" i="34"/>
  <c r="E413" i="3"/>
  <c r="U35" i="35"/>
  <c r="AB35" i="35"/>
  <c r="W12" i="35"/>
  <c r="AC12" i="35"/>
  <c r="W45" i="33"/>
  <c r="AC45" i="33"/>
  <c r="AA46" i="21"/>
  <c r="S46" i="21"/>
  <c r="AC30" i="21"/>
  <c r="W30" i="21"/>
  <c r="U14" i="21"/>
  <c r="AB14" i="21"/>
  <c r="W12" i="21"/>
  <c r="AC12" i="21"/>
  <c r="AC36" i="35"/>
  <c r="W36" i="35"/>
  <c r="S27" i="33"/>
  <c r="AA27" i="33"/>
  <c r="AB28" i="21"/>
  <c r="U28" i="21"/>
  <c r="S17" i="39"/>
  <c r="AC23" i="21"/>
  <c r="AB42" i="21"/>
  <c r="U42" i="21"/>
  <c r="AC17" i="39"/>
  <c r="G6" i="1"/>
  <c r="J53" i="15"/>
  <c r="F1" i="15" s="1"/>
  <c r="I54" i="15"/>
  <c r="I55" i="44"/>
  <c r="J54" i="44"/>
  <c r="L60" i="44"/>
  <c r="Q63" i="44" s="1"/>
  <c r="L59" i="44"/>
  <c r="Q75" i="44" s="1"/>
  <c r="J60" i="44"/>
  <c r="J58" i="44"/>
  <c r="J56" i="44" s="1"/>
  <c r="J59" i="44" s="1"/>
  <c r="Q52" i="44" s="1"/>
  <c r="L57" i="44"/>
  <c r="J61" i="44"/>
  <c r="Q50" i="44" s="1"/>
  <c r="E86" i="3"/>
  <c r="AE11" i="46"/>
  <c r="AE13" i="46" s="1"/>
  <c r="F29" i="6"/>
  <c r="F28" i="6"/>
  <c r="E28" i="6" s="1"/>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F64" i="15"/>
  <c r="C27" i="15"/>
  <c r="Q72" i="15"/>
  <c r="F50" i="15"/>
  <c r="F67" i="15"/>
  <c r="F70" i="15"/>
  <c r="L56" i="15"/>
  <c r="J57" i="15"/>
  <c r="J55" i="15" s="1"/>
  <c r="J58" i="15" s="1"/>
  <c r="Q51" i="15" s="1"/>
  <c r="G66" i="36"/>
  <c r="J18" i="36"/>
  <c r="AE8" i="1"/>
  <c r="AE6" i="1"/>
  <c r="F33" i="44"/>
  <c r="M19" i="44"/>
  <c r="F58" i="15"/>
  <c r="M17" i="15"/>
  <c r="F31" i="15"/>
  <c r="M28" i="15"/>
  <c r="M22" i="15"/>
  <c r="C18" i="44"/>
  <c r="C16" i="15"/>
  <c r="F36" i="15"/>
  <c r="L47" i="15"/>
  <c r="F46" i="44"/>
  <c r="M8" i="15"/>
  <c r="M6" i="15"/>
  <c r="M29" i="15"/>
  <c r="M9" i="15"/>
  <c r="F7" i="15"/>
  <c r="M27" i="15"/>
  <c r="M23" i="15"/>
  <c r="F38" i="15"/>
  <c r="F42" i="15"/>
  <c r="AE7" i="1"/>
  <c r="AA15" i="21" l="1"/>
  <c r="G16" i="1"/>
  <c r="J12" i="40" s="1"/>
  <c r="W12" i="40" s="1"/>
  <c r="C10" i="15"/>
  <c r="F49" i="15"/>
  <c r="C48" i="15" s="1"/>
  <c r="C6" i="15"/>
  <c r="M7" i="15"/>
  <c r="J6" i="15" s="1"/>
  <c r="J5" i="15" s="1"/>
  <c r="J18" i="15" s="1"/>
  <c r="F65" i="15"/>
  <c r="F63" i="15"/>
  <c r="L59" i="15"/>
  <c r="Q75" i="15" s="1"/>
  <c r="L58" i="15"/>
  <c r="Q74" i="15" s="1"/>
  <c r="J7" i="36"/>
  <c r="W7" i="36" s="1"/>
  <c r="F7" i="36"/>
  <c r="H7" i="35"/>
  <c r="AB7" i="35" s="1"/>
  <c r="T38" i="35" s="1"/>
  <c r="G38" i="35" s="1"/>
  <c r="G42" i="35" s="1"/>
  <c r="H42" i="35" s="1"/>
  <c r="F7" i="35"/>
  <c r="H7" i="34"/>
  <c r="AB7" i="34" s="1"/>
  <c r="T49" i="34" s="1"/>
  <c r="G49" i="34" s="1"/>
  <c r="G53" i="34" s="1"/>
  <c r="H53" i="34" s="1"/>
  <c r="J7" i="34"/>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J8" i="44"/>
  <c r="J7" i="44" s="1"/>
  <c r="E48" i="33"/>
  <c r="E52" i="33" s="1"/>
  <c r="F52" i="33" s="1"/>
  <c r="AG6" i="1"/>
  <c r="F12" i="39"/>
  <c r="AA12" i="39" s="1"/>
  <c r="F31" i="6"/>
  <c r="F12" i="40"/>
  <c r="AA12" i="40" s="1"/>
  <c r="AC6" i="3"/>
  <c r="D21" i="12"/>
  <c r="C21" i="12" s="1"/>
  <c r="D12" i="11"/>
  <c r="C12" i="11" s="1"/>
  <c r="C27" i="12"/>
  <c r="D26" i="12" s="1"/>
  <c r="E59" i="40"/>
  <c r="E29" i="6"/>
  <c r="L19"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Q53" i="15"/>
  <c r="C20" i="11"/>
  <c r="C21" i="11" s="1"/>
  <c r="C22" i="11" s="1"/>
  <c r="C23" i="11" s="1"/>
  <c r="B2" i="11" s="1"/>
  <c r="AC12" i="40"/>
  <c r="C48" i="33"/>
  <c r="C49" i="33"/>
  <c r="B3" i="33" s="1"/>
  <c r="B2" i="33" s="1"/>
  <c r="L52" i="44"/>
  <c r="F41" i="15"/>
  <c r="F7" i="67"/>
  <c r="U7" i="34" l="1"/>
  <c r="J12" i="39"/>
  <c r="AC12" i="39" s="1"/>
  <c r="H12" i="39"/>
  <c r="U12" i="39" s="1"/>
  <c r="H12" i="40"/>
  <c r="AB12" i="40" s="1"/>
  <c r="I53" i="34"/>
  <c r="J53" i="34" s="1"/>
  <c r="Q61" i="15"/>
  <c r="AB12" i="39"/>
  <c r="C5" i="15"/>
  <c r="C32" i="15" s="1"/>
  <c r="Q62" i="15"/>
  <c r="F68" i="15"/>
  <c r="L20" i="6"/>
  <c r="L22" i="6"/>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E38" i="35"/>
  <c r="I43" i="35" s="1"/>
  <c r="J43" i="35" s="1"/>
  <c r="I41" i="36"/>
  <c r="J41" i="36" s="1"/>
  <c r="R37" i="36"/>
  <c r="C26" i="46"/>
  <c r="C26" i="43"/>
  <c r="D24" i="43" s="1"/>
  <c r="C32" i="12"/>
  <c r="D30" i="12" s="1"/>
  <c r="D33" i="12"/>
  <c r="M14" i="1"/>
  <c r="K16" i="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E7" i="67"/>
  <c r="C19" i="44"/>
  <c r="C17" i="15"/>
  <c r="L27" i="6" l="1"/>
  <c r="M20" i="6"/>
  <c r="I20" i="6" s="1"/>
  <c r="S20" i="6" s="1"/>
  <c r="C38" i="15"/>
  <c r="B14" i="66"/>
  <c r="B1" i="66" s="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B7" i="67"/>
  <c r="J33" i="21" l="1"/>
  <c r="F33" i="21"/>
  <c r="H33" i="21"/>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AA33" i="21" l="1"/>
  <c r="S33" i="21"/>
  <c r="U33" i="21"/>
  <c r="AB33" i="21"/>
  <c r="W33" i="21"/>
  <c r="AC33" i="2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M23" i="44"/>
  <c r="F35"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28" i="44" l="1"/>
  <c r="C31" i="44" s="1"/>
  <c r="C35" i="44" s="1"/>
  <c r="I5" i="6"/>
  <c r="I7" i="6" s="1"/>
  <c r="C13" i="39" s="1"/>
  <c r="C26" i="15"/>
  <c r="C29" i="15" s="1"/>
  <c r="J59" i="15" s="1"/>
  <c r="J60" i="15" s="1"/>
  <c r="Q49" i="15" s="1"/>
  <c r="C23" i="12"/>
  <c r="C19" i="43"/>
  <c r="C22" i="43" s="1"/>
  <c r="C21" i="43" s="1"/>
  <c r="K67" i="40"/>
  <c r="L65" i="40"/>
  <c r="K72" i="39"/>
  <c r="L70" i="39"/>
  <c r="C11" i="21" l="1"/>
  <c r="H13" i="39"/>
  <c r="J13" i="39"/>
  <c r="F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AA13" i="39" l="1"/>
  <c r="S13" i="39"/>
  <c r="AB13" i="39"/>
  <c r="U13" i="39"/>
  <c r="AC13" i="39"/>
  <c r="W13" i="39"/>
  <c r="H11" i="21"/>
  <c r="F11" i="21"/>
  <c r="J11" i="21"/>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S11" i="21" l="1"/>
  <c r="AA11" i="21"/>
  <c r="R48" i="21" s="1"/>
  <c r="W11" i="21"/>
  <c r="AC11" i="21"/>
  <c r="V48" i="21" s="1"/>
  <c r="I48" i="21" s="1"/>
  <c r="U11" i="21"/>
  <c r="AB11" i="21"/>
  <c r="T48" i="21" s="1"/>
  <c r="G48" i="21"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I52" i="21" l="1"/>
  <c r="J52" i="21" s="1"/>
  <c r="R49" i="21"/>
  <c r="E48" i="21"/>
  <c r="G53" i="21"/>
  <c r="H53" i="21" s="1"/>
  <c r="G52" i="21"/>
  <c r="H52" i="21" s="1"/>
  <c r="C40" i="15"/>
  <c r="D10" i="12"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48" i="15" l="1"/>
  <c r="Q54" i="15" s="1"/>
  <c r="E52" i="21"/>
  <c r="F52" i="21" s="1"/>
  <c r="E53" i="21"/>
  <c r="F53" i="21" s="1"/>
  <c r="I53" i="21"/>
  <c r="J53" i="21" s="1"/>
  <c r="C49" i="21"/>
  <c r="B3" i="21" s="1"/>
  <c r="C48" i="21"/>
  <c r="C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2" i="21" l="1"/>
  <c r="C10" i="12"/>
  <c r="L46" i="15"/>
  <c r="B2" i="15" s="1"/>
  <c r="Q76" i="15"/>
  <c r="Q58" i="15"/>
  <c r="Q63" i="15" s="1"/>
  <c r="E54" i="39"/>
  <c r="F54" i="39" s="1"/>
  <c r="E53" i="39"/>
  <c r="F53" i="39" s="1"/>
  <c r="E48" i="40"/>
  <c r="F48" i="40" s="1"/>
  <c r="E49" i="40"/>
  <c r="F49" i="40" s="1"/>
  <c r="C50" i="39"/>
  <c r="C49" i="39"/>
  <c r="I54" i="39"/>
  <c r="J54" i="39" s="1"/>
  <c r="C45" i="40"/>
  <c r="C44" i="40"/>
  <c r="I49" i="40"/>
  <c r="J49" i="40" s="1"/>
  <c r="B3" i="15" l="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D22" i="9"/>
  <c r="B4" i="12"/>
  <c r="B5" i="12"/>
  <c r="B3" i="12"/>
  <c r="D7" i="66"/>
  <c r="C7" i="66"/>
  <c r="D21" i="9"/>
  <c r="D20" i="9"/>
  <c r="K21" i="9" l="1"/>
  <c r="L19" i="9"/>
  <c r="G20" i="9"/>
  <c r="G21" i="9"/>
  <c r="C32" i="9"/>
  <c r="G22" i="9"/>
  <c r="N43" i="9"/>
  <c r="D45" i="9"/>
  <c r="E45" i="9"/>
  <c r="O40" i="9"/>
  <c r="F45" i="9"/>
  <c r="C42" i="9" l="1"/>
  <c r="C34" i="9"/>
  <c r="O43" i="9"/>
  <c r="C35" i="9"/>
  <c r="F42" i="9" s="1"/>
  <c r="O38" i="9"/>
  <c r="C33" i="9"/>
  <c r="K31" i="9"/>
  <c r="K32" i="9" s="1"/>
  <c r="R7" i="54"/>
  <c r="B52" i="63" s="1"/>
  <c r="N38" i="9" l="1"/>
  <c r="K28" i="9" s="1"/>
  <c r="D42" i="9"/>
  <c r="Q5" i="54" s="1"/>
  <c r="B47" i="63" s="1"/>
  <c r="M38" i="9"/>
  <c r="K27" i="9" s="1"/>
  <c r="E42" i="9"/>
  <c r="P5" i="54" s="1"/>
  <c r="B46" i="63" s="1"/>
  <c r="K25" i="9"/>
  <c r="K26" i="9"/>
  <c r="D14" i="66"/>
  <c r="N68" i="9"/>
  <c r="D63" i="9"/>
  <c r="C44" i="9"/>
  <c r="R5" i="54"/>
  <c r="B48" i="63" s="1"/>
  <c r="G14" i="66" l="1"/>
  <c r="B6" i="66" s="1"/>
  <c r="N69" i="9"/>
  <c r="D44" i="9"/>
  <c r="F44" i="9"/>
  <c r="O39" i="9"/>
  <c r="E44" i="9"/>
  <c r="C111" i="9"/>
  <c r="C104" i="9" s="1"/>
  <c r="C96" i="9"/>
  <c r="C91" i="9" s="1"/>
  <c r="D71" i="9"/>
  <c r="D66" i="9" s="1"/>
  <c r="N72" i="9" s="1"/>
  <c r="D77" i="9"/>
  <c r="N75" i="9" s="1"/>
  <c r="C103" i="9"/>
  <c r="C90" i="9"/>
  <c r="D70" i="9"/>
  <c r="C82" i="9"/>
  <c r="C81" i="9" s="1"/>
  <c r="C85" i="9" s="1"/>
  <c r="C86" i="9" s="1"/>
  <c r="D72" i="9" s="1"/>
  <c r="F14" i="66"/>
  <c r="E14" i="66"/>
  <c r="B5" i="66"/>
  <c r="C113" i="9" l="1"/>
  <c r="C114" i="9" s="1"/>
  <c r="E114" i="9" s="1"/>
  <c r="E115" i="9" s="1"/>
  <c r="C97" i="9"/>
  <c r="C98" i="9" s="1"/>
  <c r="E98" i="9" s="1"/>
  <c r="E99" i="9" s="1"/>
  <c r="M86" i="9"/>
  <c r="N86" i="9" s="1"/>
  <c r="M88" i="9"/>
  <c r="N88" i="9" s="1"/>
  <c r="M85" i="9"/>
  <c r="N85" i="9" s="1"/>
  <c r="M84" i="9"/>
  <c r="N84" i="9" s="1"/>
  <c r="M87" i="9"/>
  <c r="N87" i="9" s="1"/>
  <c r="M83" i="9"/>
  <c r="N83" i="9" s="1"/>
  <c r="C5" i="66"/>
  <c r="D5" i="66"/>
  <c r="K29" i="9"/>
  <c r="K30" i="9" s="1"/>
  <c r="R6" i="54"/>
  <c r="B50" i="63" s="1"/>
  <c r="D6" i="66"/>
  <c r="C6" i="66"/>
  <c r="N76" i="9"/>
  <c r="C115" i="9" l="1"/>
  <c r="D76" i="9" s="1"/>
  <c r="D74" i="9" s="1"/>
  <c r="N74" i="9" s="1"/>
  <c r="O77" i="9" s="1"/>
  <c r="O78" i="9" s="1"/>
  <c r="C99" i="9"/>
  <c r="N89" i="9"/>
  <c r="O89" i="9" s="1"/>
  <c r="Q77" i="9" l="1"/>
  <c r="O79" i="9"/>
  <c r="C46" i="9" s="1"/>
  <c r="K33" i="9" s="1"/>
  <c r="O41" i="9"/>
  <c r="R8" i="54" s="1"/>
  <c r="B54" i="63" s="1"/>
  <c r="E46" i="9"/>
  <c r="K34" i="9"/>
  <c r="D46" i="9" l="1"/>
  <c r="I14" i="66"/>
  <c r="B8" i="66" s="1"/>
  <c r="F46" i="9"/>
  <c r="O81" i="9"/>
  <c r="O80"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<sst xmlns="http://schemas.openxmlformats.org/spreadsheetml/2006/main" count="7095" uniqueCount="3156">
  <si>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</si>
  <si>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</si>
  <si>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</si>
  <si>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</si>
  <si>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</si>
  <si>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</si>
  <si>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</si>
  <si>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</si>
  <si>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</si>
  <si>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</si>
  <si>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</si>
  <si>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</si>
  <si>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</si>
  <si>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</si>
  <si>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</si>
  <si>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</si>
  <si>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</si>
  <si>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</si>
  <si>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</si>
  <si>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</si>
  <si>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</si>
  <si>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</si>
  <si>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</si>
  <si>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</si>
  <si>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</si>
  <si>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</si>
  <si>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</si>
  <si>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</si>
  <si>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</si>
  <si>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</si>
  <si>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</si>
  <si>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</si>
  <si>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</si>
  <si>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</si>
  <si>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</si>
  <si>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</si>
  <si>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</si>
  <si>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</si>
  <si>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</si>
  <si>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</si>
  <si>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</si>
  <si>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</si>
  <si>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</si>
  <si>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</si>
  <si>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</si>
  <si>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</si>
  <si>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</si>
  <si>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</si>
  <si>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</si>
  <si>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</si>
  <si>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</si>
  <si>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</si>
  <si>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</si>
  <si>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</si>
  <si>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</si>
  <si>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</si>
  <si>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</si>
  <si>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</si>
  <si>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</si>
  <si>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</si>
  <si>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</si>
  <si>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</si>
  <si>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</si>
  <si>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</si>
  <si>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</si>
  <si>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</si>
  <si>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</si>
  <si>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</si>
  <si>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</si>
  <si>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</si>
  <si>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</si>
  <si>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</si>
  <si>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</si>
  <si>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</si>
  <si>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</si>
  <si>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</si>
  <si>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</si>
  <si>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</si>
  <si>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</si>
  <si>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</si>
  <si>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</si>
  <si>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</si>
  <si>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</si>
  <si>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</si>
  <si>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</si>
  <si>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</si>
  <si>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</si>
  <si>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</si>
  <si>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</si>
  <si>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</si>
  <si>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</si>
  <si>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</si>
  <si>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</si>
  <si>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</si>
  <si>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</si>
  <si>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</si>
  <si>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</si>
  <si>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</si>
  <si>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</si>
  <si>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</si>
  <si>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</si>
  <si>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</si>
  <si>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</si>
  <si>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</si>
  <si>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</si>
  <si>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</si>
  <si>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</si>
  <si>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</si>
  <si>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</si>
  <si>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</si>
  <si>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</si>
  <si>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</si>
  <si>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</si>
  <si>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</si>
  <si>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</si>
  <si>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</si>
  <si>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</si>
  <si>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</si>
  <si>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</si>
  <si>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</si>
  <si>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</si>
  <si>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</si>
  <si>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</si>
  <si>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</si>
  <si>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</si>
  <si>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</si>
  <si>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</si>
  <si>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</si>
  <si>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</si>
  <si>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</si>
  <si>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</si>
  <si>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</si>
  <si>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</si>
  <si>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</si>
  <si>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</si>
  <si>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</si>
  <si>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</si>
  <si>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</si>
  <si>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</si>
  <si>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</si>
  <si>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</si>
  <si>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</si>
  <si>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</si>
  <si>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</si>
  <si>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</si>
  <si>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</si>
  <si>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</si>
  <si>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</si>
  <si>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</si>
  <si>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</si>
  <si>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</si>
  <si>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</si>
  <si>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</si>
  <si>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</si>
  <si>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</si>
  <si>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</si>
  <si>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</si>
  <si>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</si>
  <si>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</si>
  <si>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</si>
  <si>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</si>
  <si>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</si>
  <si>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</si>
  <si>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</si>
  <si>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</si>
  <si>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</si>
  <si>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</si>
  <si>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</si>
  <si>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</si>
  <si>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</si>
  <si>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</si>
  <si>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</si>
  <si>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</si>
  <si>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</si>
  <si>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</si>
  <si>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</si>
  <si>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</si>
  <si>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</si>
  <si>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</si>
  <si>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</si>
  <si>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</si>
  <si>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</si>
  <si>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</si>
  <si>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</si>
  <si>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</si>
  <si>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</si>
  <si>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</si>
  <si>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</si>
  <si>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</si>
  <si>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</si>
  <si>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</si>
  <si>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</si>
  <si>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</si>
  <si>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</si>
  <si>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</si>
  <si>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</si>
  <si>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</si>
  <si>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</si>
  <si>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</si>
  <si>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</si>
  <si>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</si>
  <si>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</si>
  <si>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</si>
  <si>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</si>
  <si>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</si>
  <si>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</si>
  <si>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</si>
  <si>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</si>
  <si>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</si>
  <si>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</si>
  <si>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</si>
  <si>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</si>
  <si>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</si>
  <si>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</si>
  <si>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</si>
  <si>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</si>
  <si>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</si>
  <si>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</si>
  <si>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</si>
  <si>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</si>
  <si>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</si>
  <si>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</si>
  <si>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</si>
  <si>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</si>
  <si>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</si>
  <si>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</si>
  <si>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</si>
  <si>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</si>
  <si>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</si>
  <si>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</si>
  <si>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</si>
  <si>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</si>
  <si>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</si>
  <si>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</si>
  <si>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</si>
  <si>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</si>
  <si>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</si>
  <si>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</si>
  <si>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</si>
  <si>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</si>
  <si>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</si>
  <si>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</si>
  <si>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</si>
  <si>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</si>
  <si>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</si>
  <si>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</si>
  <si>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</si>
  <si>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</si>
  <si>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</si>
  <si>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</si>
  <si>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</si>
  <si>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</si>
  <si>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</si>
  <si>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</si>
  <si>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</si>
  <si>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</si>
  <si>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</si>
  <si>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</si>
  <si>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</si>
  <si>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</si>
  <si>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</si>
  <si>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</si>
  <si>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</si>
  <si>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</si>
  <si>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</si>
  <si>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</si>
  <si>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</si>
  <si>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</si>
  <si>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</si>
  <si>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</si>
  <si>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</si>
  <si>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</si>
  <si>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</si>
  <si>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</si>
  <si>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</si>
  <si>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</si>
  <si>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</si>
  <si>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</si>
  <si>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</si>
  <si>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</si>
  <si>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</si>
  <si>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</si>
  <si>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</si>
  <si>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</si>
  <si>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</si>
  <si>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</si>
  <si>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</si>
  <si>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</si>
  <si>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</si>
  <si>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</si>
  <si>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</si>
  <si>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</si>
  <si>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</si>
  <si>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</si>
  <si>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</si>
  <si>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</si>
  <si>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</si>
  <si>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</si>
  <si>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</si>
  <si>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</si>
  <si>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</si>
  <si>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</si>
  <si>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</si>
  <si>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</si>
  <si>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</si>
  <si>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</si>
  <si>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</si>
  <si>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</si>
  <si>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</si>
  <si>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</si>
  <si>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</si>
  <si>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</si>
  <si>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</si>
  <si>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</si>
  <si>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</si>
  <si>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</si>
  <si>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</si>
  <si>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</si>
  <si>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</si>
  <si>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</si>
  <si>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</si>
  <si>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</si>
  <si>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</si>
  <si>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</si>
  <si>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</si>
  <si>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</si>
  <si>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</si>
  <si>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</si>
  <si>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</si>
  <si>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</si>
  <si>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</si>
  <si>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</si>
  <si>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</si>
  <si>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</si>
  <si>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</si>
  <si>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</si>
  <si>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</si>
  <si>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</si>
  <si>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</si>
  <si>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</si>
  <si>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</si>
  <si>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</si>
  <si>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</si>
  <si>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</si>
  <si>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</si>
  <si>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</si>
  <si>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</si>
  <si>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</si>
  <si>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</si>
  <si>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</si>
  <si>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</si>
  <si>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</si>
  <si>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</si>
  <si>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</si>
  <si>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</si>
  <si>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</si>
  <si>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</si>
  <si>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</si>
  <si>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</si>
  <si>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</si>
  <si>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</si>
  <si>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</si>
  <si>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</si>
  <si>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</si>
  <si>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</si>
  <si>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</si>
  <si>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</si>
  <si>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</si>
  <si>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</si>
  <si>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</si>
  <si>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</si>
  <si>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</si>
  <si>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</si>
  <si>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</si>
  <si>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</si>
  <si>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</si>
  <si>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</si>
  <si>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</si>
  <si>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</si>
  <si>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</si>
  <si>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</si>
  <si>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</si>
  <si>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</si>
  <si>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</si>
  <si>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</si>
  <si>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</si>
  <si>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</si>
  <si>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</si>
  <si>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</si>
  <si>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</si>
  <si>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</si>
  <si>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</si>
  <si>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</si>
  <si>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</si>
  <si>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</si>
  <si>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</si>
  <si>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</si>
  <si>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</si>
  <si>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</si>
  <si>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</si>
  <si>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</si>
  <si>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</si>
  <si>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</si>
  <si>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</si>
  <si>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</si>
  <si>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</si>
  <si>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</si>
  <si>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</si>
  <si>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</si>
  <si>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</si>
  <si>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</si>
  <si>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</si>
  <si>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</si>
  <si>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</si>
  <si>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</si>
  <si>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</si>
  <si>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</si>
  <si>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</si>
  <si>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</si>
  <si>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</si>
  <si>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</si>
  <si>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</si>
  <si>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</si>
  <si>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</si>
  <si>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</si>
  <si>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</si>
  <si>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</si>
  <si>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</si>
  <si>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</si>
  <si>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</si>
  <si>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</si>
  <si>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</si>
  <si>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</si>
  <si>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</si>
  <si>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</si>
  <si>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</si>
  <si>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</si>
  <si>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</si>
  <si>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</si>
  <si>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</si>
  <si>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</si>
  <si>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</si>
  <si>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</si>
  <si>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</si>
  <si>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</si>
  <si>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</si>
  <si>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</si>
  <si>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</si>
  <si>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</si>
  <si>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</si>
  <si>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</si>
  <si>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</si>
  <si>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</si>
  <si>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</si>
  <si>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</si>
  <si>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</si>
  <si>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</si>
  <si>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</si>
  <si>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</si>
  <si>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</si>
  <si>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</si>
  <si>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</si>
  <si>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</si>
  <si>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</si>
  <si>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</si>
  <si>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</si>
  <si>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</si>
  <si>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</si>
  <si>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</si>
  <si>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</si>
  <si>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</si>
  <si>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</si>
  <si>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</si>
  <si>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</si>
  <si>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</si>
  <si>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</si>
  <si>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</si>
  <si>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</si>
  <si>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</si>
  <si>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</si>
  <si>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</si>
  <si>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</si>
  <si>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</si>
  <si>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</si>
  <si>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</si>
  <si>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</si>
  <si>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</si>
  <si>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</si>
  <si>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</si>
  <si>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</si>
  <si>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</si>
  <si>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</si>
  <si>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</si>
  <si>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</si>
  <si>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</si>
  <si>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</si>
  <si>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</si>
  <si>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</si>
  <si>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</si>
  <si>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</si>
  <si>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</si>
  <si>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</si>
  <si>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</si>
  <si>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</si>
  <si>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</si>
  <si>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</si>
  <si>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</si>
  <si>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</si>
  <si>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</si>
  <si>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</si>
  <si>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</si>
  <si>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</si>
  <si>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</si>
  <si>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</si>
  <si>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</si>
  <si>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</si>
  <si>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</si>
  <si>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</si>
  <si>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</si>
  <si>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</si>
  <si>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</si>
  <si>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</si>
  <si>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</si>
  <si>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</si>
  <si>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</si>
  <si>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</si>
  <si>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</si>
  <si>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</si>
  <si>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</si>
  <si>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</si>
  <si>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</si>
  <si>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</si>
  <si>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</si>
  <si>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</si>
  <si>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</si>
  <si>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</si>
  <si>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</si>
  <si>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</si>
  <si>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</si>
  <si>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</si>
  <si>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</si>
  <si>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</si>
  <si>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</si>
  <si>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</si>
  <si>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</si>
  <si>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</si>
  <si>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</si>
  <si>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</si>
  <si>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</si>
  <si>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</si>
  <si>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</si>
  <si>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</si>
  <si>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</si>
  <si>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</si>
  <si>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</si>
  <si>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</si>
  <si>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</si>
  <si>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</si>
  <si>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</si>
  <si>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</si>
  <si>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</si>
  <si>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</si>
  <si>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</si>
  <si>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</si>
  <si>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</si>
  <si>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</si>
  <si>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</si>
  <si>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</si>
  <si>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</si>
  <si>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</si>
  <si>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</si>
  <si>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</si>
  <si>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</si>
  <si>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</si>
  <si>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</si>
  <si>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</si>
  <si>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</si>
  <si>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</si>
  <si>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</si>
  <si>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</si>
  <si>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</si>
  <si>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</si>
  <si>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</si>
  <si>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</si>
  <si>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</si>
  <si>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</si>
  <si>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</si>
  <si>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</si>
  <si>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</si>
  <si>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</si>
  <si>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</si>
  <si>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</si>
  <si>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</si>
  <si>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</si>
  <si>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</si>
  <si>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</si>
  <si>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</si>
  <si>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</si>
  <si>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</si>
  <si>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</si>
  <si>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</si>
  <si>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</si>
  <si>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</si>
  <si>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</si>
  <si>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</si>
  <si>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</si>
  <si>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</si>
  <si>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</si>
  <si>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</si>
  <si>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</si>
  <si>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</si>
  <si>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</si>
  <si>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</si>
  <si>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</si>
  <si>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</si>
  <si>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</si>
  <si>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</si>
  <si>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</si>
  <si>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</si>
  <si>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</si>
  <si>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</si>
  <si>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</si>
  <si>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</si>
  <si>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</si>
  <si>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</si>
  <si>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</si>
  <si>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</si>
  <si>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</si>
  <si>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</si>
  <si>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</si>
  <si>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</si>
  <si>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</si>
  <si>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</si>
  <si>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</si>
  <si>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</si>
  <si>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</si>
  <si>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</si>
  <si>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</si>
  <si>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</si>
  <si>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</si>
  <si>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</si>
  <si>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</si>
  <si>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</si>
  <si>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</si>
  <si>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</si>
  <si>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</si>
  <si>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</si>
  <si>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</si>
  <si>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</si>
  <si>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</si>
  <si>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</si>
  <si>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</si>
  <si>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</si>
  <si>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</si>
  <si>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</si>
  <si>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</si>
  <si>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</si>
  <si>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</si>
  <si>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</si>
  <si>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</si>
  <si>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</si>
  <si>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</si>
  <si>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</si>
  <si>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</si>
  <si>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</si>
  <si>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</si>
  <si>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</si>
  <si>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</si>
  <si>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</si>
  <si>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</si>
  <si>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</si>
  <si>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</si>
  <si>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</si>
  <si>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</si>
  <si>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</si>
  <si>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</si>
  <si>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</si>
  <si>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</si>
  <si>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</si>
  <si>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</si>
  <si>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</si>
  <si>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</si>
  <si>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</si>
  <si>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</si>
  <si>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</si>
  <si>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</si>
  <si>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</si>
  <si>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</si>
  <si>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</si>
  <si>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</si>
  <si>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</si>
  <si>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</si>
  <si>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</si>
  <si>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</si>
  <si>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</si>
  <si>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</si>
  <si>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</si>
  <si>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</si>
  <si>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</si>
  <si>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</si>
  <si>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</si>
  <si>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</si>
  <si>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</si>
  <si>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</si>
  <si>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</si>
  <si>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</si>
  <si>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</si>
  <si>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</si>
  <si>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</si>
  <si>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</si>
  <si>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</si>
  <si>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</si>
  <si>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</si>
  <si>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</si>
  <si>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</si>
  <si>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</si>
  <si>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</si>
  <si>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</si>
  <si>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</si>
  <si>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</si>
  <si>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</si>
  <si>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</si>
  <si>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</si>
  <si>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</si>
  <si>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</si>
  <si>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</si>
  <si>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</si>
  <si>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</si>
  <si>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</si>
  <si>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</si>
  <si>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</si>
  <si>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</si>
  <si>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</si>
  <si>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</si>
  <si>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</si>
  <si>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</si>
  <si>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</si>
  <si>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</si>
  <si>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</si>
  <si>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</si>
  <si>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</si>
  <si>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</si>
  <si>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</si>
  <si>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</si>
  <si>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</si>
  <si>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</si>
  <si>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</si>
  <si>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</si>
  <si>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</si>
  <si>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</si>
  <si>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</si>
  <si>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</si>
  <si>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</si>
  <si>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</si>
  <si>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</si>
  <si>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</si>
  <si>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</si>
  <si>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</si>
  <si>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</si>
  <si>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</si>
  <si>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</si>
  <si>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</si>
  <si>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</si>
  <si>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</si>
  <si>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</si>
  <si>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</si>
  <si>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</si>
  <si>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</si>
  <si>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</si>
  <si>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</si>
  <si>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</si>
  <si>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</si>
  <si>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</si>
  <si>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</si>
  <si>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</si>
  <si>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</si>
  <si>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</si>
  <si>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</si>
  <si>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</si>
  <si>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</si>
  <si>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</si>
  <si>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</si>
  <si>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</si>
  <si>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</si>
  <si>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</si>
  <si>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</si>
  <si>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</si>
  <si>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</si>
  <si>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</si>
  <si>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</si>
  <si>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</si>
  <si>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</si>
  <si>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</si>
  <si>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</si>
  <si>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</si>
  <si>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</si>
  <si>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</si>
  <si>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</si>
  <si>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</si>
  <si>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</si>
  <si>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</si>
  <si>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</si>
  <si>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</si>
  <si>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</si>
  <si>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</si>
  <si>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</si>
  <si>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</si>
  <si>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</si>
  <si>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</si>
  <si>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</si>
  <si>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</si>
  <si>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</si>
  <si>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</si>
  <si>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</si>
  <si>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</si>
  <si>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</si>
  <si>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</si>
  <si>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</si>
  <si>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</si>
  <si>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</si>
  <si>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</si>
  <si>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</si>
  <si>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</si>
  <si>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</si>
  <si>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</si>
  <si>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</si>
  <si>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</si>
  <si>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</si>
  <si>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</si>
  <si>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</si>
  <si>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</si>
  <si>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</si>
  <si>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</si>
  <si>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</si>
  <si>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</si>
  <si>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</si>
  <si>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</si>
  <si>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</si>
  <si>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</si>
  <si>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</si>
  <si>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</si>
  <si>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</si>
  <si>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</si>
  <si>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</si>
  <si>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</si>
  <si>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</si>
  <si>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</si>
  <si>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</si>
  <si>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</si>
  <si>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</si>
  <si>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</si>
  <si>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</si>
  <si>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</si>
  <si>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</si>
  <si>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</si>
  <si>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</si>
  <si>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</si>
  <si>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</si>
  <si>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</si>
  <si>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</si>
  <si>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</si>
  <si>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</si>
  <si>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</si>
  <si>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</si>
  <si>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</si>
  <si>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</si>
  <si>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</si>
  <si>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</si>
  <si>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</si>
  <si>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</si>
  <si>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</si>
  <si>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</si>
  <si>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</si>
  <si>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</si>
  <si>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</si>
  <si>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</si>
  <si>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</si>
  <si>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</si>
  <si>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</si>
  <si>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</si>
  <si>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</si>
  <si>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</si>
  <si>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</si>
  <si>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</si>
  <si>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</si>
  <si>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</si>
  <si>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</si>
  <si>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</si>
  <si>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</si>
  <si>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</si>
  <si>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</si>
  <si>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</si>
  <si>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</si>
  <si>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</si>
  <si>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</si>
  <si>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</si>
  <si>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</si>
  <si>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</si>
  <si>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</si>
  <si>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</si>
  <si>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</si>
  <si>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</si>
  <si>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</si>
  <si>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</si>
  <si>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</si>
  <si>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</si>
  <si>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</si>
  <si>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</si>
  <si>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</si>
  <si>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</si>
  <si>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</si>
  <si>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</si>
  <si>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</si>
  <si>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</si>
  <si>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</si>
  <si>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</si>
  <si>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</si>
  <si>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</si>
  <si>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</si>
  <si>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</si>
  <si>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</si>
  <si>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</si>
  <si>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</si>
  <si>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</si>
  <si>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</si>
  <si>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</si>
  <si>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</si>
  <si>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</si>
  <si>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</si>
  <si>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</si>
  <si>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</si>
  <si>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</si>
  <si>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</si>
  <si>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</si>
  <si>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</si>
  <si>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</si>
  <si>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</si>
  <si>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</si>
  <si>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</si>
  <si>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</si>
  <si>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</si>
  <si>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</si>
  <si>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</si>
  <si>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</si>
  <si>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</si>
  <si>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</si>
  <si>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</si>
  <si>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</si>
  <si>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</si>
  <si>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</si>
  <si>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</si>
  <si>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</si>
  <si>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</si>
  <si>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</si>
  <si>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</si>
  <si>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</si>
  <si>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</si>
  <si>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</si>
  <si>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</si>
  <si>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</si>
  <si>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</si>
  <si>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</si>
  <si>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</si>
  <si>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</si>
  <si>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</si>
  <si>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</si>
  <si>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</si>
  <si>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</si>
  <si>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</si>
  <si>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</si>
  <si>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</si>
  <si>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</si>
  <si>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</si>
  <si>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</si>
  <si>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</si>
  <si>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</si>
  <si>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</si>
  <si>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</si>
  <si>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</si>
  <si>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</si>
  <si>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</si>
  <si>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</si>
  <si>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</si>
  <si>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</si>
  <si>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</si>
  <si>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</si>
  <si>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</si>
  <si>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</si>
  <si>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</si>
  <si>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</si>
  <si>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</si>
  <si>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</si>
  <si>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</si>
  <si>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</si>
  <si>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</si>
  <si>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</si>
  <si>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</si>
  <si>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</si>
  <si>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</si>
  <si>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</si>
  <si>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</si>
  <si>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</si>
  <si>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</si>
  <si>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</si>
  <si>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</si>
  <si>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</si>
  <si>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</si>
  <si>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</si>
  <si>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</si>
  <si>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</si>
  <si>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</si>
  <si>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</si>
  <si>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</si>
  <si>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</si>
  <si>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</si>
  <si>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</si>
  <si>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</si>
  <si>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</si>
  <si>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</si>
  <si>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</si>
  <si>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</si>
  <si>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</si>
  <si>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</si>
  <si>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</si>
  <si>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</si>
  <si>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</si>
  <si>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</si>
  <si>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</si>
  <si>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</si>
  <si>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</si>
  <si>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</si>
  <si>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</si>
  <si>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</si>
  <si>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</si>
  <si>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</si>
  <si>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</si>
  <si>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</si>
  <si>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</si>
  <si>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</si>
  <si>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</si>
  <si>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</si>
  <si>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</si>
  <si>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</si>
  <si>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</si>
  <si>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</si>
  <si>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</si>
  <si>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</si>
  <si>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</si>
  <si>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</si>
  <si>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</si>
  <si>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</si>
  <si>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</si>
  <si>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</si>
  <si>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</si>
  <si>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</si>
  <si>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</si>
  <si>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</si>
  <si>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</si>
  <si>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</si>
  <si>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</si>
  <si>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</si>
  <si>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</si>
  <si>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</si>
  <si>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</si>
  <si>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</si>
  <si>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</si>
  <si>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</si>
  <si>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</si>
  <si>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</si>
  <si>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</si>
  <si>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</si>
  <si>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</si>
  <si>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</si>
  <si>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</si>
  <si>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</si>
  <si>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</si>
  <si>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</si>
  <si>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</si>
  <si>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</si>
  <si>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</si>
  <si>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</si>
  <si>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</si>
  <si>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</si>
  <si>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</si>
  <si>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</si>
  <si>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</si>
  <si>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</si>
  <si>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</si>
  <si>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</si>
  <si>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</si>
  <si>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</si>
  <si>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</si>
  <si>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</si>
  <si>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</si>
  <si>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</si>
  <si>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</si>
  <si>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</si>
  <si>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</si>
  <si>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</si>
  <si>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</si>
  <si>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</si>
  <si>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</si>
  <si>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</si>
  <si>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</si>
  <si>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</si>
  <si>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</si>
  <si>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</si>
  <si>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</si>
  <si>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</si>
  <si>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</si>
  <si>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</si>
  <si>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</si>
  <si>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</si>
  <si>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</si>
  <si>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</si>
  <si>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</si>
  <si>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</si>
  <si>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</si>
  <si>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</si>
  <si>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</si>
  <si>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</si>
  <si>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</si>
  <si>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</si>
  <si>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</si>
  <si>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</si>
  <si>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</si>
  <si>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</si>
  <si>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</si>
  <si>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</si>
  <si>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</si>
  <si>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</si>
  <si>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</si>
  <si>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</si>
  <si>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</si>
  <si>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</si>
  <si>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</si>
  <si>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</si>
  <si>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</si>
  <si>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</si>
  <si>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</si>
  <si>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</si>
  <si>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</si>
  <si>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</si>
  <si>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</si>
  <si>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</si>
  <si>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</si>
  <si>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</si>
  <si>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</si>
  <si>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</si>
  <si>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</si>
  <si>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</si>
  <si>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</si>
  <si>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</si>
  <si>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</si>
  <si>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</si>
  <si>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</si>
  <si>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</si>
  <si>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</si>
  <si>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</si>
  <si>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</si>
  <si>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</si>
  <si>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</si>
  <si>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</si>
  <si>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</si>
  <si>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</si>
  <si>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</si>
  <si>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</si>
  <si>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</si>
  <si>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</si>
  <si>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</si>
  <si>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</si>
  <si>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</si>
  <si>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</si>
  <si>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</si>
  <si>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</si>
  <si>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</si>
  <si>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</si>
  <si>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</si>
  <si>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</si>
  <si>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</si>
  <si>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</si>
  <si>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</si>
  <si>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</si>
  <si>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</si>
  <si>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</si>
  <si>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</si>
  <si>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</si>
  <si>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</si>
  <si>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</si>
  <si>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</si>
  <si>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</si>
  <si>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</si>
  <si>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</si>
  <si>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</si>
  <si>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</si>
  <si>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</si>
  <si>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</si>
  <si>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</si>
  <si>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</si>
  <si>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</si>
  <si>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</si>
  <si>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</si>
  <si>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</si>
  <si>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</si>
  <si>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</si>
  <si>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</si>
  <si>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</si>
  <si>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</si>
  <si>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</si>
  <si>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</si>
  <si>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</si>
  <si>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</si>
  <si>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</si>
  <si>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</si>
  <si>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</si>
  <si>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</si>
  <si>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</si>
  <si>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</si>
  <si>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</si>
  <si>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</si>
  <si>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</si>
  <si>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</si>
  <si>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</si>
  <si>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</si>
  <si>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</si>
  <si>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</si>
  <si>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</si>
  <si>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</si>
  <si>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</si>
  <si>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</si>
  <si>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</si>
  <si>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</si>
  <si>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</si>
  <si>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</si>
  <si>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</si>
  <si>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</si>
  <si>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</si>
  <si>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</si>
  <si>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</si>
  <si>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</si>
  <si>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</si>
  <si>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</si>
  <si>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</si>
  <si>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</si>
  <si>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</si>
  <si>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</si>
  <si>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</si>
  <si>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</si>
  <si>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</si>
  <si>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</si>
  <si>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</si>
  <si>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</si>
  <si>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</si>
  <si>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</si>
  <si>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</si>
  <si>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</si>
  <si>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</si>
  <si>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</si>
  <si>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</si>
  <si>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</si>
  <si>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</si>
  <si>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</si>
  <si>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</si>
  <si>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</si>
  <si>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</si>
  <si>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</si>
  <si>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</si>
  <si>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</si>
  <si>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</si>
  <si>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</si>
  <si>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</si>
  <si>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</si>
  <si>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</si>
  <si>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</si>
  <si>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</si>
  <si>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</si>
  <si>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</si>
  <si>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</si>
  <si>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</si>
  <si>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</si>
  <si>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</si>
  <si>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</si>
  <si>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</si>
  <si>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</si>
  <si>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</si>
  <si>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</si>
  <si>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</si>
  <si>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</si>
  <si>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</si>
  <si>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</si>
  <si>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</si>
  <si>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</si>
  <si>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</si>
  <si>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</si>
  <si>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</si>
  <si>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</si>
  <si>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</si>
  <si>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</si>
  <si>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</si>
  <si>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</si>
  <si>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</si>
  <si>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</si>
  <si>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</si>
  <si>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</si>
  <si>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</si>
  <si>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</si>
  <si>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</si>
  <si>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</si>
  <si>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</si>
  <si>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</si>
  <si>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</si>
  <si>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</si>
  <si>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</si>
  <si>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</si>
  <si>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</si>
  <si>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</si>
  <si>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</si>
  <si>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</si>
  <si>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</si>
  <si>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</si>
  <si>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</si>
  <si>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</si>
  <si>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</si>
  <si>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</si>
  <si>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</si>
  <si>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</si>
  <si>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</si>
  <si>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</si>
  <si>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</si>
  <si>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</si>
  <si>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</si>
  <si>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</si>
  <si>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</si>
  <si>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</si>
  <si>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</si>
  <si>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</si>
  <si>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</si>
  <si>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</si>
  <si>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</si>
  <si>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</si>
  <si>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</si>
  <si>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</si>
  <si>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</si>
  <si>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</si>
  <si>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</si>
  <si>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</si>
  <si>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</si>
  <si>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</si>
  <si>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</si>
  <si>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</si>
  <si>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</si>
  <si>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</si>
  <si>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</si>
  <si>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</si>
  <si>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</si>
  <si>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</si>
  <si>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</si>
  <si>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</si>
  <si>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</si>
  <si>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</si>
  <si>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</si>
  <si>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</si>
  <si>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</si>
  <si>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</si>
  <si>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</si>
  <si>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</si>
  <si>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</si>
  <si>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</si>
  <si>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</si>
  <si>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</si>
  <si>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</si>
  <si>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</si>
  <si>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</si>
  <si>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</si>
  <si>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</si>
  <si>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</si>
  <si>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</si>
  <si>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</si>
  <si>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</si>
  <si>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</si>
  <si>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</si>
  <si>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</si>
  <si>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</si>
  <si>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</si>
  <si>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</si>
  <si>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</si>
  <si>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</si>
  <si>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</si>
  <si>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</si>
  <si>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</si>
  <si>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</si>
  <si>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</si>
  <si>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</si>
  <si>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</si>
  <si>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</si>
  <si>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</si>
  <si>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</si>
  <si>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</si>
  <si>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</si>
  <si>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</si>
  <si>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</si>
  <si>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</si>
  <si>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</si>
  <si>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</si>
  <si>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</si>
  <si>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</si>
  <si>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</si>
  <si>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</si>
  <si>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</si>
  <si>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</si>
  <si>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</si>
  <si>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</si>
  <si>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</si>
  <si>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</si>
  <si>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</si>
  <si>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</si>
  <si>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</si>
  <si>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</si>
  <si>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</si>
  <si>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</si>
  <si>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</si>
  <si>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</si>
  <si>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</si>
  <si>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</si>
  <si>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</si>
  <si>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</si>
  <si>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</si>
  <si>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</si>
  <si>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</si>
  <si>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</si>
  <si>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</si>
  <si>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</si>
  <si>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</si>
  <si>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</si>
  <si>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</si>
  <si>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</si>
  <si>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</si>
  <si>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</si>
  <si>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</si>
  <si>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</si>
  <si>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</si>
  <si>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</si>
  <si>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</si>
  <si>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</si>
  <si>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</si>
  <si>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</si>
  <si>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</si>
  <si>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</si>
  <si>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</si>
  <si>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</si>
  <si>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</si>
  <si>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</si>
  <si>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</si>
  <si>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</si>
  <si>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</si>
  <si>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</si>
  <si>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</si>
  <si>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</si>
  <si>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</si>
  <si>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</si>
  <si>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</si>
  <si>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</si>
  <si>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</si>
  <si>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</si>
  <si>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</si>
  <si>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</si>
  <si>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</si>
  <si>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</si>
  <si>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</si>
  <si>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</si>
  <si>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</si>
  <si>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</si>
  <si>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</si>
  <si>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</si>
  <si>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</si>
  <si>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</si>
  <si>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</si>
  <si>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</si>
  <si>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</si>
  <si>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</si>
  <si>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</si>
  <si>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</si>
  <si>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</si>
  <si>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</si>
  <si>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</si>
  <si>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</si>
  <si>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</si>
  <si>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</si>
  <si>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</si>
  <si>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</si>
  <si>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</si>
  <si>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</si>
  <si>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</si>
  <si>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</si>
  <si>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</si>
  <si>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</si>
  <si>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</si>
  <si>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</si>
  <si>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</si>
  <si>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</si>
  <si>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</si>
  <si>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</si>
  <si>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</si>
  <si>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</si>
  <si>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</si>
  <si>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</si>
  <si>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</si>
  <si>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</si>
  <si>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</si>
  <si>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</si>
  <si>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</si>
  <si>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</si>
  <si>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</si>
  <si>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</si>
  <si>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</si>
  <si>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</si>
  <si>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</si>
  <si>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</si>
  <si>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</si>
  <si>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</si>
  <si>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</si>
  <si>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</si>
  <si>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</si>
  <si>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</si>
  <si>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</si>
  <si>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</si>
  <si>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</si>
  <si>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</si>
  <si>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</si>
  <si>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</si>
  <si>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</si>
  <si>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</si>
  <si>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</si>
  <si>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</si>
  <si>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</si>
  <si>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</si>
  <si>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</si>
  <si>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</si>
  <si>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</si>
  <si>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</si>
  <si>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</si>
  <si>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</si>
  <si>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</si>
  <si>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</si>
  <si>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</si>
  <si>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</si>
  <si>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</si>
  <si>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</si>
  <si>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</si>
  <si>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</si>
  <si>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</si>
  <si>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</si>
  <si>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</si>
  <si>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</si>
  <si>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</si>
  <si>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</si>
  <si>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</si>
  <si>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</si>
  <si>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</si>
  <si>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</si>
  <si>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</si>
  <si>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</si>
  <si>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</si>
  <si>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</si>
  <si>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</si>
  <si>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</si>
  <si>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</si>
  <si>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</si>
  <si>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</si>
  <si>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</si>
  <si>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</si>
  <si>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</si>
  <si>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</si>
  <si>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</si>
  <si>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</si>
  <si>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</si>
  <si>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</si>
  <si>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</si>
  <si>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</si>
  <si>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</si>
  <si>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</si>
  <si>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</si>
  <si>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</si>
  <si>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</si>
  <si>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</si>
  <si>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</si>
  <si>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</si>
  <si>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</si>
  <si>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</si>
  <si>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</si>
  <si>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</si>
  <si>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</si>
  <si>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</si>
  <si>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</si>
  <si>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</si>
  <si>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</si>
  <si>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</si>
  <si>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</si>
  <si>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</si>
  <si>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</si>
  <si>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</si>
  <si>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</si>
  <si>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</si>
  <si>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</si>
  <si>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</si>
  <si>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</si>
  <si>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</si>
  <si>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</si>
  <si>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</si>
  <si>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</si>
  <si>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</si>
  <si>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</si>
  <si>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</si>
  <si>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</si>
  <si>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</si>
  <si>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</si>
  <si>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</si>
  <si>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</si>
  <si>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</si>
  <si>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</si>
  <si>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</si>
  <si>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</si>
  <si>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</si>
  <si>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</si>
  <si>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</si>
  <si>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</si>
  <si>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</si>
  <si>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</si>
  <si>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</si>
  <si>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</si>
  <si>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</si>
  <si>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</si>
  <si>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</si>
  <si>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</si>
  <si>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</si>
  <si>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</si>
  <si>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</si>
  <si>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</si>
  <si>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</si>
  <si>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</si>
  <si>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</si>
  <si>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</si>
  <si>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</si>
  <si>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</si>
  <si>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</si>
  <si>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</si>
  <si>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</si>
  <si>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</si>
  <si>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</si>
  <si>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</si>
  <si>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</si>
  <si>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</si>
  <si>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</si>
  <si>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</si>
  <si>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</si>
  <si>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</si>
  <si>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</si>
  <si>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</si>
  <si>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</si>
  <si>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</si>
  <si>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</si>
  <si>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</si>
  <si>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</si>
  <si>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</si>
  <si>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</si>
  <si>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</si>
  <si>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</si>
  <si>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</si>
  <si>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</si>
  <si>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</si>
  <si>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</si>
  <si>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</si>
  <si>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</si>
  <si>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</si>
  <si>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</si>
  <si>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</si>
  <si>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</si>
  <si>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</si>
  <si>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</si>
  <si>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</si>
  <si>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</si>
  <si>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</si>
  <si>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</si>
  <si>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</si>
  <si>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</si>
  <si>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</si>
  <si>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</si>
  <si>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</si>
  <si>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</si>
  <si>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</si>
  <si>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</si>
  <si>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</si>
  <si>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</si>
  <si>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</si>
  <si>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</si>
  <si>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</si>
  <si>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</si>
  <si>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</si>
  <si>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</si>
  <si>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</si>
  <si>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</si>
  <si>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</si>
  <si>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</si>
  <si>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</si>
  <si>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</si>
  <si>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</si>
  <si>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</si>
  <si>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</si>
  <si>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</si>
  <si>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</si>
  <si>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</si>
  <si>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</si>
  <si>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</si>
  <si>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</si>
  <si>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</si>
  <si>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</si>
  <si>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</si>
  <si>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</si>
  <si>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</si>
  <si>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</si>
  <si>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</si>
  <si>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</si>
  <si>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</si>
  <si>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</si>
  <si>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</si>
  <si>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</si>
  <si>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</si>
  <si>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</si>
  <si>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</si>
  <si>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</si>
  <si>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</si>
  <si>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</si>
  <si>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</si>
  <si>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</si>
  <si>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</si>
  <si>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</si>
  <si>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</si>
  <si>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</si>
  <si>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</si>
  <si>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</si>
  <si>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</si>
  <si>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</si>
  <si>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</si>
  <si>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</si>
  <si>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</si>
  <si>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</si>
  <si>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</si>
  <si>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</si>
  <si>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</si>
  <si>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</si>
  <si>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</si>
  <si>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</si>
  <si>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</si>
  <si>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</si>
  <si>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</si>
  <si>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</si>
  <si>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</si>
  <si>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</si>
  <si>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</si>
  <si>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</si>
  <si>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</si>
  <si>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</si>
  <si>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</si>
  <si>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</si>
  <si>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</si>
  <si>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</si>
  <si>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</si>
  <si>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</si>
  <si>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</si>
  <si>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</si>
  <si>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</si>
  <si>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</si>
  <si>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</si>
  <si>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</si>
  <si>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</si>
  <si>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</si>
  <si>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</si>
  <si>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</si>
  <si>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</si>
  <si>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</si>
  <si>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</si>
  <si>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</si>
  <si>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</si>
  <si>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</si>
  <si>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</si>
  <si>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</si>
  <si>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</si>
  <si>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</si>
  <si>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</si>
  <si>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</si>
  <si>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</si>
  <si>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</si>
  <si>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</si>
  <si>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</si>
  <si>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</si>
  <si>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</si>
  <si>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</si>
  <si>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</si>
  <si>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</si>
  <si>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</si>
  <si>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</si>
  <si>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</si>
  <si>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</si>
  <si>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</si>
  <si>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</si>
  <si>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</si>
  <si>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</si>
  <si>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</si>
  <si>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</si>
  <si>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</si>
  <si>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</si>
  <si>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</si>
  <si>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</si>
  <si>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</si>
  <si>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</si>
  <si>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</si>
  <si>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</si>
  <si>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</si>
  <si>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</si>
  <si>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</si>
  <si>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</si>
  <si>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</si>
  <si>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</si>
  <si>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</si>
  <si>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</si>
  <si>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</si>
  <si>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</si>
  <si>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</si>
  <si>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</si>
  <si>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</si>
  <si>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</si>
  <si>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</si>
  <si>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</si>
  <si>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</si>
  <si>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</si>
  <si>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</si>
  <si>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</si>
  <si>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</si>
  <si>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</si>
  <si>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</si>
  <si>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</si>
  <si>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</si>
  <si>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</si>
  <si>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</si>
  <si>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</si>
  <si>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</si>
  <si>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</si>
  <si>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</si>
  <si>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</si>
  <si>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</si>
  <si>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</si>
  <si>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</si>
  <si>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</si>
  <si>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</si>
  <si>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</si>
  <si>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</si>
  <si>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</si>
  <si>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</si>
  <si>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</si>
  <si>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</si>
  <si>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</si>
  <si>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</si>
  <si>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</si>
  <si>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</si>
  <si>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</si>
  <si>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</si>
  <si>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</si>
  <si>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</si>
  <si>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</si>
  <si>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</si>
  <si>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</si>
  <si>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</si>
  <si>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</si>
  <si>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</si>
  <si>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</si>
  <si>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</si>
  <si>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</si>
  <si>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</si>
  <si>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</si>
  <si>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</si>
  <si>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</si>
  <si>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</si>
  <si>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</si>
  <si>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</si>
  <si>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</si>
  <si>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</si>
  <si>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</si>
  <si>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</si>
  <si>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</si>
  <si>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</si>
  <si>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</si>
  <si>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</si>
  <si>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</si>
  <si>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</si>
  <si>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</si>
  <si>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</si>
  <si>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</si>
  <si>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</si>
  <si>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</si>
  <si>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</si>
  <si>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</si>
  <si>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</si>
  <si>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</si>
  <si>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</si>
  <si>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</si>
  <si>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</si>
  <si>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</si>
  <si>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</si>
  <si>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</si>
  <si>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</si>
  <si>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</si>
  <si>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</si>
  <si>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</si>
  <si>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</si>
  <si>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</si>
  <si>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</si>
  <si>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</si>
  <si>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</si>
  <si>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</si>
  <si>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</si>
  <si>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</si>
  <si>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</si>
  <si>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</si>
  <si>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</si>
  <si>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</si>
  <si>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</si>
  <si>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</si>
  <si>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</si>
  <si>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</si>
  <si>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</si>
  <si>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</si>
  <si>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</si>
  <si>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</si>
  <si>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</si>
  <si>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</si>
  <si>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</si>
  <si>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</si>
  <si>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</si>
  <si>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</si>
  <si>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</si>
  <si>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</si>
  <si>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</si>
  <si>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</si>
  <si>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</si>
  <si>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</si>
  <si>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</si>
  <si>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</si>
  <si>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</si>
  <si>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</si>
  <si>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</si>
  <si>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</si>
  <si>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</si>
  <si>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</si>
  <si>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</si>
  <si>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</si>
  <si>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</si>
  <si>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</si>
  <si>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</si>
  <si>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</si>
  <si>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</si>
  <si>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</si>
  <si>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</si>
  <si>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</si>
  <si>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</si>
  <si>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</si>
  <si>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</si>
  <si>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</si>
  <si>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</si>
  <si>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</si>
  <si>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</si>
  <si>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</si>
  <si>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</si>
  <si>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</si>
  <si>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</si>
  <si>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</si>
  <si>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</si>
  <si>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</si>
  <si>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</si>
  <si>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</si>
  <si>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</si>
  <si>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</si>
  <si>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</si>
  <si>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</si>
  <si>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</si>
  <si>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</si>
  <si>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</si>
  <si>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</si>
  <si>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</si>
  <si>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</si>
  <si>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</si>
  <si>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</si>
  <si>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</si>
  <si>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</si>
  <si>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</si>
  <si>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</si>
  <si>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</si>
  <si>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</si>
  <si>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</si>
  <si>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</si>
  <si>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</si>
  <si>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</si>
  <si>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</si>
  <si>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</si>
  <si>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</si>
  <si>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</si>
  <si>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</si>
  <si>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</si>
  <si>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</si>
  <si>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</si>
  <si>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</si>
  <si>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</si>
  <si>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</si>
  <si>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</si>
  <si>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</si>
  <si>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</si>
  <si>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</si>
  <si>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</si>
  <si>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</si>
  <si>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</si>
  <si>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</si>
  <si>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</si>
  <si>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</si>
  <si>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</si>
  <si>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</si>
  <si>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</si>
  <si>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</si>
  <si>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</si>
  <si>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</si>
  <si>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</si>
  <si>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</si>
  <si>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</si>
  <si>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</si>
  <si>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</si>
  <si>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</si>
  <si>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</si>
  <si>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</si>
  <si>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</si>
  <si>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</si>
  <si>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</si>
  <si>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</si>
  <si>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</si>
  <si>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</si>
  <si>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</si>
  <si>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</si>
  <si>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</si>
  <si>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</si>
  <si>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</si>
  <si>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</si>
  <si>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</si>
  <si>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</si>
  <si>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</si>
  <si>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</si>
  <si>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</si>
  <si>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</si>
  <si>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</si>
  <si>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</si>
  <si>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</si>
  <si>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</si>
  <si>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</si>
  <si>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</si>
  <si>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</si>
  <si>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</si>
  <si>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</si>
  <si>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</si>
  <si>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</si>
  <si>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</si>
  <si>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</si>
  <si>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</si>
  <si>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</si>
  <si>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</si>
  <si>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</si>
  <si>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</si>
  <si>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</si>
  <si>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</si>
  <si>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</si>
  <si>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</si>
  <si>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</si>
  <si>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</si>
  <si>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</si>
  <si>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</si>
  <si>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</si>
  <si>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</si>
  <si>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</si>
  <si>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</si>
  <si>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</si>
  <si>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</si>
  <si>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</si>
  <si>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</si>
  <si>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</si>
  <si>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</si>
  <si>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</si>
  <si>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</si>
  <si>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</si>
  <si>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</si>
  <si>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</si>
  <si>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</si>
  <si>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</si>
  <si>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</si>
  <si>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</si>
  <si>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</si>
  <si>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</si>
  <si>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</si>
  <si>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</si>
  <si>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</si>
  <si>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</si>
  <si>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</si>
  <si>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</si>
  <si>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</si>
  <si>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</si>
  <si>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</si>
  <si>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</si>
  <si>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</si>
  <si>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</si>
  <si>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</si>
  <si>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</si>
  <si>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</si>
  <si>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</si>
  <si>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</si>
  <si>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</si>
  <si>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</si>
  <si>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</si>
  <si>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</si>
  <si>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</si>
  <si>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</si>
  <si>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</si>
  <si>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</si>
  <si>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</si>
  <si>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</si>
  <si>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</si>
  <si>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</si>
  <si>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</si>
  <si>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</si>
  <si>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</si>
  <si>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</si>
  <si>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</si>
  <si>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</si>
  <si>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</si>
  <si>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</si>
  <si>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</si>
  <si>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</si>
  <si>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</si>
  <si>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</si>
  <si>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</si>
  <si>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</si>
  <si>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</si>
  <si>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</si>
  <si>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</si>
  <si>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</si>
  <si>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</si>
  <si>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</si>
  <si>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</si>
  <si>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</si>
  <si>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</si>
  <si>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</si>
  <si>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</si>
  <si>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</si>
  <si>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</si>
  <si>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</si>
  <si>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</si>
  <si>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</si>
  <si>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</si>
  <si>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</si>
  <si>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</si>
  <si>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</si>
  <si>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</si>
  <si>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</si>
  <si>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</si>
  <si>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</si>
  <si>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</si>
  <si>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</si>
  <si>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</si>
  <si>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</si>
  <si>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</si>
  <si>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</si>
  <si>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</si>
  <si>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</si>
  <si>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</si>
  <si>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</si>
  <si>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</si>
  <si>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</si>
  <si>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</si>
  <si>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</si>
  <si>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</si>
  <si>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</si>
  <si>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</si>
  <si>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</si>
  <si>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</si>
  <si>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</si>
  <si>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</si>
  <si>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</si>
  <si>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</si>
  <si>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</si>
  <si>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</si>
  <si>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</si>
  <si>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</si>
  <si>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</si>
  <si>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</si>
  <si>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</si>
  <si>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</si>
  <si>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</si>
  <si>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</si>
  <si>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</si>
  <si>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</si>
  <si>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</si>
  <si>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</si>
  <si>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</si>
  <si>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</si>
  <si>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</si>
  <si>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</si>
  <si>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</si>
  <si>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</si>
  <si>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</si>
  <si>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</si>
  <si>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</si>
  <si>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</si>
  <si>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</si>
  <si>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</si>
  <si>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</si>
  <si>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</si>
  <si>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</si>
  <si>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</si>
  <si>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</si>
  <si>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</si>
  <si>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</si>
  <si>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</si>
  <si>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</si>
  <si>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</si>
  <si>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</si>
  <si>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</si>
  <si>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</si>
  <si>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</si>
  <si>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</si>
  <si>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</si>
  <si>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</si>
  <si>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</si>
  <si>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</si>
  <si>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</si>
  <si>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</si>
  <si>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</si>
  <si>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</si>
  <si>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</si>
  <si>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</si>
  <si>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</si>
  <si>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</si>
  <si>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</si>
  <si>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</si>
  <si>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</si>
  <si>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</si>
  <si>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</si>
  <si>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</si>
  <si>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</si>
  <si>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</si>
  <si>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</si>
  <si>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</si>
  <si>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</si>
  <si>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</si>
  <si>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</si>
  <si>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</si>
  <si>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</si>
  <si>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</si>
  <si>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</si>
  <si>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</si>
  <si>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</si>
  <si>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</si>
  <si>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</si>
  <si>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</si>
  <si>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</si>
  <si>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</si>
  <si>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</si>
  <si>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</si>
  <si>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</si>
  <si>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</si>
  <si>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</si>
  <si>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</si>
  <si>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</si>
  <si>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</si>
  <si>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</si>
  <si>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</si>
  <si>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</si>
  <si>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</si>
  <si>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</si>
  <si>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</si>
  <si>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</si>
  <si>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</si>
  <si>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</si>
  <si>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</si>
  <si>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</si>
  <si>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</si>
  <si>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</si>
  <si>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</si>
  <si>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</si>
  <si>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</si>
  <si>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</si>
  <si>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</si>
  <si>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</si>
  <si>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</si>
  <si>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</si>
  <si>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</si>
  <si>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</si>
  <si>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</si>
  <si>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</si>
  <si>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</si>
  <si>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</si>
  <si>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</si>
  <si>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</si>
  <si>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</si>
  <si>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</si>
  <si>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</si>
  <si>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</si>
  <si>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</si>
  <si>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</si>
  <si>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</si>
  <si>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</si>
  <si>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</si>
  <si>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</si>
  <si>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</si>
  <si>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</si>
  <si>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</si>
  <si>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</si>
  <si>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</si>
  <si>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</si>
  <si>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</si>
  <si>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</si>
  <si>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</si>
  <si>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</si>
  <si>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</si>
  <si>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</si>
  <si>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</si>
  <si>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</si>
  <si>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</si>
  <si>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</si>
  <si>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</si>
  <si>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</si>
  <si>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</si>
  <si>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</si>
  <si>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</si>
  <si>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</si>
  <si>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</si>
  <si>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</si>
  <si>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</si>
  <si>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</si>
  <si>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</si>
  <si>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</si>
  <si>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</si>
  <si>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</si>
  <si>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</si>
  <si>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</si>
  <si>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</si>
  <si>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</si>
  <si>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</si>
  <si>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</si>
  <si>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</si>
  <si>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</si>
  <si>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</si>
  <si>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</si>
  <si>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</si>
  <si>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</si>
  <si>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</si>
  <si>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</si>
  <si>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</si>
  <si>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</si>
  <si>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</si>
  <si>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</si>
  <si>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</si>
  <si>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</si>
  <si>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</si>
  <si>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</si>
  <si>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</si>
  <si>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</si>
  <si>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</si>
  <si>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</si>
  <si>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</si>
  <si>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</si>
  <si>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</si>
  <si>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</si>
  <si>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</si>
  <si>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</si>
  <si>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</si>
  <si>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</si>
  <si>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</si>
  <si>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</si>
  <si>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</si>
  <si>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</si>
  <si>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</si>
  <si>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</si>
  <si>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</si>
  <si>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</si>
  <si>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</si>
  <si>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</si>
  <si>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</si>
  <si>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</si>
  <si>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</si>
  <si>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</si>
  <si>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</si>
  <si>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</si>
  <si>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</si>
  <si>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</si>
  <si>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</si>
  <si>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</si>
  <si>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</si>
  <si>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</si>
  <si>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</si>
  <si>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</si>
  <si>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</si>
  <si>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</si>
  <si>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</si>
  <si>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</si>
  <si>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</si>
  <si>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</si>
  <si>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</si>
  <si>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</si>
  <si>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</si>
  <si>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</si>
  <si>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</si>
  <si>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</si>
  <si>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</si>
  <si>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</si>
  <si>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</si>
  <si>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</si>
  <si>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</si>
  <si>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</si>
  <si>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</si>
  <si>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</si>
  <si>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</si>
  <si>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</si>
  <si>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</si>
  <si>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</si>
  <si>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</si>
  <si>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</si>
  <si>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</si>
  <si>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</si>
  <si>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</si>
  <si>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</si>
  <si>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</si>
  <si>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</si>
  <si>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</si>
  <si>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</si>
  <si>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</si>
  <si>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</si>
  <si>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</si>
  <si>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</si>
  <si>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</si>
  <si>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</si>
  <si>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</si>
  <si>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</si>
  <si>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</si>
  <si>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</si>
  <si>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</si>
  <si>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</si>
  <si>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</si>
  <si>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</si>
  <si>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</si>
  <si>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</si>
  <si>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</si>
  <si>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</si>
  <si>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</si>
  <si>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</si>
  <si>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</si>
  <si>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</si>
  <si>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</si>
  <si>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</si>
  <si>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</si>
  <si>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</si>
  <si>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</si>
  <si>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</si>
  <si>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</si>
  <si>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</si>
  <si>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</si>
  <si>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</si>
  <si>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</si>
  <si>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</si>
  <si>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</si>
  <si>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</si>
  <si>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</si>
  <si>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</si>
  <si>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</si>
  <si>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</si>
  <si>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</si>
  <si>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</si>
  <si>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</si>
  <si>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</si>
  <si>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</si>
  <si>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</si>
  <si>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</si>
  <si>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</si>
  <si>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</si>
  <si>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</si>
  <si>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</si>
  <si>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</si>
  <si>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</si>
  <si>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</si>
  <si>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</si>
  <si>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</si>
  <si>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</si>
  <si>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</si>
  <si>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</si>
  <si>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</si>
  <si>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</si>
  <si>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</si>
  <si>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</si>
  <si>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</si>
  <si>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</si>
  <si>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</si>
  <si>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</si>
  <si>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</si>
  <si>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</si>
  <si>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</si>
  <si>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</si>
  <si>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</si>
  <si>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</si>
  <si>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</si>
  <si>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</si>
  <si>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</si>
  <si>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</si>
  <si>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</si>
  <si>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</si>
  <si>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</si>
  <si>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</si>
  <si>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</si>
  <si>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</si>
  <si>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</si>
  <si>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</si>
  <si>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</si>
  <si>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</si>
  <si>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</si>
  <si>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</si>
  <si>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</si>
  <si>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</si>
  <si>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</si>
  <si>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</si>
  <si>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</si>
  <si>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</si>
  <si>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</si>
  <si>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</si>
  <si>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</si>
  <si>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</si>
  <si>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</si>
  <si>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</si>
  <si>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</si>
  <si>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</si>
  <si>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</si>
  <si>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</si>
  <si>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</si>
  <si>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</si>
  <si>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</si>
  <si>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</si>
  <si>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</si>
  <si>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</si>
  <si>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</si>
  <si>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</si>
  <si>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</si>
  <si>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</si>
  <si>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</si>
  <si>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</si>
  <si>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</si>
  <si>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</si>
  <si>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</si>
  <si>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</si>
  <si>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</si>
  <si>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</si>
  <si>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</si>
  <si>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</si>
  <si>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</si>
  <si>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</si>
  <si>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</si>
  <si>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</si>
  <si>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</si>
  <si>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</si>
  <si>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</si>
  <si>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</si>
  <si>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</si>
  <si>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</si>
  <si>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</si>
  <si>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</si>
  <si>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</si>
  <si>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</si>
  <si>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</si>
  <si>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</si>
  <si>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</si>
  <si>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</si>
  <si>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</si>
  <si>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</si>
  <si>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</si>
  <si>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</si>
  <si>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</si>
  <si>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</si>
  <si>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</si>
  <si>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</si>
  <si>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</si>
  <si>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</si>
  <si>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</si>
  <si>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</si>
  <si>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</si>
  <si>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</si>
  <si>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</si>
  <si>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</si>
  <si>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</si>
  <si>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</si>
  <si>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</si>
  <si>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</si>
  <si>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</si>
  <si>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</si>
  <si>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</si>
  <si>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</si>
  <si>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</si>
  <si>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</si>
  <si>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</si>
  <si>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</si>
  <si>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</si>
  <si>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</si>
  <si>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</si>
  <si>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</si>
  <si>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</si>
  <si>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</si>
  <si>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</si>
  <si>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</si>
  <si>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</si>
  <si>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</si>
  <si>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</si>
  <si>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</si>
  <si>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</si>
  <si>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</si>
  <si>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</si>
  <si>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</si>
  <si>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</si>
  <si>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</si>
  <si>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</si>
  <si>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</si>
  <si>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</si>
  <si>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</si>
  <si>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</si>
  <si>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</si>
  <si>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</si>
  <si>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</si>
  <si>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</si>
  <si>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</si>
  <si>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</si>
  <si>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</si>
  <si>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</si>
  <si>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</si>
  <si>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</si>
  <si>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</si>
  <si>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</si>
  <si>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</si>
  <si>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</si>
  <si>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</si>
  <si>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</si>
  <si>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</si>
  <si>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</si>
  <si>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</si>
  <si>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</si>
  <si>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</si>
  <si>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</si>
  <si>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</si>
  <si>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</si>
  <si>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</si>
  <si>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</si>
  <si>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</si>
  <si>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</si>
  <si>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</si>
  <si>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</si>
  <si>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</si>
  <si>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</si>
  <si>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</si>
  <si>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</si>
  <si>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</si>
  <si>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</si>
  <si>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</si>
  <si>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</si>
  <si>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</si>
  <si>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</si>
  <si>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</si>
  <si>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</si>
  <si>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</si>
  <si>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</si>
  <si>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</si>
  <si>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</si>
  <si>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</si>
  <si>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</si>
  <si>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</si>
  <si>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</si>
  <si>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</si>
  <si>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</si>
  <si>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</si>
  <si>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</si>
  <si>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</si>
  <si>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</si>
  <si>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</si>
  <si>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</si>
  <si>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</si>
  <si>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</si>
  <si>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</si>
  <si>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</si>
  <si>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</si>
  <si>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</si>
  <si>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</si>
  <si>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</si>
  <si>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</si>
  <si>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</si>
  <si>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</si>
  <si>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</si>
  <si>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</si>
  <si>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</si>
  <si>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</si>
  <si>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</si>
  <si>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</si>
  <si>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</si>
  <si>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</si>
  <si>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</si>
  <si>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</si>
  <si>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</si>
  <si>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</si>
  <si>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</si>
  <si>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</si>
  <si>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</si>
  <si>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</si>
  <si>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</si>
  <si>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</si>
  <si>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</si>
  <si>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</si>
  <si>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</si>
  <si>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</si>
  <si>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</si>
  <si>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</si>
  <si>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</si>
  <si>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</si>
  <si>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</si>
  <si>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</si>
  <si>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</si>
  <si>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</si>
  <si>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</si>
  <si>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</si>
  <si>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</si>
  <si>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</si>
  <si>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</si>
  <si>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</si>
  <si>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</si>
  <si>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</si>
  <si>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</si>
  <si>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</si>
  <si>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</si>
  <si>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</si>
  <si>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</si>
  <si>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</si>
  <si>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</si>
  <si>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</si>
  <si>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</si>
  <si>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</si>
  <si>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</si>
  <si>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</si>
  <si>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</si>
  <si>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</si>
  <si>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</si>
  <si>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</si>
  <si>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</si>
  <si>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</si>
  <si>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</si>
  <si>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</si>
  <si>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</si>
  <si>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</si>
  <si>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</si>
  <si>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</si>
  <si>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</si>
  <si>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</si>
  <si>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</si>
  <si>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</si>
  <si>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</si>
  <si>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</si>
  <si>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</si>
  <si>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</si>
  <si>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</si>
  <si>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</si>
  <si>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</si>
  <si>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</si>
  <si>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</si>
  <si>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</si>
  <si>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</si>
  <si>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</si>
  <si>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</si>
  <si>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</si>
  <si>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</si>
  <si>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</si>
  <si>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</si>
  <si>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</si>
  <si>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</si>
  <si>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</si>
  <si>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</si>
  <si>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</si>
  <si>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</si>
  <si>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</si>
  <si>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</si>
  <si>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</si>
  <si>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</si>
  <si>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</si>
  <si>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</si>
  <si>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</si>
  <si>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</si>
  <si>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</si>
  <si>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</si>
  <si>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</si>
  <si>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</si>
  <si>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</si>
  <si>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</si>
  <si>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</si>
  <si>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</si>
  <si>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</si>
  <si>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</si>
  <si>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</si>
  <si>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</si>
  <si>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</si>
  <si>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</si>
  <si>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</si>
  <si>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</si>
  <si>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</si>
  <si>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</si>
  <si>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</si>
  <si>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</si>
  <si>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</si>
  <si>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</si>
  <si>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</si>
  <si>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</si>
  <si>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</si>
  <si>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</si>
  <si>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</si>
  <si>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</si>
  <si>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</si>
  <si>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</si>
  <si>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</si>
  <si>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</si>
  <si>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</si>
  <si>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</si>
  <si>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</si>
  <si>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</si>
  <si>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</si>
  <si>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</si>
  <si>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</si>
  <si>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</si>
  <si>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</si>
  <si>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</si>
  <si>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</si>
  <si>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</si>
  <si>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</si>
  <si>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</si>
  <si>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</si>
  <si>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</si>
  <si>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</si>
  <si>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</si>
  <si>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</si>
  <si>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</si>
  <si>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</si>
  <si>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</si>
  <si>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</si>
  <si>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</si>
  <si>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</si>
  <si>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</si>
  <si>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</si>
  <si>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</si>
  <si>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</si>
  <si>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</si>
  <si>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</si>
  <si>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</si>
  <si>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</si>
  <si>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</si>
  <si>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</si>
  <si>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</si>
  <si>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</si>
  <si>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</si>
  <si>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</si>
  <si>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</si>
  <si>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</si>
  <si>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</si>
  <si>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</si>
  <si>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</si>
  <si>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</si>
  <si>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</si>
  <si>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</si>
  <si>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</si>
  <si>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</si>
  <si>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</si>
  <si>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</si>
  <si>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</si>
  <si>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</si>
  <si>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</si>
  <si>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</si>
  <si>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</si>
  <si>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</si>
  <si>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</si>
  <si>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</si>
  <si>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</si>
  <si>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</si>
  <si>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</si>
  <si>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</si>
  <si>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</si>
  <si>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</si>
  <si>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</si>
  <si>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</si>
  <si>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</si>
  <si>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</si>
  <si>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</si>
  <si>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</si>
  <si>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</si>
  <si>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</si>
  <si>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</si>
  <si>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</si>
  <si>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</si>
  <si>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</si>
  <si>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</si>
  <si>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</si>
  <si>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</si>
  <si>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</si>
  <si>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</si>
  <si>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</si>
  <si>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</si>
  <si>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</si>
  <si>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</si>
  <si>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</si>
  <si>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</si>
  <si>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</si>
  <si>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</si>
  <si>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</si>
  <si>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</si>
  <si>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</si>
  <si>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</si>
  <si>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</si>
  <si>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</si>
  <si>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</si>
  <si>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</si>
  <si>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</si>
  <si>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</si>
  <si>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</si>
  <si>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</si>
  <si>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</si>
  <si>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</si>
  <si>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</si>
  <si>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</si>
  <si>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</si>
  <si>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</si>
  <si>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</si>
  <si>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</si>
  <si>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</si>
  <si>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</si>
  <si>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</si>
  <si>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</si>
  <si>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</si>
  <si>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</si>
  <si>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</si>
  <si>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</si>
  <si>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</si>
  <si>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</si>
  <si>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</si>
  <si>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</si>
  <si>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</si>
  <si>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</si>
  <si>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</si>
  <si>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</si>
  <si>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</si>
  <si>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</si>
  <si>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</si>
  <si>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</si>
  <si>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</si>
  <si>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</si>
  <si>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</si>
  <si>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</si>
  <si>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</si>
  <si>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</si>
  <si>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</si>
  <si>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</si>
  <si>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</si>
  <si>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</si>
  <si>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</si>
  <si>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</si>
  <si>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</si>
  <si>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t>住宅用地</t>
  </si>
  <si>
    <t>综合用地(含住宅)</t>
  </si>
  <si>
    <t>地块名称</t>
  </si>
  <si>
    <t>城市</t>
  </si>
  <si>
    <t>用地性质</t>
  </si>
  <si>
    <t>建设用地面积(㎡)</t>
  </si>
  <si>
    <t>规划建筑面积(㎡)</t>
  </si>
  <si>
    <t>成交日期</t>
  </si>
  <si>
    <t>受让单位</t>
  </si>
  <si>
    <t>成交价(万元)</t>
  </si>
  <si>
    <t>成交每亩价(万元/亩)</t>
  </si>
  <si>
    <t>成交楼面价(元/㎡)</t>
  </si>
  <si>
    <t>溢价率</t>
  </si>
  <si>
    <t>欧红伟</t>
  </si>
  <si>
    <t>梁津</t>
  </si>
  <si>
    <t>抵押</t>
  </si>
  <si>
    <t>抵押价格</t>
  </si>
  <si>
    <t>市场价格</t>
  </si>
  <si>
    <t>其他：</t>
  </si>
  <si>
    <t>企业</t>
  </si>
  <si>
    <t>一致</t>
  </si>
  <si>
    <t>出让</t>
  </si>
  <si>
    <t>商业</t>
  </si>
  <si>
    <t>否</t>
  </si>
  <si>
    <t>通路</t>
  </si>
  <si>
    <t>通电</t>
  </si>
  <si>
    <t>通讯</t>
  </si>
  <si>
    <t>通上水</t>
  </si>
  <si>
    <t>通下水</t>
  </si>
  <si>
    <t>燃气</t>
  </si>
  <si>
    <t>地上</t>
  </si>
  <si>
    <t>底商</t>
  </si>
  <si>
    <t>住宅用房</t>
  </si>
  <si>
    <t>住宅用房</t>
    <phoneticPr fontId="3" type="noConversion"/>
  </si>
  <si>
    <t>商业用房</t>
  </si>
  <si>
    <t>住宅用房</t>
    <phoneticPr fontId="7" type="noConversion"/>
  </si>
  <si>
    <t>不动产收益法</t>
  </si>
  <si>
    <t>钢混</t>
  </si>
  <si>
    <t>押一</t>
  </si>
  <si>
    <r>
      <rPr>
        <sz val="11"/>
        <rFont val="仿宋_GB2312"/>
        <family val="3"/>
        <charset val="134"/>
      </rPr>
      <t>城镇住宅</t>
    </r>
    <phoneticPr fontId="3" type="noConversion"/>
  </si>
  <si>
    <t>住宅、商业</t>
    <phoneticPr fontId="3" type="noConversion"/>
  </si>
  <si>
    <t>住宅、商业、综合</t>
    <phoneticPr fontId="3" type="noConversion"/>
  </si>
  <si>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</si>
  <si>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</si>
  <si>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</si>
  <si>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</si>
  <si>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</si>
  <si>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</si>
  <si>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</si>
  <si>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</si>
  <si>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</si>
  <si>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</si>
  <si>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</si>
  <si>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</si>
  <si>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</si>
  <si>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</si>
  <si>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</si>
  <si>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</si>
  <si>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</si>
  <si>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</si>
  <si>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</si>
  <si>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</si>
  <si>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</si>
  <si>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</si>
  <si>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零星有其他用地，基本不影响本宗地</t>
  </si>
  <si>
    <t>单面临街</t>
  </si>
  <si>
    <t>估价对象所在区域公共配套设施齐备情况一般</t>
  </si>
  <si>
    <t>正常</t>
  </si>
  <si>
    <t>住宅、商业</t>
  </si>
  <si>
    <t>城镇住宅</t>
  </si>
  <si>
    <r>
      <t>70</t>
    </r>
    <r>
      <rPr>
        <sz val="11"/>
        <color indexed="8"/>
        <rFont val="宋体"/>
        <family val="3"/>
        <charset val="134"/>
      </rPr>
      <t>年、</t>
    </r>
    <r>
      <rPr>
        <sz val="11"/>
        <color indexed="8"/>
        <rFont val="Arial"/>
        <family val="2"/>
      </rPr>
      <t>40</t>
    </r>
    <r>
      <rPr>
        <sz val="11"/>
        <color indexed="8"/>
        <rFont val="宋体"/>
        <family val="3"/>
        <charset val="134"/>
      </rPr>
      <t>年</t>
    </r>
    <phoneticPr fontId="26" type="noConversion"/>
  </si>
  <si>
    <t>一般</t>
  </si>
  <si>
    <t>较好</t>
  </si>
  <si>
    <t>六通</t>
  </si>
  <si>
    <t>楼面地价</t>
  </si>
  <si>
    <t>比较法-住宅、综合</t>
  </si>
  <si>
    <t>高层</t>
  </si>
  <si>
    <t>高层</t>
    <phoneticPr fontId="21" type="noConversion"/>
  </si>
  <si>
    <t>多层</t>
    <phoneticPr fontId="21"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</si>
  <si>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</si>
  <si>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</si>
  <si>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</si>
  <si>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</si>
  <si>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无</t>
    <phoneticPr fontId="26" type="noConversion"/>
  </si>
  <si>
    <t>回购住宅</t>
    <phoneticPr fontId="26" type="noConversion"/>
  </si>
  <si>
    <t>住宅</t>
    <phoneticPr fontId="21" type="noConversion"/>
  </si>
  <si>
    <t>60-70（含）</t>
  </si>
  <si>
    <t>精装修</t>
  </si>
  <si>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</si>
  <si>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</si>
  <si>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</si>
  <si>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</si>
  <si>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</si>
  <si>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</si>
  <si>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</si>
  <si>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</si>
  <si>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</si>
  <si>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t>专业</t>
  </si>
  <si>
    <t>毛坯</t>
  </si>
  <si>
    <t>售价</t>
  </si>
  <si>
    <t>住宅用房</t>
    <phoneticPr fontId="14" type="noConversion"/>
  </si>
  <si>
    <t>剩余法-待开发</t>
  </si>
  <si>
    <t>成新度</t>
    <phoneticPr fontId="21" type="noConversion"/>
  </si>
  <si>
    <t>土地</t>
  </si>
  <si>
    <t>项目全部</t>
  </si>
  <si>
    <r>
      <t>70</t>
    </r>
    <r>
      <rPr>
        <sz val="11"/>
        <color indexed="8"/>
        <rFont val="宋体"/>
        <family val="3"/>
        <charset val="134"/>
      </rPr>
      <t>年</t>
    </r>
    <phoneticPr fontId="26" type="noConversion"/>
  </si>
  <si>
    <t>周边以住宅配套商业项目为主，商业繁华度一般</t>
    <phoneticPr fontId="26" type="noConversion"/>
  </si>
  <si>
    <t>三通一平</t>
  </si>
  <si>
    <t>区县</t>
  </si>
  <si>
    <r>
      <rPr>
        <sz val="11"/>
        <rFont val="宋体"/>
        <family val="3"/>
        <charset val="134"/>
      </rPr>
      <t>周边</t>
    </r>
    <r>
      <rPr>
        <sz val="11"/>
        <rFont val="Arial"/>
        <family val="2"/>
      </rPr>
      <t>2</t>
    </r>
    <r>
      <rPr>
        <sz val="11"/>
        <rFont val="宋体"/>
        <family val="3"/>
        <charset val="134"/>
      </rPr>
      <t>公里内区域自然环境较好</t>
    </r>
    <phoneticPr fontId="26" type="noConversion"/>
  </si>
  <si>
    <t>估价对象所在区域公共配套设施齐备情况一般</t>
    <phoneticPr fontId="26" type="noConversion"/>
  </si>
  <si>
    <t xml:space="preserve"> </t>
    <phoneticPr fontId="3" type="noConversion"/>
  </si>
  <si>
    <t>土地（套用方法）</t>
  </si>
  <si>
    <t>《可研报告》</t>
    <phoneticPr fontId="6" type="noConversion"/>
  </si>
  <si>
    <t>地下</t>
  </si>
  <si>
    <t>车库</t>
  </si>
  <si>
    <t>长沙市</t>
  </si>
  <si>
    <t>望城区</t>
  </si>
  <si>
    <t>挂牌</t>
  </si>
  <si>
    <t>≤2.2</t>
  </si>
  <si>
    <t>2017-07-03</t>
  </si>
  <si>
    <t>湖南省碧桂园地产有限公司</t>
  </si>
  <si>
    <t>2017-06-30</t>
  </si>
  <si>
    <t>≤3</t>
  </si>
  <si>
    <t>2017-06-19</t>
  </si>
  <si>
    <t>长沙玫瑰园房地产开发有限公司</t>
  </si>
  <si>
    <t>出让方式</t>
  </si>
  <si>
    <t>岳麓区</t>
  </si>
  <si>
    <t>≥1,≤2.5</t>
  </si>
  <si>
    <t>2016-04-27</t>
  </si>
  <si>
    <t>江西省正荣房地产开发有限公司</t>
  </si>
  <si>
    <t>金山桥街道</t>
    <phoneticPr fontId="233" type="noConversion"/>
  </si>
  <si>
    <t>湖南省</t>
    <phoneticPr fontId="6" type="noConversion"/>
  </si>
  <si>
    <t>商业用房</t>
    <phoneticPr fontId="3" type="noConversion"/>
  </si>
  <si>
    <t>商业用房</t>
    <phoneticPr fontId="7" type="noConversion"/>
  </si>
  <si>
    <t>长沙市望城区金山桥街道</t>
    <phoneticPr fontId="6" type="noConversion"/>
  </si>
  <si>
    <t>居住项目</t>
  </si>
  <si>
    <t>估价对象周边居住用地比例较低、周边1公里有大汉汉园等项目、综合评价居住社区成熟度较差</t>
    <phoneticPr fontId="3" type="noConversion"/>
  </si>
  <si>
    <t>估价对象周边商业氛围成熟度较差，人流量一般，，商业繁华度较差</t>
    <phoneticPr fontId="3" type="noConversion"/>
  </si>
  <si>
    <t>估价对象所在区域基础设施水平-六通</t>
    <phoneticPr fontId="3" type="noConversion"/>
  </si>
  <si>
    <r>
      <t>周边2公里内有长沙医学院、观音岩水库，</t>
    </r>
    <r>
      <rPr>
        <sz val="11"/>
        <color indexed="8"/>
        <rFont val="仿宋_GB2312"/>
        <family val="3"/>
        <charset val="134"/>
      </rPr>
      <t>区域自然环境较好</t>
    </r>
    <phoneticPr fontId="3" type="noConversion"/>
  </si>
  <si>
    <t>快速路——三环线</t>
    <phoneticPr fontId="3" type="noConversion"/>
  </si>
  <si>
    <t>较差</t>
  </si>
  <si>
    <t>快速路</t>
  </si>
  <si>
    <t>三环线</t>
    <phoneticPr fontId="26" type="noConversion"/>
  </si>
  <si>
    <t>临梅溪湖公园，区域自然环境较好</t>
    <phoneticPr fontId="26"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</si>
  <si>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</si>
  <si>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</si>
  <si>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估价对象周边1公里有357、355路等公交车经过，公共交通通达情况一般、停车便捷程度较好，综合评价交通便捷度较差</t>
    <phoneticPr fontId="3" type="noConversion"/>
  </si>
  <si>
    <t>临观音湖水库，区域自然环境较好</t>
    <phoneticPr fontId="26" type="noConversion"/>
  </si>
  <si>
    <t>新城国际花都</t>
    <phoneticPr fontId="3" type="noConversion"/>
  </si>
  <si>
    <r>
      <rPr>
        <sz val="11"/>
        <color indexed="8"/>
        <rFont val="宋体"/>
        <family val="3"/>
        <charset val="134"/>
      </rPr>
      <t>主干道</t>
    </r>
    <r>
      <rPr>
        <sz val="11"/>
        <color indexed="8"/>
        <rFont val="Arial"/>
        <family val="2"/>
      </rPr>
      <t/>
    </r>
    <phoneticPr fontId="21" type="noConversion"/>
  </si>
  <si>
    <t>雷锋大道</t>
    <phoneticPr fontId="21" type="noConversion"/>
  </si>
  <si>
    <t>普通装修</t>
  </si>
  <si>
    <t>米地亚家园</t>
    <phoneticPr fontId="3" type="noConversion"/>
  </si>
  <si>
    <t>估价对象周边居住用地比例较低、周边1公里有大汉汉园等项目、综合评价居住社区成熟度较差</t>
  </si>
  <si>
    <r>
      <rPr>
        <sz val="11"/>
        <rFont val="宋体"/>
        <family val="3"/>
        <charset val="134"/>
      </rPr>
      <t>周边</t>
    </r>
    <r>
      <rPr>
        <sz val="11"/>
        <rFont val="Arial"/>
        <family val="2"/>
      </rPr>
      <t>2</t>
    </r>
    <r>
      <rPr>
        <sz val="11"/>
        <rFont val="宋体"/>
        <family val="3"/>
        <charset val="134"/>
      </rPr>
      <t>公里内区域自然环境较一般</t>
    </r>
    <phoneticPr fontId="26" type="noConversion"/>
  </si>
  <si>
    <t>普瑞东路</t>
    <phoneticPr fontId="21" type="noConversion"/>
  </si>
  <si>
    <t>支路</t>
    <phoneticPr fontId="21" type="noConversion"/>
  </si>
  <si>
    <t>平层住宅</t>
  </si>
  <si>
    <t>主干道</t>
  </si>
  <si>
    <t>岳麓区梅浦联络线以东、秀峰路南延线以南(梅溪湖J-44地块)</t>
    <phoneticPr fontId="233" type="noConversion"/>
  </si>
  <si>
    <t>周边有卓越浅水湾、梅溪正荣府、云顶梅溪湖等多个项目，综合评价居住社区成熟度较好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</si>
  <si>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207</t>
    </r>
    <r>
      <rPr>
        <sz val="11"/>
        <rFont val="宋体"/>
        <family val="3"/>
        <charset val="134"/>
      </rPr>
      <t>、</t>
    </r>
    <r>
      <rPr>
        <sz val="11"/>
        <rFont val="Arial"/>
        <family val="2"/>
      </rPr>
      <t>211</t>
    </r>
    <r>
      <rPr>
        <sz val="11"/>
        <rFont val="宋体"/>
        <family val="3"/>
        <charset val="134"/>
      </rPr>
      <t>路等公交车经过，公共交通通达情况一般、停车便捷程度较好，综合评价交通便捷度一般</t>
    </r>
    <phoneticPr fontId="26" type="noConversion"/>
  </si>
  <si>
    <t>金山桥街道金山桥社区</t>
    <phoneticPr fontId="233" type="noConversion"/>
  </si>
  <si>
    <t>周边有米地亚家园、中粮鸿云、金山桥社区等多个项目，综合评价居住社区成熟度较好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</si>
  <si>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309</t>
    </r>
    <r>
      <rPr>
        <sz val="11"/>
        <rFont val="宋体"/>
        <family val="3"/>
        <charset val="134"/>
      </rPr>
      <t>、</t>
    </r>
    <r>
      <rPr>
        <sz val="11"/>
        <rFont val="Arial"/>
        <family val="2"/>
      </rPr>
      <t>313</t>
    </r>
    <r>
      <rPr>
        <sz val="11"/>
        <rFont val="宋体"/>
        <family val="3"/>
        <charset val="134"/>
      </rPr>
      <t>路等公交车经过，公共交通通达情况一般、停车便捷程度较好，综合评价交通便捷度一般</t>
    </r>
    <phoneticPr fontId="26" type="noConversion"/>
  </si>
  <si>
    <t>临观音湖水库，区域自然环境较好</t>
    <phoneticPr fontId="26" type="noConversion"/>
  </si>
  <si>
    <t>&amp;amp;#160;金山桥街道</t>
    <phoneticPr fontId="233" type="noConversion"/>
  </si>
  <si>
    <t>雷锋大道</t>
    <phoneticPr fontId="26" type="noConversion"/>
  </si>
  <si>
    <t>年度</t>
  </si>
  <si>
    <r>
      <t>1</t>
    </r>
    <r>
      <rPr>
        <sz val="10.5"/>
        <color rgb="FF000000"/>
        <rFont val="仿宋_GB2312"/>
        <family val="3"/>
        <charset val="134"/>
      </rPr>
      <t>季度</t>
    </r>
  </si>
  <si>
    <r>
      <t>2</t>
    </r>
    <r>
      <rPr>
        <sz val="10.5"/>
        <color rgb="FF000000"/>
        <rFont val="仿宋_GB2312"/>
        <family val="3"/>
        <charset val="134"/>
      </rPr>
      <t>季度</t>
    </r>
  </si>
  <si>
    <r>
      <t>3</t>
    </r>
    <r>
      <rPr>
        <sz val="10.5"/>
        <color rgb="FF000000"/>
        <rFont val="仿宋_GB2312"/>
        <family val="3"/>
        <charset val="134"/>
      </rPr>
      <t>季度</t>
    </r>
  </si>
  <si>
    <r>
      <t>4</t>
    </r>
    <r>
      <rPr>
        <sz val="10.5"/>
        <color rgb="FF000000"/>
        <rFont val="仿宋_GB2312"/>
        <family val="3"/>
        <charset val="134"/>
      </rPr>
      <t>季度</t>
    </r>
  </si>
  <si>
    <t>时间</t>
  </si>
  <si>
    <t>水平值</t>
  </si>
  <si>
    <t>环比增长率</t>
  </si>
  <si>
    <t>指数</t>
  </si>
  <si>
    <t>估价对象所在区域公共配套设施齐备情况较好</t>
    <phoneticPr fontId="26" type="noConversion"/>
  </si>
  <si>
    <r>
      <rPr>
        <sz val="11"/>
        <rFont val="宋体"/>
        <family val="3"/>
        <charset val="134"/>
      </rPr>
      <t>周边</t>
    </r>
    <r>
      <rPr>
        <sz val="11"/>
        <rFont val="Arial"/>
        <family val="2"/>
      </rPr>
      <t>1</t>
    </r>
    <r>
      <rPr>
        <sz val="11"/>
        <rFont val="宋体"/>
        <family val="3"/>
        <charset val="134"/>
      </rPr>
      <t>公里有</t>
    </r>
    <r>
      <rPr>
        <sz val="11"/>
        <rFont val="Arial"/>
        <family val="2"/>
      </rPr>
      <t>918</t>
    </r>
    <r>
      <rPr>
        <sz val="11"/>
        <rFont val="宋体"/>
        <family val="3"/>
        <charset val="134"/>
      </rPr>
      <t>、</t>
    </r>
    <r>
      <rPr>
        <sz val="11"/>
        <rFont val="Arial"/>
        <family val="2"/>
      </rPr>
      <t>W111</t>
    </r>
    <r>
      <rPr>
        <sz val="11"/>
        <rFont val="宋体"/>
        <family val="3"/>
        <charset val="134"/>
      </rPr>
      <t>路等公交车经过，公共交通通达情况较差、停车便捷程度较好，综合评价交通便捷度较差</t>
    </r>
    <phoneticPr fontId="26" type="noConversion"/>
  </si>
  <si>
    <r>
      <rPr>
        <sz val="11"/>
        <rFont val="宋体"/>
        <family val="3"/>
        <charset val="134"/>
      </rPr>
      <t>估价对象周边</t>
    </r>
    <r>
      <rPr>
        <sz val="11"/>
        <rFont val="Arial"/>
        <family val="2"/>
      </rPr>
      <t>1</t>
    </r>
    <r>
      <rPr>
        <sz val="11"/>
        <rFont val="宋体"/>
        <family val="3"/>
        <charset val="134"/>
      </rPr>
      <t>公里有</t>
    </r>
    <r>
      <rPr>
        <sz val="11"/>
        <rFont val="Arial"/>
        <family val="2"/>
      </rPr>
      <t>355</t>
    </r>
    <r>
      <rPr>
        <sz val="11"/>
        <rFont val="宋体"/>
        <family val="3"/>
        <charset val="134"/>
      </rPr>
      <t>、</t>
    </r>
    <r>
      <rPr>
        <sz val="11"/>
        <rFont val="Arial"/>
        <family val="2"/>
      </rPr>
      <t>401</t>
    </r>
    <r>
      <rPr>
        <sz val="11"/>
        <rFont val="宋体"/>
        <family val="3"/>
        <charset val="134"/>
      </rPr>
      <t>路等公交车经过，公共交通通达情况一般、停车便捷程度较好，综合评价交通便捷度较差</t>
    </r>
    <phoneticPr fontId="21" type="noConversion"/>
  </si>
  <si>
    <t>周边有米地亚家园、中粮鸿云、金山桥社区等多个项目，综合评价居住社区成熟度较好</t>
    <phoneticPr fontId="21" type="noConversion"/>
  </si>
  <si>
    <t>润和紫郡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</si>
</sst>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
      <sz val="10.5"/>
      <color rgb="FF000000"/>
      <name val="仿宋_GB2312"/>
      <family val="3"/>
      <charset val="134"/>
    </font>
    <font>
      <sz val="10.5"/>
      <color rgb="FF000000"/>
      <name val="Arial"/>
      <family val="2"/>
    </font>
    <font>
      <sz val="9"/>
      <color rgb="FF313131"/>
      <name val="微软雅黑"/>
      <family val="2"/>
      <charset val="134"/>
    </font>
    <font>
      <sz val="9"/>
      <color rgb="FF2E2E2E"/>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EAE8E8"/>
        <bgColor indexed="64"/>
      </patternFill>
    </fill>
    <fill>
      <patternFill patternType="solid">
        <fgColor rgb="FFF1F1F1"/>
        <bgColor indexed="64"/>
      </patternFill>
    </fill>
  </fills>
  <borders count="15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right/>
      <top/>
      <bottom style="medium">
        <color rgb="FFC5C5C5"/>
      </bottom>
      <diagonal/>
    </border>
    <border>
      <left style="medium">
        <color rgb="FFC5C5C5"/>
      </left>
      <right/>
      <top/>
      <bottom style="medium">
        <color rgb="FFC5C5C5"/>
      </bottom>
      <diagonal/>
    </border>
    <border>
      <left style="medium">
        <color rgb="FFD5D5D5"/>
      </left>
      <right/>
      <top/>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9" fontId="278" fillId="0" borderId="0" applyFont="0" applyFill="0" applyBorder="0" applyAlignment="0" applyProtection="0">
      <alignment vertical="center"/>
    </xf>
    <xf numFmtId="0" fontId="86" fillId="0" borderId="0"/>
  </cellStyleXfs>
  <cellXfs count="349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8" fillId="0" borderId="12" xfId="0" applyFont="1" applyBorder="1" applyAlignment="1" applyProtection="1">
      <alignment horizontal="center" vertical="center" wrapText="1"/>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0" fillId="9" borderId="0" xfId="0" applyFill="1" applyAlignment="1"/>
    <xf numFmtId="180" fontId="71" fillId="0" borderId="2" xfId="0" applyNumberFormat="1" applyFont="1" applyBorder="1" applyAlignment="1" applyProtection="1">
      <alignment horizontal="center" vertical="center"/>
      <protection locked="0"/>
    </xf>
    <xf numFmtId="0" fontId="58" fillId="0" borderId="6"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52" fillId="0" borderId="7" xfId="0" applyNumberFormat="1" applyFont="1" applyFill="1" applyBorder="1" applyAlignment="1" applyProtection="1">
      <alignment horizontal="center" vertical="center" wrapText="1"/>
      <protection locked="0"/>
    </xf>
    <xf numFmtId="49" fontId="160" fillId="0" borderId="12" xfId="0" applyNumberFormat="1" applyFont="1" applyFill="1" applyBorder="1" applyAlignment="1" applyProtection="1">
      <alignment horizontal="center" vertical="center" wrapText="1"/>
      <protection locked="0"/>
    </xf>
    <xf numFmtId="0" fontId="52" fillId="0" borderId="1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0" fillId="6" borderId="0" xfId="0" applyFill="1" applyAlignment="1"/>
    <xf numFmtId="0" fontId="81"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153" fillId="6" borderId="12" xfId="0" applyFont="1" applyFill="1" applyBorder="1" applyAlignment="1" applyProtection="1">
      <alignment horizontal="center" vertical="center"/>
      <protection locked="0"/>
    </xf>
    <xf numFmtId="9" fontId="11" fillId="0" borderId="2" xfId="0" applyNumberFormat="1" applyFont="1" applyBorder="1" applyAlignment="1" applyProtection="1">
      <alignment horizontal="center" vertical="center" wrapText="1"/>
      <protection locked="0"/>
    </xf>
    <xf numFmtId="0" fontId="158" fillId="0" borderId="7" xfId="2" applyNumberFormat="1" applyFont="1" applyFill="1" applyBorder="1" applyAlignment="1" applyProtection="1">
      <alignment horizontal="center" vertical="center"/>
      <protection locked="0"/>
    </xf>
    <xf numFmtId="0" fontId="158" fillId="0" borderId="12" xfId="2" applyNumberFormat="1" applyFont="1" applyFill="1" applyBorder="1" applyAlignment="1" applyProtection="1">
      <alignment horizontal="center" vertical="center"/>
      <protection locked="0"/>
    </xf>
    <xf numFmtId="10" fontId="76" fillId="5" borderId="0" xfId="15" applyNumberFormat="1" applyFont="1" applyFill="1" applyProtection="1">
      <alignment vertical="center"/>
      <protection locked="0"/>
    </xf>
    <xf numFmtId="0" fontId="81" fillId="0" borderId="64" xfId="0" applyNumberFormat="1" applyFont="1" applyFill="1" applyBorder="1" applyAlignment="1" applyProtection="1">
      <alignment horizontal="center" vertical="center" wrapText="1"/>
      <protection locked="0"/>
    </xf>
    <xf numFmtId="0" fontId="145" fillId="9" borderId="0" xfId="0" applyFont="1" applyFill="1" applyAlignment="1"/>
    <xf numFmtId="0" fontId="144" fillId="0" borderId="64"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6" borderId="0" xfId="0" applyFont="1" applyFill="1" applyAlignment="1"/>
    <xf numFmtId="0" fontId="279" fillId="13" borderId="82" xfId="0" applyFont="1" applyFill="1" applyBorder="1" applyAlignment="1">
      <alignment horizontal="center" vertical="center"/>
    </xf>
    <xf numFmtId="0" fontId="280" fillId="13" borderId="38" xfId="0" applyFont="1" applyFill="1" applyBorder="1" applyAlignment="1">
      <alignment horizontal="center" vertical="center"/>
    </xf>
    <xf numFmtId="0" fontId="280" fillId="13" borderId="80" xfId="0" applyFont="1" applyFill="1" applyBorder="1" applyAlignment="1">
      <alignment horizontal="center" vertical="center"/>
    </xf>
    <xf numFmtId="0" fontId="281" fillId="16" borderId="152" xfId="0" applyFont="1" applyFill="1" applyBorder="1" applyAlignment="1">
      <alignment horizontal="center"/>
    </xf>
    <xf numFmtId="0" fontId="281" fillId="16" borderId="153" xfId="0" applyFont="1" applyFill="1" applyBorder="1" applyAlignment="1">
      <alignment horizontal="center"/>
    </xf>
    <xf numFmtId="0" fontId="282" fillId="0" borderId="0" xfId="0" applyFont="1" applyAlignment="1">
      <alignment horizontal="left" vertical="center" wrapText="1"/>
    </xf>
    <xf numFmtId="0" fontId="282" fillId="0" borderId="154" xfId="0" applyFont="1" applyBorder="1" applyAlignment="1">
      <alignment horizontal="right" vertical="center" wrapText="1"/>
    </xf>
    <xf numFmtId="0" fontId="282" fillId="17" borderId="0" xfId="0" applyFont="1" applyFill="1" applyAlignment="1">
      <alignment horizontal="left" vertical="center" wrapText="1"/>
    </xf>
    <xf numFmtId="0" fontId="282" fillId="17" borderId="154" xfId="0" applyFont="1" applyFill="1" applyBorder="1" applyAlignment="1">
      <alignment horizontal="right" vertical="center" wrapText="1"/>
    </xf>
    <xf numFmtId="0" fontId="280" fillId="13" borderId="66" xfId="0" applyNumberFormat="1" applyFont="1" applyFill="1" applyBorder="1" applyAlignment="1">
      <alignment horizontal="center" vertical="center" wrapText="1"/>
    </xf>
    <xf numFmtId="0" fontId="280" fillId="13" borderId="66" xfId="0" applyNumberFormat="1" applyFont="1" applyFill="1" applyBorder="1" applyAlignment="1">
      <alignment horizontal="center" vertical="center"/>
    </xf>
  </cellXfs>
  <cellStyles count="17">
    <cellStyle name="百分比" xfId="15"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6"/>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2661</v>
      </c>
      <c r="B1" s="2917" t="s">
        <v>2758</v>
      </c>
    </row>
    <row r="2" spans="1:55" s="2921" customFormat="1" ht="15" thickTop="1">
      <c r="A2" s="2919" t="s">
        <v>2665</v>
      </c>
      <c r="B2" s="2920" t="str">
        <f>'预评函-封皮'!B37</f>
        <v>湖南省长沙市望城区金山桥街道出让国有建设用地使用权市场价格预评估</v>
      </c>
      <c r="AX2" s="2922"/>
      <c r="AZ2" s="2922"/>
      <c r="BA2" s="2923"/>
      <c r="BC2" s="2923"/>
    </row>
    <row r="3" spans="1:55" s="2924" customFormat="1">
      <c r="A3" s="2903" t="s">
        <v>2666</v>
      </c>
      <c r="B3" s="2906">
        <f>'预评函-封皮'!B40</f>
        <v>0</v>
      </c>
    </row>
    <row r="4" spans="1:55" s="2905" customFormat="1">
      <c r="A4" s="2903" t="s">
        <v>2667</v>
      </c>
      <c r="B4" s="2904" t="str">
        <f>'预评函-封皮'!B46</f>
        <v>欧红伟、梁津</v>
      </c>
      <c r="N4" s="2905" t="str">
        <f>'预评函-1'!A28</f>
        <v>——</v>
      </c>
    </row>
    <row r="5" spans="1:55" s="2918" customFormat="1" ht="15" thickBot="1">
      <c r="A5" s="2925" t="s">
        <v>2668</v>
      </c>
      <c r="B5" s="2926" t="str">
        <f>'预评函-封皮'!B49</f>
        <v>康正预评字号</v>
      </c>
    </row>
    <row r="6" spans="1:55" s="2927" customFormat="1" ht="15" thickTop="1">
      <c r="A6" s="2919" t="s">
        <v>2710</v>
      </c>
      <c r="B6" s="2920" t="str">
        <f>'预评函-1'!A4</f>
        <v>受贵公司委托，我公司对湖南省长沙市望城区金山桥街道出让国有建设用地使用权市场价格进行了预评估。</v>
      </c>
      <c r="AM6" s="2928"/>
    </row>
    <row r="7" spans="1:55" s="2902" customFormat="1">
      <c r="A7" s="2903" t="s">
        <v>2662</v>
      </c>
      <c r="B7" s="2904" t="str">
        <f>'预评函-1'!A6</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8" spans="1:55" s="2902" customFormat="1">
      <c r="A8" s="2903" t="s">
        <v>2663</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2713</v>
      </c>
      <c r="B9" s="2904" t="str">
        <f>'预评函-1'!A9</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902" customFormat="1">
      <c r="A10" s="2903" t="s">
        <v>2664</v>
      </c>
      <c r="B10" s="2904" t="str">
        <f>'预评函-1'!A11</f>
        <v>2017年12月14日（评估专业人员勘察现场之日）</v>
      </c>
    </row>
    <row r="11" spans="1:55" s="2902" customFormat="1">
      <c r="A11" s="2903" t="s">
        <v>2670</v>
      </c>
      <c r="B11" s="2904" t="str">
        <f>'预评函-1'!A14</f>
        <v>根据《可研报告》，本次评估估价对象证载（地类）用途为。</v>
      </c>
    </row>
    <row r="12" spans="1:55" s="2902" customFormat="1">
      <c r="A12" s="2903" t="s">
        <v>2671</v>
      </c>
      <c r="B12" s="2904" t="str">
        <f>'预评函-1'!A15</f>
        <v>本次评估设定用途即为证载用途。</v>
      </c>
    </row>
    <row r="13" spans="1:55" s="2902" customFormat="1">
      <c r="A13" s="2903" t="s">
        <v>2672</v>
      </c>
      <c r="B13" s="2904" t="str">
        <f>'预评函-1'!A17</f>
        <v>根据委托估价方介绍及评估专业人员现场勘查，本次评估估价对象实际土地开发程度为红线外市政基础设施达“七通”（即通路、通电、通讯、通上水、通下水、燃气、）、宗地红线内场地平整。</v>
      </c>
    </row>
    <row r="14" spans="1:55" s="2902" customFormat="1">
      <c r="A14" s="2903" t="s">
        <v>2673</v>
      </c>
      <c r="B14" s="2904" t="str">
        <f>'预评函-1'!A18</f>
        <v>。本次评估设定土地开发程度为红线外市政基础设施达“七通”、宗地红线内场地平整。</v>
      </c>
    </row>
    <row r="15" spans="1:55" s="2902" customFormat="1">
      <c r="A15" s="2903" t="s">
        <v>2669</v>
      </c>
      <c r="B15" s="2904" t="str">
        <f>'预评函-1'!A20</f>
        <v>根据《国有土地使用证》[]，估价对象（分摊）出让国有建设用地使用权面积为105421.08平方米。根据《建设工程规划许可证》[]、《出让合同》[]，估价对象规划建筑面积为231926.37平方米。</v>
      </c>
    </row>
    <row r="16" spans="1:55" s="2902" customFormat="1">
      <c r="A16" s="2903" t="s">
        <v>2674</v>
      </c>
      <c r="B16" s="2904" t="str">
        <f>'预评函-1'!A22</f>
        <v>本次估价对象为出让国有建设用地使用权，《可研报告》证载土地终止日期为住宅2087年8月7日、商业2057年8月7日。截至估价期日，出让国有建设用地使用权剩余土地使用年限为。</v>
      </c>
    </row>
    <row r="17" spans="1:48" s="2902" customFormat="1">
      <c r="A17" s="2903" t="s">
        <v>2675</v>
      </c>
      <c r="B17" s="2904" t="str">
        <f>'预评函-1'!A23</f>
        <v>本次评估设定估价对象剩余土地使用年限为。</v>
      </c>
    </row>
    <row r="18" spans="1:48" s="2902" customFormat="1">
      <c r="A18" s="2903" t="s">
        <v>2676</v>
      </c>
      <c r="B18" s="2904" t="str">
        <f>'预评函-1'!A25</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19" spans="1:48" s="2902" customFormat="1">
      <c r="A19" s="2903" t="s">
        <v>2677</v>
      </c>
      <c r="B19" s="2904" t="str">
        <f>'预评函-1'!A26</f>
        <v>——</v>
      </c>
    </row>
    <row r="20" spans="1:48" s="2902" customFormat="1">
      <c r="A20" s="2903" t="s">
        <v>2678</v>
      </c>
      <c r="B20" s="2904" t="str">
        <f>'预评函-1'!A27</f>
        <v>——</v>
      </c>
    </row>
    <row r="21" spans="1:48" s="2918" customFormat="1" ht="15" thickBot="1">
      <c r="A21" s="2925" t="s">
        <v>2679</v>
      </c>
      <c r="B21" s="2926" t="str">
        <f>'预评函-1'!A28</f>
        <v>——</v>
      </c>
    </row>
    <row r="22" spans="1:48" ht="15" thickTop="1">
      <c r="A22" s="2914" t="s">
        <v>2680</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2681</v>
      </c>
      <c r="B23" s="2904" t="str">
        <f>'预评函-2'!K2</f>
        <v>估价期日：2017年12月14日</v>
      </c>
    </row>
    <row r="24" spans="1:48">
      <c r="A24" s="2903" t="s">
        <v>2682</v>
      </c>
      <c r="B24" s="2904" t="str">
        <f>'预评函-2'!R2</f>
        <v>估价期日的国有建设用地使用权性质：出让</v>
      </c>
    </row>
    <row r="25" spans="1:48">
      <c r="A25" s="2903" t="s">
        <v>2738</v>
      </c>
      <c r="B25" s="2904" t="str">
        <f>'预评函-2'!A3</f>
        <v>估价期日土地使用者</v>
      </c>
    </row>
    <row r="26" spans="1:48">
      <c r="A26" s="2903" t="s">
        <v>2714</v>
      </c>
      <c r="B26" s="2904" t="str">
        <f>'预评函-2'!A5</f>
        <v>中信开发</v>
      </c>
    </row>
    <row r="27" spans="1:48">
      <c r="A27" s="2903" t="s">
        <v>2739</v>
      </c>
      <c r="B27" s="2904" t="str">
        <f>'预评函-2'!B3</f>
        <v>宗地编号/不动产单元号</v>
      </c>
    </row>
    <row r="28" spans="1:48">
      <c r="A28" s="2903" t="s">
        <v>2715</v>
      </c>
      <c r="B28" s="2904" t="str">
        <f>'预评函-2'!B5</f>
        <v>11111111111</v>
      </c>
    </row>
    <row r="29" spans="1:48">
      <c r="A29" s="2903" t="s">
        <v>2741</v>
      </c>
      <c r="B29" s="2904">
        <f>'预评函-2'!C5</f>
        <v>22</v>
      </c>
    </row>
    <row r="30" spans="1:48">
      <c r="A30" s="2903" t="s">
        <v>2742</v>
      </c>
      <c r="B30" s="2904" t="str">
        <f>'预评函-2'!D3</f>
        <v>土地使用证编号/不动产权证书编号</v>
      </c>
    </row>
    <row r="31" spans="1:48">
      <c r="A31" s="2903" t="s">
        <v>2716</v>
      </c>
      <c r="B31" s="2904" t="str">
        <f>'预评函-2'!D5</f>
        <v>京国土字第111号</v>
      </c>
    </row>
    <row r="32" spans="1:48">
      <c r="A32" s="2903" t="s">
        <v>2717</v>
      </c>
      <c r="B32" s="2904">
        <f>'预评函-2'!E5</f>
        <v>0</v>
      </c>
      <c r="AV32" s="2908"/>
    </row>
    <row r="33" spans="1:2">
      <c r="A33" s="2903" t="s">
        <v>2718</v>
      </c>
      <c r="B33" s="2904">
        <f>'预评函-2'!F5</f>
        <v>258</v>
      </c>
    </row>
    <row r="34" spans="1:2">
      <c r="A34" s="2903" t="s">
        <v>2719</v>
      </c>
      <c r="B34" s="2904">
        <f>'预评函-2'!G5</f>
        <v>0</v>
      </c>
    </row>
    <row r="35" spans="1:2">
      <c r="A35" s="2903" t="s">
        <v>2720</v>
      </c>
      <c r="B35" s="2904">
        <f>'预评函-2'!H5</f>
        <v>1.5</v>
      </c>
    </row>
    <row r="36" spans="1:2">
      <c r="A36" s="2903" t="s">
        <v>2721</v>
      </c>
      <c r="B36" s="2904">
        <f>'预评函-2'!I5</f>
        <v>1.5</v>
      </c>
    </row>
    <row r="37" spans="1:2">
      <c r="A37" s="2903" t="s">
        <v>2722</v>
      </c>
      <c r="B37" s="2904">
        <f>'预评函-2'!J5</f>
        <v>1.5</v>
      </c>
    </row>
    <row r="38" spans="1:2">
      <c r="A38" s="2903" t="s">
        <v>2723</v>
      </c>
      <c r="B38" s="2904" t="str">
        <f>'预评函-2'!K5</f>
        <v>红线外七通、宗地红线内</v>
      </c>
    </row>
    <row r="39" spans="1:2">
      <c r="A39" s="2903" t="s">
        <v>2724</v>
      </c>
      <c r="B39" s="2904" t="str">
        <f>'预评函-2'!L5</f>
        <v>红线外七通、宗地红线内场地</v>
      </c>
    </row>
    <row r="40" spans="1:2">
      <c r="A40" s="2903" t="s">
        <v>2743</v>
      </c>
      <c r="B40" s="2904" t="str">
        <f>'预评函-2'!M3</f>
        <v>（剩余）土地使用年限/年</v>
      </c>
    </row>
    <row r="41" spans="1:2">
      <c r="A41" s="2903" t="s">
        <v>2725</v>
      </c>
      <c r="B41" s="2904">
        <f>'预评函-2'!M5</f>
        <v>0</v>
      </c>
    </row>
    <row r="42" spans="1:2">
      <c r="A42" s="2903" t="s">
        <v>2744</v>
      </c>
      <c r="B42" s="2904" t="str">
        <f>'预评函-2'!N3</f>
        <v>（分摊）出让国有建设用地使用权面积/㎡</v>
      </c>
    </row>
    <row r="43" spans="1:2">
      <c r="A43" s="2903" t="s">
        <v>2726</v>
      </c>
      <c r="B43" s="2904">
        <f>'预评函-2'!N5</f>
        <v>105421.08</v>
      </c>
    </row>
    <row r="44" spans="1:2">
      <c r="A44" s="2903" t="s">
        <v>2745</v>
      </c>
      <c r="B44" s="2904" t="str">
        <f>'预评函-2'!O3</f>
        <v>规划建筑面积/㎡</v>
      </c>
    </row>
    <row r="45" spans="1:2">
      <c r="A45" s="2903" t="s">
        <v>2727</v>
      </c>
      <c r="B45" s="2904">
        <f>'预评函-2'!O5</f>
        <v>231926.37</v>
      </c>
    </row>
    <row r="46" spans="1:2">
      <c r="A46" s="2903" t="s">
        <v>2728</v>
      </c>
      <c r="B46" s="2904">
        <f ca="1">'预评函-2'!P5</f>
        <v>8787</v>
      </c>
    </row>
    <row r="47" spans="1:2">
      <c r="A47" s="2903" t="s">
        <v>2729</v>
      </c>
      <c r="B47" s="2904">
        <f ca="1">'预评函-2'!Q5</f>
        <v>3994</v>
      </c>
    </row>
    <row r="48" spans="1:2">
      <c r="A48" s="2903" t="s">
        <v>2730</v>
      </c>
      <c r="B48" s="2904">
        <f ca="1">'预评函-2'!R5</f>
        <v>92631</v>
      </c>
    </row>
    <row r="49" spans="1:2">
      <c r="A49" s="2903" t="s">
        <v>2746</v>
      </c>
      <c r="B49" s="2904" t="str">
        <f>'预评函-2'!A6</f>
        <v>——</v>
      </c>
    </row>
    <row r="50" spans="1:2">
      <c r="A50" s="2903" t="s">
        <v>2731</v>
      </c>
      <c r="B50" s="2904">
        <f ca="1">'预评函-2'!R6</f>
        <v>92631</v>
      </c>
    </row>
    <row r="51" spans="1:2">
      <c r="A51" s="2903" t="s">
        <v>2747</v>
      </c>
      <c r="B51" s="2904" t="str">
        <f>'预评函-2'!A7</f>
        <v>——</v>
      </c>
    </row>
    <row r="52" spans="1:2">
      <c r="A52" s="2903" t="s">
        <v>2732</v>
      </c>
      <c r="B52" s="2904" t="str">
        <f>'预评函-2'!R7</f>
        <v>——</v>
      </c>
    </row>
    <row r="53" spans="1:2">
      <c r="A53" s="2903" t="s">
        <v>2748</v>
      </c>
      <c r="B53" s="2904" t="str">
        <f>'预评函-2'!A8</f>
        <v>——</v>
      </c>
    </row>
    <row r="54" spans="1:2" s="2918" customFormat="1" ht="15" thickBot="1">
      <c r="A54" s="2925" t="s">
        <v>2733</v>
      </c>
      <c r="B54" s="2926" t="str">
        <f>'预评函-2'!R8</f>
        <v>——</v>
      </c>
    </row>
    <row r="55" spans="1:2" ht="15" thickTop="1">
      <c r="A55" s="2914" t="s">
        <v>2683</v>
      </c>
      <c r="B55" s="2915" t="str">
        <f>'预评函-3'!A2</f>
        <v>1.权利限制：根据估价对象《不动产权证书》——、《国有土地使用权》——，截至估价期日，估价对象抵押权未见登记。未设定租赁等其他他项权利。</v>
      </c>
    </row>
    <row r="56" spans="1:2">
      <c r="A56" s="2903" t="s">
        <v>2684</v>
      </c>
      <c r="B56" s="2904" t="str">
        <f>'预评函-3'!A3</f>
        <v>2.基础设施条件：估价对象实际开发程度为红线外七通、宗地红线内；本次评估设定开发程度为红线外七通、宗地红线内场地。</v>
      </c>
    </row>
    <row r="57" spans="1:2">
      <c r="A57" s="2903" t="s">
        <v>2685</v>
      </c>
      <c r="B57" s="2904" t="str">
        <f>'预评函-3'!A4</f>
        <v>3.估价规划限制条件：详见《建设工程规划许可证》[]、《出让合同》[]。</v>
      </c>
    </row>
    <row r="58" spans="1:2" s="2918" customFormat="1" ht="15" thickBot="1">
      <c r="A58" s="2925" t="s">
        <v>2734</v>
      </c>
      <c r="B58" s="2926" t="str">
        <f>'预评函-3'!A5</f>
        <v>4.影响价格的其他限定条件：无。</v>
      </c>
    </row>
    <row r="59" spans="1:2" ht="15" thickTop="1">
      <c r="A59" s="2914" t="s">
        <v>2686</v>
      </c>
      <c r="B59" s="2915" t="str">
        <f>'预评函-3'!A8</f>
        <v>2.本《评估意见函》仅供金融机构进行内部审核使用，不做其他目的之用。</v>
      </c>
    </row>
    <row r="60" spans="1:2">
      <c r="A60" s="2903" t="s">
        <v>2687</v>
      </c>
      <c r="B60" s="2904" t="str">
        <f>'预评函-3'!A9</f>
        <v>3.抵押双方在办理抵押登记手续时，应使用本公司出具的正式《土地估价报告》，特提请报告使用者注意。</v>
      </c>
    </row>
    <row r="61" spans="1:2">
      <c r="A61" s="2903" t="s">
        <v>2689</v>
      </c>
      <c r="B61" s="2904" t="str">
        <f>'预评函-3'!A10</f>
        <v>4.估价师所知悉的法定优先受偿款情况为：</v>
      </c>
    </row>
    <row r="62" spans="1:2">
      <c r="A62" s="2903" t="s">
        <v>2688</v>
      </c>
      <c r="B62" s="2904" t="str">
        <f>'预评函-3'!A11</f>
        <v>（1）根据估价对象《不动产权证书》——、《国有土地使用权》——，截至估价期日，估价对象抵押权未见登记。</v>
      </c>
    </row>
    <row r="63" spans="1:2">
      <c r="A63" s="2903" t="s">
        <v>2690</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2691</v>
      </c>
      <c r="B64" s="2909" t="str">
        <f>'预评函-3'!A13</f>
        <v>（3）。</v>
      </c>
    </row>
    <row r="65" spans="1:2">
      <c r="A65" s="2903" t="s">
        <v>2692</v>
      </c>
      <c r="B65" s="2910" t="str">
        <f>'预评函-3'!A14</f>
        <v>综上，本次评估不存在估价师知悉的法定优先受偿款</v>
      </c>
    </row>
    <row r="66" spans="1:2">
      <c r="A66" s="2903" t="s">
        <v>2693</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2694</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2697</v>
      </c>
      <c r="B68" s="2929">
        <f>'预评函-3'!D30</f>
        <v>42558</v>
      </c>
    </row>
    <row r="69" spans="1:2" ht="15" thickTop="1">
      <c r="A69" s="2914" t="s">
        <v>2695</v>
      </c>
      <c r="B69" s="2915" t="str">
        <f>'预评函-3'!A20</f>
        <v>欧红伟</v>
      </c>
    </row>
    <row r="70" spans="1:2">
      <c r="A70" s="2903" t="s">
        <v>2695</v>
      </c>
      <c r="B70" s="2910">
        <f ca="1">'预评函-3'!B20</f>
        <v>2000110082</v>
      </c>
    </row>
    <row r="71" spans="1:2">
      <c r="A71" s="2903" t="s">
        <v>2696</v>
      </c>
      <c r="B71" s="2904" t="str">
        <f>'预评函-3'!A21</f>
        <v>梁津</v>
      </c>
    </row>
    <row r="72" spans="1:2" s="2918" customFormat="1" ht="15" thickBot="1">
      <c r="A72" s="2925" t="s">
        <v>2696</v>
      </c>
      <c r="B72" s="2931">
        <f ca="1">'预评函-3'!B21</f>
        <v>96010014</v>
      </c>
    </row>
    <row r="73" spans="1:2" ht="15" thickTop="1">
      <c r="A73" s="2914" t="s">
        <v>2755</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2756</v>
      </c>
      <c r="B74" s="2911" t="str">
        <f>'预评函-1 (储备)'!A18</f>
        <v>由于本次评估估价目的是评估储备国有建设用地使用权的“抵押价格”，因此本次评估设定土地开发程度为红线外市政基础设施达“七通”、宗地红线内场地平整。</v>
      </c>
    </row>
    <row r="75" spans="1:2" s="2918" customFormat="1" ht="15" thickBot="1">
      <c r="A75" s="2925" t="s">
        <v>2757</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2792</v>
      </c>
      <c r="B76" s="291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89" customWidth="1"/>
    <col min="2" max="2" width="11.375" style="1689" customWidth="1"/>
    <col min="3" max="3" width="12.625" style="1689" customWidth="1"/>
    <col min="4" max="4" width="12"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17" t="str">
        <f>IF(B10="北京市","北京市",C10)&amp;F10&amp;B16&amp;"国有建设用地使用权"&amp;B9&amp;"预评估"</f>
        <v>湖南省长沙市望城区金山桥街道出让国有建设用地使用权市场价格预评估</v>
      </c>
      <c r="C1" s="3218"/>
      <c r="D1" s="3218"/>
      <c r="E1" s="3218"/>
      <c r="F1" s="3218"/>
      <c r="G1" s="3218"/>
      <c r="H1" s="3218"/>
      <c r="I1" s="3219"/>
      <c r="J1" s="1692"/>
      <c r="K1" s="2478" t="str">
        <f>IF(B10="北京市","北京市",C10)&amp;F10&amp;B16&amp;"国有建设用地使用权"&amp;B9</f>
        <v>湖南省长沙市望城区金山桥街道出让国有建设用地使用权市场价格</v>
      </c>
      <c r="L1" s="1721"/>
      <c r="M1" s="1721"/>
      <c r="N1" s="1692"/>
      <c r="O1" s="1693"/>
      <c r="P1" s="1692"/>
      <c r="Q1" s="1692"/>
      <c r="R1" s="1692"/>
      <c r="S1" s="1692"/>
      <c r="T1" s="1692"/>
      <c r="U1" s="1692"/>
    </row>
    <row r="2" spans="1:21">
      <c r="A2" s="1658" t="s">
        <v>1940</v>
      </c>
      <c r="B2" s="1840"/>
      <c r="D2" s="1692"/>
      <c r="E2" s="1692"/>
      <c r="F2" s="1692"/>
      <c r="G2" s="1692"/>
      <c r="H2" s="1658"/>
      <c r="I2" s="1693"/>
      <c r="J2" s="1692"/>
      <c r="K2" s="2478" t="str">
        <f>IF(B10="北京市","北京市",C10)&amp;F10&amp;B16&amp;"国有建设用地使用权"</f>
        <v>湖南省长沙市望城区金山桥街道出让国有建设用地使用权</v>
      </c>
      <c r="L2" s="1721"/>
      <c r="M2" s="1721"/>
      <c r="N2" s="1692"/>
      <c r="O2" s="1693"/>
      <c r="P2" s="1692"/>
      <c r="Q2" s="1692"/>
      <c r="R2" s="1692"/>
      <c r="S2" s="1692"/>
      <c r="T2" s="1692"/>
      <c r="U2" s="1692"/>
    </row>
    <row r="3" spans="1:21">
      <c r="A3" s="1659" t="s">
        <v>1941</v>
      </c>
      <c r="B3" s="1660">
        <v>43083</v>
      </c>
      <c r="C3" s="1661" t="s">
        <v>1996</v>
      </c>
      <c r="D3" s="1660">
        <f>B3</f>
        <v>43083</v>
      </c>
      <c r="E3" s="1692"/>
      <c r="F3" s="1692"/>
      <c r="G3" s="1692"/>
      <c r="H3" s="1658"/>
      <c r="I3" s="1693"/>
      <c r="J3" s="1692"/>
      <c r="K3" s="1772"/>
      <c r="L3" s="1721"/>
      <c r="M3" s="1721"/>
      <c r="N3" s="1692"/>
      <c r="O3" s="1693"/>
      <c r="P3" s="1692"/>
      <c r="Q3" s="1692"/>
      <c r="R3" s="1692"/>
      <c r="S3" s="1692"/>
      <c r="T3" s="1692"/>
      <c r="U3" s="1692"/>
    </row>
    <row r="4" spans="1:21" ht="15" thickBot="1">
      <c r="A4" s="1662" t="s">
        <v>1942</v>
      </c>
      <c r="B4" s="1841" t="s">
        <v>2985</v>
      </c>
      <c r="C4" s="1844">
        <f ca="1">SUMIF(土地估价师,B4,估价师及机构信息!E3:E24)</f>
        <v>2000110082</v>
      </c>
      <c r="D4" s="1841" t="s">
        <v>2986</v>
      </c>
      <c r="E4" s="1844">
        <f ca="1">SUMIF(土地估价师,D4,估价师及机构信息!E3:E24)</f>
        <v>96010014</v>
      </c>
      <c r="F4" s="1841" t="s">
        <v>951</v>
      </c>
      <c r="G4" s="1844">
        <f>SUMIF(土地估价师,F4,估价师及机构信息!E3:E24)</f>
        <v>0</v>
      </c>
      <c r="H4" s="1841" t="s">
        <v>951</v>
      </c>
      <c r="I4" s="1844">
        <f>SUMIF(土地估价师,H4,估价师及机构信息!E3:E24)</f>
        <v>0</v>
      </c>
      <c r="J4" s="1692"/>
      <c r="K4" s="2478" t="str">
        <f>IF(AND(F4="——",H4="——"),B4&amp;"、"&amp;D4,IF(AND(F4&lt;&gt;"——",H4="——"),B4&amp;"、"&amp;D4&amp;"、"&amp;F4,B4&amp;"、"&amp;D4&amp;"、"&amp;F4&amp;"、"&amp;H4))</f>
        <v>欧红伟、梁津</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2711</v>
      </c>
      <c r="B6" s="1787"/>
      <c r="C6" s="1759"/>
      <c r="D6" s="1666"/>
      <c r="E6" s="1692"/>
      <c r="F6" s="1692"/>
      <c r="G6" s="1692"/>
      <c r="H6" s="1658"/>
      <c r="I6" s="1693"/>
      <c r="J6" s="1692"/>
      <c r="K6" s="3081" t="str">
        <f>IF(COUNTIF(B6,"*上海银行*"),"上海银行","")</f>
        <v/>
      </c>
      <c r="L6" s="1721"/>
      <c r="M6" s="1721"/>
      <c r="N6" s="1692"/>
      <c r="O6" s="1693"/>
      <c r="P6" s="1692"/>
      <c r="Q6" s="1692"/>
      <c r="R6" s="1692"/>
      <c r="S6" s="1692"/>
      <c r="T6" s="1692"/>
      <c r="U6" s="1692"/>
    </row>
    <row r="7" spans="1:21">
      <c r="A7" s="1667" t="s">
        <v>2712</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2987</v>
      </c>
      <c r="C8" s="1669"/>
      <c r="D8" s="3223" t="s">
        <v>1946</v>
      </c>
      <c r="E8" s="1842" t="s">
        <v>2988</v>
      </c>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24"/>
      <c r="E9" s="1672"/>
      <c r="F9" s="1745"/>
      <c r="G9" s="1740"/>
      <c r="H9" s="1740"/>
      <c r="I9" s="1741"/>
      <c r="J9" s="1692"/>
      <c r="K9" s="1772"/>
      <c r="L9" s="1721"/>
      <c r="M9" s="1721"/>
      <c r="N9" s="1692"/>
      <c r="O9" s="1693"/>
      <c r="P9" s="1692"/>
      <c r="Q9" s="1692"/>
      <c r="R9" s="1692"/>
      <c r="S9" s="1692"/>
      <c r="T9" s="1692"/>
      <c r="U9" s="1692"/>
    </row>
    <row r="10" spans="1:21" ht="15" thickTop="1">
      <c r="A10" s="1742" t="s">
        <v>2000</v>
      </c>
      <c r="B10" s="1717" t="s">
        <v>2990</v>
      </c>
      <c r="C10" s="1674" t="s">
        <v>3104</v>
      </c>
      <c r="D10" s="1665"/>
      <c r="E10" s="1675" t="s">
        <v>1948</v>
      </c>
      <c r="F10" s="1676" t="s">
        <v>3107</v>
      </c>
      <c r="G10" s="1743"/>
      <c r="H10" s="1744"/>
      <c r="I10" s="1665"/>
      <c r="J10" s="1692"/>
      <c r="K10" s="1772"/>
      <c r="L10" s="1721"/>
      <c r="M10" s="1721"/>
      <c r="N10" s="1692"/>
      <c r="O10" s="1693"/>
      <c r="P10" s="1692"/>
      <c r="Q10" s="1692"/>
      <c r="R10" s="1692"/>
      <c r="S10" s="1692"/>
      <c r="T10" s="1692"/>
      <c r="U10" s="1692"/>
    </row>
    <row r="11" spans="1:21">
      <c r="A11" s="1695" t="s">
        <v>2001</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2059</v>
      </c>
      <c r="B12" s="3220"/>
      <c r="C12" s="3221"/>
      <c r="D12" s="3222"/>
      <c r="E12" s="1697" t="s">
        <v>2062</v>
      </c>
      <c r="F12" s="3238" t="s">
        <v>3085</v>
      </c>
      <c r="G12" s="3239"/>
      <c r="H12" s="3239"/>
      <c r="I12" s="3240"/>
      <c r="J12" s="1692"/>
      <c r="K12" s="1772"/>
      <c r="L12" s="1721"/>
      <c r="M12" s="1721"/>
      <c r="N12" s="1692"/>
      <c r="O12" s="1693"/>
      <c r="P12" s="1692"/>
      <c r="Q12" s="1692"/>
      <c r="R12" s="1692"/>
      <c r="S12" s="1692"/>
      <c r="T12" s="1692"/>
      <c r="U12" s="1692"/>
    </row>
    <row r="13" spans="1:21">
      <c r="A13" s="1685" t="s">
        <v>2060</v>
      </c>
      <c r="B13" s="3220"/>
      <c r="C13" s="3221"/>
      <c r="D13" s="3222"/>
      <c r="E13" s="1697" t="s">
        <v>2062</v>
      </c>
      <c r="F13" s="3238"/>
      <c r="G13" s="3239"/>
      <c r="H13" s="3239"/>
      <c r="I13" s="3240"/>
      <c r="J13" s="1692"/>
      <c r="K13" s="1772"/>
      <c r="L13" s="1721"/>
      <c r="M13" s="1721"/>
      <c r="N13" s="1692"/>
      <c r="O13" s="1693"/>
      <c r="P13" s="1692"/>
      <c r="Q13" s="1692"/>
      <c r="R13" s="1692"/>
      <c r="S13" s="1692"/>
      <c r="T13" s="1692"/>
      <c r="U13" s="1692"/>
    </row>
    <row r="14" spans="1:21">
      <c r="A14" s="1659" t="s">
        <v>2063</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28.5">
      <c r="A16" s="1678" t="s">
        <v>1949</v>
      </c>
      <c r="B16" s="1679" t="s">
        <v>2993</v>
      </c>
      <c r="C16" s="1697" t="s">
        <v>1950</v>
      </c>
      <c r="D16" s="2670" t="s">
        <v>1951</v>
      </c>
      <c r="E16" s="1720" t="s">
        <v>2994</v>
      </c>
      <c r="F16" s="1720"/>
      <c r="G16" s="1720" t="s">
        <v>3087</v>
      </c>
      <c r="H16" s="1720"/>
      <c r="I16" s="1684" t="s">
        <v>1956</v>
      </c>
      <c r="J16" s="1692"/>
      <c r="K16" s="2479" t="str">
        <f>IF(D17="","",D16&amp;TEXT(D17,"yyyy年m月d日;;"))</f>
        <v>住宅2087年8月7日</v>
      </c>
      <c r="L16" s="1697" t="str">
        <f>IF(OR(K16="",M16=""),"","、")</f>
        <v>、</v>
      </c>
      <c r="M16" s="2479" t="str">
        <f>IF(E17="","",E16&amp;TEXT(E17,"yyyy年m月d日;;"))</f>
        <v>商业2057年8月7日</v>
      </c>
      <c r="N16" s="1697" t="str">
        <f>IF(OR(M16="",O16=""),"","、")</f>
        <v/>
      </c>
      <c r="O16" s="2479" t="str">
        <f>IF(F17="","",F16&amp;TEXT(F17,"yyyy年m月d日;;"))</f>
        <v/>
      </c>
      <c r="P16" s="1697" t="str">
        <f>IF(OR(O16="",Q16=""),"","、")</f>
        <v/>
      </c>
      <c r="Q16" s="2479" t="str">
        <f>IF(G17="","",G16&amp;TEXT(G17,"yyyy年m月d日;;"))</f>
        <v/>
      </c>
      <c r="R16" s="1697" t="str">
        <f>IF(OR(Q16="",S16=""),"","、")</f>
        <v/>
      </c>
      <c r="S16" s="2479" t="str">
        <f>IF(H17="","",H16&amp;TEXT(H17,"yyyy年m月d日;;"))</f>
        <v/>
      </c>
      <c r="T16" s="1697" t="str">
        <f>IF(OR(S16="",U16=""),"","、")</f>
        <v/>
      </c>
      <c r="U16" s="2479" t="str">
        <f>IF(I17="","",I16&amp;TEXT(I17,"yyyy年m月d日;;"))</f>
        <v/>
      </c>
    </row>
    <row r="17" spans="1:21">
      <c r="A17" s="1761"/>
      <c r="B17" s="1680"/>
      <c r="C17" s="1681" t="s">
        <v>1957</v>
      </c>
      <c r="D17" s="1698">
        <v>68521</v>
      </c>
      <c r="E17" s="1698">
        <v>57564</v>
      </c>
      <c r="F17" s="1698"/>
      <c r="G17" s="1698"/>
      <c r="H17" s="1698"/>
      <c r="I17" s="1698"/>
      <c r="J17" s="1692"/>
      <c r="K17" s="2478" t="str">
        <f>CONCATENATE(K16,L16,M16,N16,O16,P16,Q16,R16,S16,T16,,U16)</f>
        <v>住宅2087年8月7日、商业2057年8月7日</v>
      </c>
      <c r="L17" s="1721"/>
      <c r="M17" s="1721"/>
      <c r="N17" s="1692"/>
      <c r="O17" s="1693"/>
      <c r="P17" s="1692"/>
      <c r="Q17" s="1692"/>
      <c r="R17" s="1692"/>
      <c r="S17" s="1692"/>
      <c r="T17" s="1692"/>
      <c r="U17" s="1692"/>
    </row>
    <row r="18" spans="1:21">
      <c r="A18" s="1761"/>
      <c r="B18" s="1680"/>
      <c r="C18" s="1681" t="s">
        <v>1958</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1959</v>
      </c>
      <c r="D19" s="1756">
        <f>IF(B16="出让",IF(D17="","",ROUNDDOWN(MIN((D17-$D$3)/365,D18),2)),D18)</f>
        <v>69.69</v>
      </c>
      <c r="E19" s="1683">
        <f>IF(B16="出让",IF(E17="","",ROUNDDOWN(MIN((E17-$D$3)/365,E18),2)),E18)</f>
        <v>39.67</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2061</v>
      </c>
      <c r="D20" s="3235"/>
      <c r="E20" s="3236"/>
      <c r="F20" s="3236"/>
      <c r="G20" s="3236"/>
      <c r="H20" s="3236"/>
      <c r="I20" s="3237"/>
      <c r="J20" s="1692"/>
      <c r="K20" s="1772"/>
      <c r="L20" s="1721"/>
      <c r="M20" s="1721"/>
      <c r="N20" s="1692"/>
      <c r="O20" s="1693"/>
      <c r="P20" s="1692"/>
      <c r="Q20" s="1692"/>
      <c r="R20" s="1692"/>
      <c r="S20" s="1692"/>
      <c r="T20" s="1692"/>
      <c r="U20" s="1692"/>
    </row>
    <row r="21" spans="1:21">
      <c r="A21" s="1761" t="s">
        <v>1960</v>
      </c>
      <c r="B21" s="1762" t="s">
        <v>1961</v>
      </c>
      <c r="C21" s="1757">
        <f>'数据-汇总表'!E3</f>
        <v>231926.37</v>
      </c>
      <c r="D21" s="1758" t="s">
        <v>1962</v>
      </c>
      <c r="E21" s="3225" t="s">
        <v>1999</v>
      </c>
      <c r="F21" s="3226"/>
      <c r="G21" s="3226"/>
      <c r="H21" s="3226"/>
      <c r="I21" s="3227"/>
      <c r="J21" s="1692"/>
      <c r="K21" s="1772"/>
      <c r="L21" s="1721"/>
      <c r="M21" s="1721"/>
      <c r="N21" s="1692"/>
      <c r="O21" s="1693"/>
      <c r="P21" s="1692"/>
      <c r="Q21" s="1692"/>
      <c r="R21" s="1692"/>
      <c r="S21" s="1692"/>
      <c r="T21" s="1692"/>
      <c r="U21" s="1692"/>
    </row>
    <row r="22" spans="1:21">
      <c r="A22" s="2661" t="s">
        <v>951</v>
      </c>
      <c r="B22" s="1659" t="s">
        <v>1963</v>
      </c>
      <c r="C22" s="1684">
        <f>'数据-汇总表'!D3</f>
        <v>105421.08</v>
      </c>
      <c r="D22" s="1685" t="s">
        <v>1962</v>
      </c>
      <c r="E22" s="3225" t="s">
        <v>2894</v>
      </c>
      <c r="F22" s="3226"/>
      <c r="G22" s="3226"/>
      <c r="H22" s="3226"/>
      <c r="I22" s="3227"/>
      <c r="J22" s="1692"/>
      <c r="K22" s="1772"/>
      <c r="L22" s="1721"/>
      <c r="M22" s="1721"/>
      <c r="N22" s="1692"/>
      <c r="O22" s="1693"/>
      <c r="P22" s="1692"/>
      <c r="Q22" s="1692"/>
      <c r="R22" s="1692"/>
      <c r="S22" s="1692"/>
      <c r="T22" s="1692"/>
      <c r="U22" s="1692"/>
    </row>
    <row r="23" spans="1:21" ht="43.5" thickBot="1">
      <c r="A23" s="1763" t="s">
        <v>1964</v>
      </c>
      <c r="B23" s="1699" t="s">
        <v>1965</v>
      </c>
      <c r="C23" s="1700" t="s">
        <v>2995</v>
      </c>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28" t="s">
        <v>1968</v>
      </c>
      <c r="C24" s="3229"/>
      <c r="D24" s="3230" t="s">
        <v>1969</v>
      </c>
      <c r="E24" s="3231"/>
      <c r="F24" s="1706" t="s">
        <v>1970</v>
      </c>
      <c r="G24" s="1692"/>
      <c r="H24" s="1692"/>
      <c r="I24" s="1705"/>
      <c r="J24" s="1692"/>
      <c r="K24" s="3216" t="s">
        <v>1971</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2326</v>
      </c>
      <c r="C25" s="1707" t="s">
        <v>951</v>
      </c>
      <c r="D25" s="1708"/>
      <c r="E25" s="1709" t="s">
        <v>951</v>
      </c>
      <c r="F25" s="1710"/>
      <c r="G25" s="1692"/>
      <c r="H25" s="1692"/>
      <c r="I25" s="1705"/>
      <c r="J25" s="1692"/>
      <c r="K25" s="3216"/>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1"/>
      <c r="N25" s="1692"/>
      <c r="O25" s="1693"/>
      <c r="P25" s="1692"/>
      <c r="Q25" s="1692"/>
      <c r="R25" s="1692"/>
      <c r="S25" s="1692"/>
      <c r="T25" s="1692"/>
      <c r="U25" s="1692"/>
    </row>
    <row r="26" spans="1:21" ht="29.25" thickBot="1">
      <c r="A26" s="1750"/>
      <c r="B26" s="1747" t="s">
        <v>1972</v>
      </c>
      <c r="C26" s="1707" t="s">
        <v>951</v>
      </c>
      <c r="D26" s="1658"/>
      <c r="E26" s="1658"/>
      <c r="F26" s="1686"/>
      <c r="G26" s="1692"/>
      <c r="H26" s="1692"/>
      <c r="I26" s="1705"/>
      <c r="J26" s="1692"/>
      <c r="K26" s="3216"/>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1973</v>
      </c>
      <c r="B27" s="1751" t="s">
        <v>1974</v>
      </c>
      <c r="C27" s="1711"/>
      <c r="D27" s="2675" t="s">
        <v>1974</v>
      </c>
      <c r="E27" s="1712"/>
      <c r="F27" s="1686"/>
      <c r="G27" s="1692"/>
      <c r="H27" s="1692"/>
      <c r="I27" s="1705"/>
      <c r="J27" s="1692"/>
      <c r="K27" s="1772"/>
      <c r="L27" s="1721"/>
      <c r="M27" s="1721"/>
      <c r="N27" s="1692"/>
      <c r="O27" s="1693"/>
      <c r="P27" s="1692"/>
      <c r="Q27" s="1692"/>
      <c r="R27" s="1692"/>
      <c r="S27" s="1692"/>
      <c r="T27" s="1692"/>
      <c r="U27" s="1692"/>
    </row>
    <row r="28" spans="1:21">
      <c r="A28" s="1754"/>
      <c r="B28" s="1751" t="s">
        <v>1975</v>
      </c>
      <c r="C28" s="1713"/>
      <c r="D28" s="2676" t="s">
        <v>1975</v>
      </c>
      <c r="E28" s="1714"/>
      <c r="F28" s="1686"/>
      <c r="G28" s="1692"/>
      <c r="H28" s="1692"/>
      <c r="I28" s="1705"/>
      <c r="J28" s="1692"/>
      <c r="K28" s="1772"/>
      <c r="L28" s="1721"/>
      <c r="M28" s="1721"/>
      <c r="N28" s="1692"/>
      <c r="O28" s="1693"/>
      <c r="P28" s="1692"/>
      <c r="Q28" s="1692"/>
      <c r="R28" s="1692"/>
      <c r="S28" s="1692"/>
      <c r="T28" s="1692"/>
      <c r="U28" s="1692"/>
    </row>
    <row r="29" spans="1:21">
      <c r="A29" s="1754"/>
      <c r="B29" s="1751" t="s">
        <v>1976</v>
      </c>
      <c r="C29" s="1713"/>
      <c r="D29" s="2676" t="s">
        <v>1976</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1977</v>
      </c>
      <c r="C30" s="1715"/>
      <c r="D30" s="2677" t="s">
        <v>1977</v>
      </c>
      <c r="E30" s="1716"/>
      <c r="F30" s="1687"/>
      <c r="G30" s="1740"/>
      <c r="H30" s="1740"/>
      <c r="I30" s="1741"/>
      <c r="J30" s="1692"/>
      <c r="K30" s="1772"/>
      <c r="L30" s="1721"/>
      <c r="M30" s="1721"/>
      <c r="N30" s="1692"/>
      <c r="O30" s="1693"/>
      <c r="P30" s="1692"/>
      <c r="Q30" s="1692"/>
      <c r="R30" s="1692"/>
      <c r="S30" s="1692"/>
      <c r="T30" s="1692"/>
      <c r="U30" s="1692"/>
    </row>
    <row r="31" spans="1:21" ht="15" thickTop="1">
      <c r="A31" s="3243" t="s">
        <v>2002</v>
      </c>
      <c r="B31" s="1762" t="s">
        <v>2003</v>
      </c>
      <c r="C31" s="3241" t="s">
        <v>3108</v>
      </c>
      <c r="D31" s="3242"/>
      <c r="E31" s="1692"/>
      <c r="F31" s="1692"/>
      <c r="G31" s="1692"/>
      <c r="H31" s="1692"/>
      <c r="I31" s="1705"/>
      <c r="J31" s="1692"/>
      <c r="K31" s="2481"/>
      <c r="L31" s="1692"/>
      <c r="M31" s="1692"/>
      <c r="N31" s="1692"/>
      <c r="O31" s="1692"/>
      <c r="P31" s="1692"/>
      <c r="Q31" s="1692"/>
      <c r="R31" s="1692"/>
      <c r="S31" s="1692"/>
      <c r="T31" s="1692"/>
      <c r="U31" s="1692"/>
    </row>
    <row r="32" spans="1:21">
      <c r="A32" s="3243"/>
      <c r="B32" s="1659" t="s">
        <v>2004</v>
      </c>
      <c r="C32" s="1717"/>
      <c r="D32" s="1718"/>
      <c r="E32" s="1692"/>
      <c r="F32" s="1692"/>
      <c r="G32" s="1692"/>
      <c r="H32" s="1692"/>
      <c r="I32" s="1705"/>
      <c r="J32" s="1692"/>
      <c r="K32" s="2481"/>
      <c r="L32" s="1692"/>
      <c r="M32" s="1692"/>
      <c r="N32" s="1692"/>
      <c r="O32" s="1692"/>
      <c r="P32" s="1692"/>
      <c r="Q32" s="1692"/>
      <c r="R32" s="1692"/>
      <c r="S32" s="1692"/>
      <c r="T32" s="1692"/>
      <c r="U32" s="1692"/>
    </row>
    <row r="33" spans="1:21">
      <c r="A33" s="3243"/>
      <c r="B33" s="1659" t="s">
        <v>2005</v>
      </c>
      <c r="C33" s="1719"/>
      <c r="D33" s="1836"/>
      <c r="E33" s="1692"/>
      <c r="F33" s="1692"/>
      <c r="G33" s="1692"/>
      <c r="H33" s="1692"/>
      <c r="I33" s="1705"/>
      <c r="J33" s="1692"/>
      <c r="K33" s="2481"/>
      <c r="L33" s="1692"/>
      <c r="M33" s="1692"/>
      <c r="N33" s="1692"/>
      <c r="O33" s="1692"/>
      <c r="P33" s="1692"/>
      <c r="Q33" s="1692"/>
      <c r="R33" s="1692"/>
      <c r="S33" s="1692"/>
      <c r="T33" s="1692"/>
      <c r="U33" s="1692"/>
    </row>
    <row r="34" spans="1:21">
      <c r="A34" s="3244"/>
      <c r="B34" s="1659" t="s">
        <v>2006</v>
      </c>
      <c r="C34" s="3245"/>
      <c r="D34" s="3246"/>
      <c r="E34" s="1692"/>
      <c r="F34" s="1692"/>
      <c r="G34" s="1692"/>
      <c r="H34" s="1692"/>
      <c r="I34" s="1705"/>
      <c r="J34" s="1692"/>
      <c r="K34" s="2481"/>
      <c r="L34" s="1692"/>
      <c r="M34" s="1692"/>
      <c r="N34" s="1692"/>
      <c r="O34" s="1692"/>
      <c r="P34" s="1692"/>
      <c r="Q34" s="1692"/>
      <c r="R34" s="1692"/>
      <c r="S34" s="1692"/>
      <c r="T34" s="1692"/>
      <c r="U34" s="1692"/>
    </row>
    <row r="35" spans="1:21">
      <c r="A35" s="3247" t="s">
        <v>846</v>
      </c>
      <c r="B35" s="1720"/>
      <c r="C35" s="1774" t="str">
        <f>IF(B35="场地平整","——","具体情况：")</f>
        <v>具体情况：</v>
      </c>
      <c r="D35" s="3249"/>
      <c r="E35" s="3250"/>
      <c r="F35" s="3250"/>
      <c r="G35" s="3250"/>
      <c r="H35" s="3250"/>
      <c r="I35" s="3251"/>
      <c r="J35" s="1692"/>
      <c r="K35" s="1773"/>
      <c r="L35" s="1721"/>
      <c r="M35" s="1721"/>
      <c r="N35" s="1692"/>
      <c r="O35" s="1693"/>
      <c r="P35" s="1692"/>
      <c r="Q35" s="1692"/>
      <c r="R35" s="1692"/>
      <c r="S35" s="1692"/>
      <c r="T35" s="1692"/>
      <c r="U35" s="1692"/>
    </row>
    <row r="36" spans="1:21">
      <c r="A36" s="3243"/>
      <c r="B36" s="3252" t="s">
        <v>2055</v>
      </c>
      <c r="C36" s="3253"/>
      <c r="D36" s="1790"/>
      <c r="E36" s="3254"/>
      <c r="F36" s="3254"/>
      <c r="G36" s="1685" t="str">
        <f>IF(B35="场地未平整","估价结果处理","")</f>
        <v/>
      </c>
      <c r="H36" s="3255"/>
      <c r="I36" s="3255"/>
      <c r="J36" s="1692"/>
      <c r="K36" s="1773"/>
      <c r="L36" s="1721"/>
      <c r="M36" s="1721"/>
      <c r="N36" s="1692"/>
      <c r="O36" s="1693"/>
      <c r="P36" s="1692"/>
      <c r="Q36" s="1692"/>
      <c r="R36" s="1692"/>
      <c r="S36" s="1692"/>
      <c r="T36" s="1692"/>
      <c r="U36" s="1692"/>
    </row>
    <row r="37" spans="1:21" ht="28.5">
      <c r="A37" s="3243"/>
      <c r="B37" s="3232"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43"/>
      <c r="B38" s="3233"/>
      <c r="C38" s="1667" t="s">
        <v>849</v>
      </c>
      <c r="D38" s="1789">
        <f>ROUNDDOWN(MIN(('数据-取费表'!$B$2-D37)/365,D34),1)</f>
        <v>118</v>
      </c>
      <c r="E38" s="1725" t="s">
        <v>850</v>
      </c>
      <c r="F38" s="1692"/>
      <c r="G38" s="1692"/>
      <c r="H38" s="1692"/>
      <c r="I38" s="1705"/>
      <c r="J38" s="1692"/>
      <c r="K38" s="1773"/>
      <c r="L38" s="1692"/>
      <c r="M38" s="1692"/>
      <c r="N38" s="1692"/>
      <c r="O38" s="1692"/>
      <c r="P38" s="1692"/>
      <c r="Q38" s="1692"/>
      <c r="R38" s="1692"/>
      <c r="S38" s="1692"/>
      <c r="T38" s="1692"/>
      <c r="U38" s="1692"/>
    </row>
    <row r="39" spans="1:21">
      <c r="A39" s="3244"/>
      <c r="B39" s="3234"/>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1978</v>
      </c>
      <c r="B40" s="1688" t="s">
        <v>2996</v>
      </c>
      <c r="C40" s="1688" t="s">
        <v>2997</v>
      </c>
      <c r="D40" s="1688" t="s">
        <v>2998</v>
      </c>
      <c r="E40" s="1688" t="s">
        <v>2999</v>
      </c>
      <c r="F40" s="1688" t="s">
        <v>3000</v>
      </c>
      <c r="G40" s="1688" t="s">
        <v>3001</v>
      </c>
      <c r="H40" s="1688"/>
      <c r="I40" s="1705"/>
      <c r="J40" s="1692"/>
      <c r="K40" s="1728">
        <f>COUNTIF(B40:H40,"——")</f>
        <v>0</v>
      </c>
      <c r="L40" s="1697" t="s">
        <v>1979</v>
      </c>
      <c r="M40" s="1694" t="s">
        <v>1980</v>
      </c>
      <c r="N40" s="1694" t="s">
        <v>1981</v>
      </c>
      <c r="O40" s="1694" t="s">
        <v>1982</v>
      </c>
      <c r="P40" s="1694" t="s">
        <v>1983</v>
      </c>
      <c r="Q40" s="1694" t="s">
        <v>1984</v>
      </c>
      <c r="R40" s="1694" t="s">
        <v>1985</v>
      </c>
      <c r="S40" s="3215" t="s">
        <v>1986</v>
      </c>
      <c r="T40" s="1729" t="str">
        <f>NUMBERSTRING(7-K40,1)&amp;"通"</f>
        <v>七通</v>
      </c>
      <c r="U40" s="1692"/>
    </row>
    <row r="41" spans="1:21">
      <c r="A41" s="1661"/>
      <c r="B41" s="3248" t="s">
        <v>1721</v>
      </c>
      <c r="C41" s="3248"/>
      <c r="D41" s="3248"/>
      <c r="E41" s="3248"/>
      <c r="F41" s="1730" t="str">
        <f>C10</f>
        <v>湖南省</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15"/>
      <c r="T41" s="1731" t="str">
        <f>IF(T40="一通",L41,IF(T40="二通",M41,IF(T40="三通",N41,IF(T40="四通",O41,IF(T40="五通",P41,IF(T40="六通",Q41,R41))))))</f>
        <v>通路、通电、通讯、通上水、通下水、燃气、</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98" customFormat="1" ht="21" thickBot="1">
      <c r="A45" s="3099" t="s">
        <v>2895</v>
      </c>
      <c r="B45" s="3094"/>
      <c r="C45" s="3094"/>
      <c r="D45" s="3094"/>
      <c r="E45" s="3094"/>
      <c r="F45" s="3094"/>
      <c r="G45" s="3094"/>
      <c r="H45" s="3094"/>
      <c r="I45" s="3095"/>
      <c r="J45" s="3094"/>
      <c r="K45" s="3096"/>
      <c r="L45" s="3097"/>
      <c r="M45" s="3097"/>
      <c r="N45" s="3094"/>
      <c r="O45" s="3095"/>
      <c r="P45" s="3094"/>
      <c r="Q45" s="3094"/>
      <c r="R45" s="3094"/>
      <c r="S45" s="3094"/>
      <c r="T45" s="3094"/>
      <c r="U45" s="3094"/>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2007</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2008</v>
      </c>
      <c r="B48" s="1684" t="s">
        <v>2009</v>
      </c>
      <c r="C48" s="1684" t="s">
        <v>2010</v>
      </c>
      <c r="D48" s="1684" t="s">
        <v>2011</v>
      </c>
      <c r="E48" s="1684" t="s">
        <v>2012</v>
      </c>
      <c r="F48" s="1684" t="s">
        <v>2013</v>
      </c>
      <c r="G48" s="1684" t="s">
        <v>2014</v>
      </c>
      <c r="H48" s="1684" t="s">
        <v>2015</v>
      </c>
      <c r="I48" s="1684" t="s">
        <v>2016</v>
      </c>
      <c r="J48" s="1770" t="s">
        <v>2017</v>
      </c>
      <c r="K48" s="1764" t="s">
        <v>2018</v>
      </c>
      <c r="L48" s="1764" t="s">
        <v>2019</v>
      </c>
      <c r="M48" s="1764" t="s">
        <v>2020</v>
      </c>
      <c r="N48" s="1684" t="s">
        <v>2021</v>
      </c>
      <c r="O48" s="1684" t="s">
        <v>2022</v>
      </c>
      <c r="P48" s="1684" t="s">
        <v>2023</v>
      </c>
      <c r="Q48" s="1697" t="s">
        <v>2024</v>
      </c>
      <c r="R48" s="1697" t="s">
        <v>2025</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7"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5" sqref="K2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161</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165</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162</v>
      </c>
      <c r="B2" s="17" t="s">
        <v>163</v>
      </c>
      <c r="C2" s="17" t="s">
        <v>164</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166</v>
      </c>
      <c r="AZ2" s="2359" t="s">
        <v>2333</v>
      </c>
      <c r="BA2" s="2360" t="s">
        <v>2332</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105421.08</v>
      </c>
      <c r="B3" s="22">
        <f>IF(C3="否",G5-AT5,G5)</f>
        <v>231926.37</v>
      </c>
      <c r="C3" s="23" t="s">
        <v>2995</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167</v>
      </c>
      <c r="B5" s="988"/>
      <c r="C5" s="988"/>
      <c r="D5" s="995"/>
      <c r="E5" s="27" t="s">
        <v>1</v>
      </c>
      <c r="F5" s="27">
        <f>SUM(F13:F572)</f>
        <v>0</v>
      </c>
      <c r="G5" s="27">
        <f>SUM(G13:G572)</f>
        <v>231926.37</v>
      </c>
      <c r="H5" s="27">
        <f t="shared" ref="H5:AT5" si="0">SUM(H13:H641)</f>
        <v>231926.37</v>
      </c>
      <c r="I5" s="27">
        <f t="shared" si="0"/>
        <v>224968.58</v>
      </c>
      <c r="J5" s="27">
        <f t="shared" si="0"/>
        <v>0</v>
      </c>
      <c r="K5" s="27">
        <f t="shared" si="0"/>
        <v>6957.79</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167</v>
      </c>
      <c r="AW5" s="988"/>
      <c r="AX5" s="988"/>
      <c r="AY5" s="28" t="s">
        <v>3</v>
      </c>
      <c r="AZ5" s="29">
        <f t="shared" ref="AZ5:BT5" si="1">SUM(AZ13:AZ641)</f>
        <v>231926.37</v>
      </c>
      <c r="BA5" s="29">
        <f t="shared" si="1"/>
        <v>231926.37</v>
      </c>
      <c r="BB5" s="29">
        <f t="shared" si="1"/>
        <v>224968.58</v>
      </c>
      <c r="BC5" s="29">
        <f t="shared" si="1"/>
        <v>6957.79</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168</v>
      </c>
      <c r="B6" s="31"/>
      <c r="C6" s="31"/>
      <c r="D6" s="32"/>
      <c r="E6" s="27">
        <f>H6+AC6+AT6</f>
        <v>105421.08</v>
      </c>
      <c r="F6" s="27" t="s">
        <v>1</v>
      </c>
      <c r="G6" s="27" t="s">
        <v>2</v>
      </c>
      <c r="H6" s="33">
        <f>SUMIF(I$12:AB$12,"总值",I6:AB6)</f>
        <v>105421.08</v>
      </c>
      <c r="I6" s="27">
        <f t="shared" ref="I6:AB6" si="2">ROUND($A$3*I5/$B$3,2)</f>
        <v>102258.45</v>
      </c>
      <c r="J6" s="27">
        <f t="shared" si="2"/>
        <v>0</v>
      </c>
      <c r="K6" s="27">
        <f t="shared" si="2"/>
        <v>3162.63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168</v>
      </c>
      <c r="AW6" s="31"/>
      <c r="AX6" s="31"/>
      <c r="AY6" s="35">
        <f>IF(AY3&gt;0,AY3,ROUND($A$3*AZ5/$B$3,2))</f>
        <v>105421.08</v>
      </c>
      <c r="AZ6" s="27" t="s">
        <v>3</v>
      </c>
      <c r="BA6" s="27">
        <f>ROUND($AY$6*BA5/$AZ$5,2)</f>
        <v>105421.08</v>
      </c>
      <c r="BB6" s="27">
        <f>ROUND($AY$6*BB5/$AZ$5,2)</f>
        <v>102258.45</v>
      </c>
      <c r="BC6" s="27">
        <f t="shared" ref="BC6:BH6" si="4">ROUND($AY$6*BC5/$AZ$5,2)</f>
        <v>3162.63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169</v>
      </c>
      <c r="B7" s="38" t="s">
        <v>170</v>
      </c>
      <c r="C7" s="38" t="s">
        <v>171</v>
      </c>
      <c r="D7" s="38" t="s">
        <v>172</v>
      </c>
      <c r="E7" s="38" t="s">
        <v>173</v>
      </c>
      <c r="F7" s="38" t="s">
        <v>174</v>
      </c>
      <c r="G7" s="39" t="s">
        <v>175</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176</v>
      </c>
      <c r="AV7" s="41" t="s">
        <v>177</v>
      </c>
      <c r="AW7" s="42" t="s">
        <v>178</v>
      </c>
      <c r="AX7" s="41" t="s">
        <v>179</v>
      </c>
      <c r="AY7" s="988" t="s">
        <v>180</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181</v>
      </c>
      <c r="H8" s="47" t="s">
        <v>182</v>
      </c>
      <c r="I8" s="48"/>
      <c r="J8" s="1000"/>
      <c r="K8" s="1000"/>
      <c r="L8" s="1000"/>
      <c r="M8" s="1000"/>
      <c r="N8" s="1000"/>
      <c r="O8" s="1000"/>
      <c r="P8" s="1000"/>
      <c r="Q8" s="1000"/>
      <c r="R8" s="1000"/>
      <c r="S8" s="1000"/>
      <c r="T8" s="1000"/>
      <c r="U8" s="1000"/>
      <c r="V8" s="49"/>
      <c r="W8" s="1000"/>
      <c r="X8" s="1000"/>
      <c r="Y8" s="1000"/>
      <c r="Z8" s="1000"/>
      <c r="AA8" s="49"/>
      <c r="AB8" s="50"/>
      <c r="AC8" s="51" t="s">
        <v>183</v>
      </c>
      <c r="AD8" s="52"/>
      <c r="AE8" s="43"/>
      <c r="AF8" s="1000"/>
      <c r="AG8" s="1000"/>
      <c r="AH8" s="1000"/>
      <c r="AI8" s="1000"/>
      <c r="AJ8" s="1000"/>
      <c r="AK8" s="1000"/>
      <c r="AL8" s="1000"/>
      <c r="AM8" s="1000"/>
      <c r="AN8" s="1000"/>
      <c r="AO8" s="1000"/>
      <c r="AP8" s="1000"/>
      <c r="AQ8" s="1000"/>
      <c r="AR8" s="1000"/>
      <c r="AS8" s="2296"/>
      <c r="AT8" s="2327" t="s">
        <v>854</v>
      </c>
      <c r="AU8" s="45" t="s">
        <v>184</v>
      </c>
      <c r="AV8" s="55"/>
      <c r="AW8" s="1002"/>
      <c r="AX8" s="55"/>
      <c r="AY8" s="42" t="s">
        <v>185</v>
      </c>
      <c r="AZ8" s="999" t="s">
        <v>186</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187</v>
      </c>
      <c r="I9" s="3044" t="s">
        <v>3002</v>
      </c>
      <c r="J9" s="51"/>
      <c r="K9" s="3044" t="s">
        <v>3002</v>
      </c>
      <c r="L9" s="51"/>
      <c r="M9" s="3044" t="s">
        <v>3086</v>
      </c>
      <c r="N9" s="51"/>
      <c r="O9" s="59"/>
      <c r="P9" s="51"/>
      <c r="Q9" s="59"/>
      <c r="R9" s="51"/>
      <c r="S9" s="59"/>
      <c r="T9" s="51"/>
      <c r="U9" s="59"/>
      <c r="V9" s="51"/>
      <c r="W9" s="59"/>
      <c r="X9" s="60"/>
      <c r="Y9" s="59"/>
      <c r="Z9" s="51"/>
      <c r="AA9" s="59"/>
      <c r="AB9" s="51"/>
      <c r="AC9" s="46" t="s">
        <v>187</v>
      </c>
      <c r="AD9" s="26" t="s">
        <v>188</v>
      </c>
      <c r="AE9" s="61"/>
      <c r="AF9" s="26" t="s">
        <v>189</v>
      </c>
      <c r="AG9" s="61"/>
      <c r="AH9" s="26" t="s">
        <v>190</v>
      </c>
      <c r="AI9" s="61"/>
      <c r="AJ9" s="26" t="s">
        <v>191</v>
      </c>
      <c r="AK9" s="61"/>
      <c r="AL9" s="26" t="s">
        <v>190</v>
      </c>
      <c r="AM9" s="61"/>
      <c r="AN9" s="26" t="s">
        <v>191</v>
      </c>
      <c r="AO9" s="61"/>
      <c r="AP9" s="1186" t="s">
        <v>190</v>
      </c>
      <c r="AQ9" s="1188"/>
      <c r="AR9" s="1186" t="s">
        <v>191</v>
      </c>
      <c r="AS9" s="2328"/>
      <c r="AT9" s="45"/>
      <c r="AU9" s="45" t="s">
        <v>193</v>
      </c>
      <c r="AV9" s="55"/>
      <c r="AW9" s="1002"/>
      <c r="AX9" s="55"/>
      <c r="AY9" s="62"/>
      <c r="AZ9" s="62" t="s">
        <v>194</v>
      </c>
      <c r="BA9" s="63" t="s">
        <v>195</v>
      </c>
      <c r="BB9" s="64"/>
      <c r="BC9" s="994"/>
      <c r="BD9" s="994"/>
      <c r="BE9" s="994"/>
      <c r="BF9" s="994"/>
      <c r="BG9" s="994"/>
      <c r="BH9" s="994"/>
      <c r="BI9" s="994"/>
      <c r="BJ9" s="994"/>
      <c r="BK9" s="65"/>
      <c r="BL9" s="26" t="s">
        <v>196</v>
      </c>
      <c r="BM9" s="1000"/>
      <c r="BN9" s="48"/>
      <c r="BO9" s="1000"/>
      <c r="BP9" s="1000"/>
      <c r="BQ9" s="1000"/>
      <c r="BR9" s="1000"/>
      <c r="BS9" s="1000"/>
      <c r="BT9" s="56"/>
    </row>
    <row r="10" spans="1:72" s="57" customFormat="1" ht="12.75">
      <c r="A10" s="45"/>
      <c r="B10" s="45"/>
      <c r="C10" s="45"/>
      <c r="D10" s="45"/>
      <c r="E10" s="45"/>
      <c r="F10" s="45"/>
      <c r="G10" s="55"/>
      <c r="H10" s="62"/>
      <c r="I10" s="3044" t="s">
        <v>922</v>
      </c>
      <c r="J10" s="51"/>
      <c r="K10" s="3046" t="s">
        <v>2994</v>
      </c>
      <c r="L10" s="51"/>
      <c r="M10" s="3046" t="s">
        <v>922</v>
      </c>
      <c r="N10" s="51"/>
      <c r="O10" s="66"/>
      <c r="P10" s="51"/>
      <c r="Q10" s="66"/>
      <c r="R10" s="51"/>
      <c r="S10" s="66"/>
      <c r="T10" s="51"/>
      <c r="U10" s="66"/>
      <c r="V10" s="51"/>
      <c r="W10" s="66"/>
      <c r="X10" s="51"/>
      <c r="Y10" s="66"/>
      <c r="Z10" s="51"/>
      <c r="AA10" s="66"/>
      <c r="AB10" s="51"/>
      <c r="AC10" s="55"/>
      <c r="AD10" s="2313" t="s">
        <v>2318</v>
      </c>
      <c r="AE10" s="2335"/>
      <c r="AF10" s="2313" t="s">
        <v>2318</v>
      </c>
      <c r="AG10" s="2335"/>
      <c r="AH10" s="2313" t="s">
        <v>2319</v>
      </c>
      <c r="AI10" s="2335"/>
      <c r="AJ10" s="26" t="s">
        <v>2331</v>
      </c>
      <c r="AK10" s="2332"/>
      <c r="AL10" s="2313" t="s">
        <v>2320</v>
      </c>
      <c r="AM10" s="2314"/>
      <c r="AN10" s="26" t="s">
        <v>197</v>
      </c>
      <c r="AO10" s="61"/>
      <c r="AP10" s="1186" t="s">
        <v>198</v>
      </c>
      <c r="AQ10" s="1188"/>
      <c r="AR10" s="1186" t="s">
        <v>198</v>
      </c>
      <c r="AS10" s="1188"/>
      <c r="AT10" s="45"/>
      <c r="AU10" s="45"/>
      <c r="AV10" s="55"/>
      <c r="AW10" s="1002"/>
      <c r="AX10" s="55"/>
      <c r="AY10" s="62"/>
      <c r="AZ10" s="62"/>
      <c r="BA10" s="67" t="s">
        <v>192</v>
      </c>
      <c r="BB10" s="68" t="str">
        <f>I9</f>
        <v>地上</v>
      </c>
      <c r="BC10" s="69" t="str">
        <f>K9</f>
        <v>地上</v>
      </c>
      <c r="BD10" s="69" t="str">
        <f>M9</f>
        <v>地下</v>
      </c>
      <c r="BE10" s="69">
        <f>O9</f>
        <v>0</v>
      </c>
      <c r="BF10" s="69">
        <f>Q9</f>
        <v>0</v>
      </c>
      <c r="BG10" s="69">
        <f>S9</f>
        <v>0</v>
      </c>
      <c r="BH10" s="69">
        <f>U9</f>
        <v>0</v>
      </c>
      <c r="BI10" s="69">
        <f>W9</f>
        <v>0</v>
      </c>
      <c r="BJ10" s="69">
        <f>Y9</f>
        <v>0</v>
      </c>
      <c r="BK10" s="69">
        <f>AA9</f>
        <v>0</v>
      </c>
      <c r="BL10" s="54" t="s">
        <v>192</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5" t="s">
        <v>3131</v>
      </c>
      <c r="J11" s="71"/>
      <c r="K11" s="3045" t="s">
        <v>3003</v>
      </c>
      <c r="L11" s="71"/>
      <c r="M11" s="70" t="s">
        <v>3087</v>
      </c>
      <c r="N11" s="71"/>
      <c r="O11" s="70"/>
      <c r="P11" s="71"/>
      <c r="Q11" s="70"/>
      <c r="R11" s="71"/>
      <c r="S11" s="70"/>
      <c r="T11" s="71"/>
      <c r="U11" s="70"/>
      <c r="V11" s="71"/>
      <c r="W11" s="70"/>
      <c r="X11" s="71"/>
      <c r="Y11" s="70"/>
      <c r="Z11" s="71"/>
      <c r="AA11" s="70"/>
      <c r="AB11" s="71"/>
      <c r="AC11" s="55"/>
      <c r="AD11" s="2333" t="s">
        <v>2330</v>
      </c>
      <c r="AE11" s="1001"/>
      <c r="AF11" s="2333" t="s">
        <v>2330</v>
      </c>
      <c r="AG11" s="1001"/>
      <c r="AH11" s="2333" t="s">
        <v>2329</v>
      </c>
      <c r="AI11" s="2334"/>
      <c r="AJ11" s="2333" t="s">
        <v>2329</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199</v>
      </c>
      <c r="J12" s="17" t="s">
        <v>200</v>
      </c>
      <c r="K12" s="17" t="s">
        <v>199</v>
      </c>
      <c r="L12" s="17" t="s">
        <v>200</v>
      </c>
      <c r="M12" s="17" t="s">
        <v>199</v>
      </c>
      <c r="N12" s="17" t="s">
        <v>200</v>
      </c>
      <c r="O12" s="17" t="s">
        <v>199</v>
      </c>
      <c r="P12" s="17" t="s">
        <v>200</v>
      </c>
      <c r="Q12" s="17" t="s">
        <v>199</v>
      </c>
      <c r="R12" s="17" t="s">
        <v>200</v>
      </c>
      <c r="S12" s="17" t="s">
        <v>199</v>
      </c>
      <c r="T12" s="17" t="s">
        <v>200</v>
      </c>
      <c r="U12" s="17" t="s">
        <v>199</v>
      </c>
      <c r="V12" s="987" t="s">
        <v>200</v>
      </c>
      <c r="W12" s="17" t="s">
        <v>199</v>
      </c>
      <c r="X12" s="17" t="s">
        <v>200</v>
      </c>
      <c r="Y12" s="17" t="s">
        <v>199</v>
      </c>
      <c r="Z12" s="17" t="s">
        <v>200</v>
      </c>
      <c r="AA12" s="17" t="s">
        <v>199</v>
      </c>
      <c r="AB12" s="17" t="s">
        <v>200</v>
      </c>
      <c r="AC12" s="75"/>
      <c r="AD12" s="995" t="s">
        <v>199</v>
      </c>
      <c r="AE12" s="17" t="s">
        <v>200</v>
      </c>
      <c r="AF12" s="17" t="s">
        <v>199</v>
      </c>
      <c r="AG12" s="17" t="s">
        <v>200</v>
      </c>
      <c r="AH12" s="17" t="s">
        <v>199</v>
      </c>
      <c r="AI12" s="17" t="s">
        <v>200</v>
      </c>
      <c r="AJ12" s="17" t="s">
        <v>199</v>
      </c>
      <c r="AK12" s="17" t="s">
        <v>200</v>
      </c>
      <c r="AL12" s="17" t="s">
        <v>199</v>
      </c>
      <c r="AM12" s="17" t="s">
        <v>200</v>
      </c>
      <c r="AN12" s="17" t="s">
        <v>199</v>
      </c>
      <c r="AO12" s="17" t="s">
        <v>200</v>
      </c>
      <c r="AP12" s="1185" t="s">
        <v>199</v>
      </c>
      <c r="AQ12" s="1185" t="s">
        <v>200</v>
      </c>
      <c r="AR12" s="1191" t="s">
        <v>199</v>
      </c>
      <c r="AS12" s="1190" t="s">
        <v>200</v>
      </c>
      <c r="AT12" s="76"/>
      <c r="AU12" s="72"/>
      <c r="AV12" s="77"/>
      <c r="AW12" s="42"/>
      <c r="AX12" s="77"/>
      <c r="AY12" s="78"/>
      <c r="AZ12" s="62"/>
      <c r="BA12" s="67"/>
      <c r="BB12" s="53" t="str">
        <f>I11</f>
        <v>平层住宅</v>
      </c>
      <c r="BC12" s="79" t="str">
        <f>K11</f>
        <v>底商</v>
      </c>
      <c r="BD12" s="79" t="str">
        <f>M11</f>
        <v>车库</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179">
        <v>0.03</v>
      </c>
      <c r="B13" s="3039"/>
      <c r="C13" s="3039" t="s">
        <v>3005</v>
      </c>
      <c r="D13" s="3040" t="s">
        <v>1678</v>
      </c>
      <c r="E13" s="27">
        <f t="shared" ref="E13:E20" si="6">IF($C$3="是",ROUND($A$3*G13/$B$3,2),ROUND($A$3*(G13-AT13)/$B$3,2))</f>
        <v>102258.45</v>
      </c>
      <c r="F13" s="81"/>
      <c r="G13" s="82">
        <f t="shared" ref="G13:G20" si="7">H13+AC13+AT13</f>
        <v>224968.58</v>
      </c>
      <c r="H13" s="33">
        <f t="shared" ref="H13:H20" si="8">SUMIF(I$12:AB$12,"总值",I13:AB13)</f>
        <v>224968.58</v>
      </c>
      <c r="I13" s="3043">
        <f>A14-K14</f>
        <v>224968.58</v>
      </c>
      <c r="J13" s="3043"/>
      <c r="K13" s="3043"/>
      <c r="L13" s="3043"/>
      <c r="M13" s="3043"/>
      <c r="N13" s="83"/>
      <c r="O13" s="83"/>
      <c r="P13" s="83"/>
      <c r="Q13" s="83"/>
      <c r="R13" s="83"/>
      <c r="S13" s="83"/>
      <c r="T13" s="83"/>
      <c r="U13" s="83"/>
      <c r="V13" s="83"/>
      <c r="W13" s="83"/>
      <c r="X13" s="83"/>
      <c r="Y13" s="83"/>
      <c r="Z13" s="83"/>
      <c r="AA13" s="83"/>
      <c r="AB13" s="83"/>
      <c r="AC13" s="27">
        <f t="shared" ref="AC13:AC20" si="9">SUMIF(AD$12:AS$12,"总值",AD13:AS13)</f>
        <v>0</v>
      </c>
      <c r="AD13" s="3047"/>
      <c r="AE13" s="3047"/>
      <c r="AF13" s="3047"/>
      <c r="AG13" s="3047"/>
      <c r="AH13" s="3047"/>
      <c r="AI13" s="3047"/>
      <c r="AJ13" s="3047"/>
      <c r="AK13" s="3047"/>
      <c r="AL13" s="3047"/>
      <c r="AM13" s="3047"/>
      <c r="AN13" s="3047"/>
      <c r="AO13" s="3047"/>
      <c r="AP13" s="3047"/>
      <c r="AQ13" s="3047"/>
      <c r="AR13" s="3047"/>
      <c r="AS13" s="3047"/>
      <c r="AT13" s="3048"/>
      <c r="AU13" s="3049"/>
      <c r="AV13" s="17">
        <f t="shared" ref="AV13:AX20" si="10">A13</f>
        <v>0.03</v>
      </c>
      <c r="AW13" s="17">
        <f t="shared" si="10"/>
        <v>0</v>
      </c>
      <c r="AX13" s="17" t="str">
        <f t="shared" si="10"/>
        <v>住宅用房</v>
      </c>
      <c r="AY13" s="995">
        <f t="shared" ref="AY13:AY20" si="11">ROUND($AY$6*AZ13/$AZ$5,2)</f>
        <v>102258.45</v>
      </c>
      <c r="AZ13" s="27">
        <f t="shared" ref="AZ13:AZ20" si="12">BA13+BL13</f>
        <v>224968.58</v>
      </c>
      <c r="BA13" s="27">
        <f t="shared" ref="BA13:BA20" si="13">SUM(BB13:BK13)</f>
        <v>224968.58</v>
      </c>
      <c r="BB13" s="27">
        <f t="shared" ref="BB13:BB20" si="14">IF($D13="是",I13-J13,0)</f>
        <v>224968.58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9">
        <v>231926.37</v>
      </c>
      <c r="B14" s="3039"/>
      <c r="C14" s="3039" t="s">
        <v>3105</v>
      </c>
      <c r="D14" s="3040" t="s">
        <v>1678</v>
      </c>
      <c r="E14" s="27">
        <f t="shared" si="6"/>
        <v>3162.63</v>
      </c>
      <c r="F14" s="81"/>
      <c r="G14" s="82">
        <f t="shared" si="7"/>
        <v>6957.79</v>
      </c>
      <c r="H14" s="33">
        <f t="shared" si="8"/>
        <v>6957.79</v>
      </c>
      <c r="I14" s="3043"/>
      <c r="J14" s="3043"/>
      <c r="K14" s="3043">
        <f>ROUND(A14*A13,2)</f>
        <v>6957.79</v>
      </c>
      <c r="L14" s="3043"/>
      <c r="M14" s="3043"/>
      <c r="N14" s="83"/>
      <c r="O14" s="83"/>
      <c r="P14" s="83"/>
      <c r="Q14" s="83"/>
      <c r="R14" s="83"/>
      <c r="S14" s="83"/>
      <c r="T14" s="83"/>
      <c r="U14" s="83"/>
      <c r="V14" s="83"/>
      <c r="W14" s="83"/>
      <c r="X14" s="83"/>
      <c r="Y14" s="83"/>
      <c r="Z14" s="83"/>
      <c r="AA14" s="83"/>
      <c r="AB14" s="83"/>
      <c r="AC14" s="27">
        <f t="shared" si="9"/>
        <v>0</v>
      </c>
      <c r="AD14" s="3047"/>
      <c r="AE14" s="3047"/>
      <c r="AF14" s="3047"/>
      <c r="AG14" s="3047"/>
      <c r="AH14" s="3047"/>
      <c r="AI14" s="3047"/>
      <c r="AJ14" s="3047"/>
      <c r="AK14" s="3047"/>
      <c r="AL14" s="3047"/>
      <c r="AM14" s="3047"/>
      <c r="AN14" s="3047"/>
      <c r="AO14" s="3047"/>
      <c r="AP14" s="3047"/>
      <c r="AQ14" s="3047"/>
      <c r="AR14" s="3047"/>
      <c r="AS14" s="3047"/>
      <c r="AT14" s="3048"/>
      <c r="AU14" s="3049"/>
      <c r="AV14" s="17">
        <f t="shared" si="10"/>
        <v>231926.37</v>
      </c>
      <c r="AW14" s="17">
        <f t="shared" si="10"/>
        <v>0</v>
      </c>
      <c r="AX14" s="17" t="str">
        <f t="shared" si="10"/>
        <v>商业用房</v>
      </c>
      <c r="AY14" s="995">
        <f t="shared" si="11"/>
        <v>3162.63</v>
      </c>
      <c r="AZ14" s="27">
        <f t="shared" si="12"/>
        <v>6957.79</v>
      </c>
      <c r="BA14" s="27">
        <f t="shared" si="13"/>
        <v>6957.79</v>
      </c>
      <c r="BB14" s="27">
        <f t="shared" si="14"/>
        <v>0</v>
      </c>
      <c r="BC14" s="27">
        <f t="shared" si="15"/>
        <v>6957.79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179"/>
      <c r="B15" s="3039"/>
      <c r="C15" s="3041"/>
      <c r="D15" s="3040"/>
      <c r="E15" s="27">
        <f t="shared" si="6"/>
        <v>0</v>
      </c>
      <c r="F15" s="81"/>
      <c r="G15" s="82">
        <f t="shared" si="7"/>
        <v>0</v>
      </c>
      <c r="H15" s="33">
        <f t="shared" si="8"/>
        <v>0</v>
      </c>
      <c r="I15" s="3043"/>
      <c r="J15" s="3043"/>
      <c r="K15" s="3043"/>
      <c r="L15" s="3043"/>
      <c r="M15" s="3043"/>
      <c r="N15" s="83"/>
      <c r="O15" s="83"/>
      <c r="P15" s="83"/>
      <c r="Q15" s="83"/>
      <c r="R15" s="83"/>
      <c r="S15" s="83"/>
      <c r="T15" s="83"/>
      <c r="U15" s="83"/>
      <c r="V15" s="83"/>
      <c r="W15" s="83"/>
      <c r="X15" s="83"/>
      <c r="Y15" s="83"/>
      <c r="Z15" s="83"/>
      <c r="AA15" s="83"/>
      <c r="AB15" s="83"/>
      <c r="AC15" s="27">
        <f t="shared" si="9"/>
        <v>0</v>
      </c>
      <c r="AD15" s="3047"/>
      <c r="AE15" s="3047"/>
      <c r="AF15" s="3047"/>
      <c r="AG15" s="3047"/>
      <c r="AH15" s="3047"/>
      <c r="AI15" s="3047"/>
      <c r="AJ15" s="3047"/>
      <c r="AK15" s="3047"/>
      <c r="AL15" s="3047"/>
      <c r="AM15" s="3047"/>
      <c r="AN15" s="3047"/>
      <c r="AO15" s="3047"/>
      <c r="AP15" s="3047"/>
      <c r="AQ15" s="3047"/>
      <c r="AR15" s="3047"/>
      <c r="AS15" s="3047"/>
      <c r="AT15" s="3048"/>
      <c r="AU15" s="3049"/>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9"/>
      <c r="B16" s="3039"/>
      <c r="C16" s="3041"/>
      <c r="D16" s="3040"/>
      <c r="E16" s="27">
        <f t="shared" si="6"/>
        <v>0</v>
      </c>
      <c r="F16" s="81"/>
      <c r="G16" s="82">
        <f t="shared" si="7"/>
        <v>0</v>
      </c>
      <c r="H16" s="33">
        <f t="shared" si="8"/>
        <v>0</v>
      </c>
      <c r="I16" s="3043"/>
      <c r="J16" s="3043"/>
      <c r="K16" s="3043"/>
      <c r="L16" s="3043"/>
      <c r="M16" s="3043"/>
      <c r="N16" s="83"/>
      <c r="O16" s="83"/>
      <c r="P16" s="83"/>
      <c r="Q16" s="83"/>
      <c r="R16" s="83"/>
      <c r="S16" s="83"/>
      <c r="T16" s="83"/>
      <c r="U16" s="83"/>
      <c r="V16" s="83"/>
      <c r="W16" s="83"/>
      <c r="X16" s="83"/>
      <c r="Y16" s="83"/>
      <c r="Z16" s="83"/>
      <c r="AA16" s="83"/>
      <c r="AB16" s="83"/>
      <c r="AC16" s="27">
        <f t="shared" si="9"/>
        <v>0</v>
      </c>
      <c r="AD16" s="3047"/>
      <c r="AE16" s="3047"/>
      <c r="AF16" s="3047"/>
      <c r="AG16" s="3047"/>
      <c r="AH16" s="3047"/>
      <c r="AI16" s="3047"/>
      <c r="AJ16" s="3047"/>
      <c r="AK16" s="3047"/>
      <c r="AL16" s="3047"/>
      <c r="AM16" s="3047"/>
      <c r="AN16" s="3047"/>
      <c r="AO16" s="3047"/>
      <c r="AP16" s="3047"/>
      <c r="AQ16" s="3047"/>
      <c r="AR16" s="3047"/>
      <c r="AS16" s="3047"/>
      <c r="AT16" s="3048"/>
      <c r="AU16" s="3049"/>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9"/>
      <c r="B17" s="3039"/>
      <c r="C17" s="3041"/>
      <c r="D17" s="3040"/>
      <c r="E17" s="27">
        <f t="shared" si="6"/>
        <v>0</v>
      </c>
      <c r="F17" s="81"/>
      <c r="G17" s="82">
        <f t="shared" si="7"/>
        <v>0</v>
      </c>
      <c r="H17" s="33">
        <f t="shared" si="8"/>
        <v>0</v>
      </c>
      <c r="I17" s="3043"/>
      <c r="J17" s="3043"/>
      <c r="K17" s="3043"/>
      <c r="L17" s="3043"/>
      <c r="M17" s="3043"/>
      <c r="N17" s="83"/>
      <c r="O17" s="83"/>
      <c r="P17" s="83"/>
      <c r="Q17" s="83"/>
      <c r="R17" s="83"/>
      <c r="S17" s="83"/>
      <c r="T17" s="83"/>
      <c r="U17" s="83"/>
      <c r="V17" s="83"/>
      <c r="W17" s="83"/>
      <c r="X17" s="83"/>
      <c r="Y17" s="83"/>
      <c r="Z17" s="83"/>
      <c r="AA17" s="83"/>
      <c r="AB17" s="83"/>
      <c r="AC17" s="27">
        <f t="shared" si="9"/>
        <v>0</v>
      </c>
      <c r="AD17" s="3047"/>
      <c r="AE17" s="3047"/>
      <c r="AF17" s="3047"/>
      <c r="AG17" s="3047"/>
      <c r="AH17" s="3047"/>
      <c r="AI17" s="3047"/>
      <c r="AJ17" s="3047"/>
      <c r="AK17" s="3047"/>
      <c r="AL17" s="3047"/>
      <c r="AM17" s="3047"/>
      <c r="AN17" s="3047"/>
      <c r="AO17" s="3047"/>
      <c r="AP17" s="3047"/>
      <c r="AQ17" s="3047"/>
      <c r="AR17" s="3047"/>
      <c r="AS17" s="3047"/>
      <c r="AT17" s="3048"/>
      <c r="AU17" s="3049"/>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2"/>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6" t="s">
        <v>0</v>
      </c>
      <c r="B1" s="3256" t="s">
        <v>4</v>
      </c>
      <c r="C1" s="3256" t="s">
        <v>5</v>
      </c>
      <c r="D1" s="3257" t="s">
        <v>40</v>
      </c>
      <c r="E1" s="3257" t="s">
        <v>41</v>
      </c>
      <c r="F1" s="3257"/>
      <c r="G1" s="3257"/>
      <c r="H1" s="3257"/>
      <c r="I1" s="3257"/>
      <c r="J1" s="3257"/>
      <c r="K1" s="3257"/>
      <c r="L1" s="3257"/>
      <c r="M1" s="3257"/>
    </row>
    <row r="2" spans="1:13" ht="27" customHeight="1">
      <c r="A2" s="3256"/>
      <c r="B2" s="3256"/>
      <c r="C2" s="3256"/>
      <c r="D2" s="3257"/>
      <c r="E2" s="3257" t="s">
        <v>24</v>
      </c>
      <c r="F2" s="3257" t="s">
        <v>25</v>
      </c>
      <c r="G2" s="3257"/>
      <c r="H2" s="3257"/>
      <c r="I2" s="3257"/>
      <c r="J2" s="3257" t="s">
        <v>26</v>
      </c>
      <c r="K2" s="3257"/>
      <c r="L2" s="3257"/>
      <c r="M2" s="3257"/>
    </row>
    <row r="3" spans="1:13" ht="28.5">
      <c r="A3" s="3256"/>
      <c r="B3" s="3256"/>
      <c r="C3" s="3256"/>
      <c r="D3" s="3257"/>
      <c r="E3" s="325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7" t="s">
        <v>42</v>
      </c>
      <c r="B9" s="3257"/>
      <c r="C9" s="325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201</v>
      </c>
      <c r="B1" s="1983"/>
      <c r="C1" s="1983"/>
      <c r="D1" s="1983"/>
      <c r="E1" s="1983"/>
      <c r="F1" s="1983"/>
      <c r="G1" s="1983"/>
      <c r="H1" s="1983"/>
      <c r="I1" s="1983"/>
      <c r="J1" s="1983"/>
      <c r="K1" s="1983"/>
      <c r="L1" s="1983"/>
    </row>
    <row r="2" spans="1:16" ht="15">
      <c r="A2" s="3267" t="s">
        <v>202</v>
      </c>
      <c r="B2" s="3267"/>
      <c r="C2" s="3267"/>
      <c r="D2" s="1974" t="s">
        <v>203</v>
      </c>
      <c r="E2" s="106" t="s">
        <v>204</v>
      </c>
      <c r="F2" s="1983"/>
      <c r="G2" s="1197"/>
      <c r="H2" s="1198"/>
      <c r="I2" s="1199" t="s">
        <v>856</v>
      </c>
      <c r="J2" s="1983"/>
      <c r="K2" s="1983"/>
      <c r="L2" s="1983"/>
    </row>
    <row r="3" spans="1:16" ht="15.75" thickBot="1">
      <c r="A3" s="3268" t="s">
        <v>205</v>
      </c>
      <c r="B3" s="3268"/>
      <c r="C3" s="3268"/>
      <c r="D3" s="107">
        <f>'数据-基础表'!AY6</f>
        <v>105421.08</v>
      </c>
      <c r="E3" s="107">
        <f>'数据-基础表'!AZ5</f>
        <v>231926.37</v>
      </c>
      <c r="F3" s="1983"/>
      <c r="G3" s="279" t="s">
        <v>857</v>
      </c>
      <c r="H3" s="274" t="s">
        <v>858</v>
      </c>
      <c r="I3" s="1975">
        <f>ROUND('数据-基础表'!B3/'数据-基础表'!A3,2)</f>
        <v>2.2000000000000002</v>
      </c>
      <c r="J3" s="1983"/>
      <c r="K3" s="1983"/>
      <c r="L3" s="1983"/>
    </row>
    <row r="4" spans="1:16" ht="15">
      <c r="A4" s="3269"/>
      <c r="B4" s="3270"/>
      <c r="C4" s="3271"/>
      <c r="D4" s="108" t="s">
        <v>203</v>
      </c>
      <c r="E4" s="109" t="s">
        <v>204</v>
      </c>
      <c r="F4" s="1983"/>
      <c r="G4" s="1200"/>
      <c r="H4" s="274" t="s">
        <v>859</v>
      </c>
      <c r="I4" s="1975">
        <f>ROUND(SUMIF('数据-基础表'!I9:AS9,"地上",'数据-基础表'!I5:AS5)/'数据-基础表'!A3,2)</f>
        <v>2.2000000000000002</v>
      </c>
      <c r="J4" s="1983"/>
      <c r="K4" s="1983"/>
      <c r="L4" s="1983"/>
    </row>
    <row r="5" spans="1:16">
      <c r="A5" s="110" t="s">
        <v>206</v>
      </c>
      <c r="B5" s="3272" t="s">
        <v>229</v>
      </c>
      <c r="C5" s="3272"/>
      <c r="D5" s="111">
        <f>ROUND($D$3*E5/$E$3,2)</f>
        <v>102258.45</v>
      </c>
      <c r="E5" s="112">
        <f>SUMIF('数据-基础表'!$11:$11,"住宅",'数据-基础表'!$5:$5)</f>
        <v>224968.58</v>
      </c>
      <c r="F5" s="1983"/>
      <c r="G5" s="279" t="s">
        <v>860</v>
      </c>
      <c r="H5" s="274" t="s">
        <v>858</v>
      </c>
      <c r="I5" s="1975">
        <f>ROUND(E31/D31,2)</f>
        <v>2.2000000000000002</v>
      </c>
      <c r="J5" s="1983"/>
      <c r="K5" s="1983"/>
      <c r="L5" s="1983"/>
    </row>
    <row r="6" spans="1:16" ht="15" thickBot="1">
      <c r="A6" s="113"/>
      <c r="B6" s="3272" t="s">
        <v>207</v>
      </c>
      <c r="C6" s="3272"/>
      <c r="D6" s="111">
        <f>ROUND($D$3*E6/$E$3,2)</f>
        <v>3162.63</v>
      </c>
      <c r="E6" s="112">
        <f>E3-E5</f>
        <v>6957.7900000000081</v>
      </c>
      <c r="F6" s="1983"/>
      <c r="G6" s="1200"/>
      <c r="H6" s="274" t="s">
        <v>859</v>
      </c>
      <c r="I6" s="1975">
        <f>ROUND(F31/D31,2)</f>
        <v>2.2000000000000002</v>
      </c>
      <c r="J6" s="1983"/>
      <c r="K6" s="1983"/>
      <c r="L6" s="1983"/>
    </row>
    <row r="7" spans="1:16" ht="15">
      <c r="A7" s="3264"/>
      <c r="B7" s="3265"/>
      <c r="C7" s="3266"/>
      <c r="D7" s="108" t="s">
        <v>203</v>
      </c>
      <c r="E7" s="114" t="s">
        <v>230</v>
      </c>
      <c r="F7" s="1983"/>
      <c r="G7" s="1155" t="s">
        <v>1645</v>
      </c>
      <c r="H7" s="1156"/>
      <c r="I7" s="1845">
        <f>I5</f>
        <v>2.2000000000000002</v>
      </c>
      <c r="J7" s="1983"/>
      <c r="K7" s="1983"/>
      <c r="L7" s="1983"/>
    </row>
    <row r="8" spans="1:16">
      <c r="A8" s="110" t="s">
        <v>208</v>
      </c>
      <c r="B8" s="115" t="s">
        <v>209</v>
      </c>
      <c r="C8" s="111" t="s">
        <v>210</v>
      </c>
      <c r="D8" s="111">
        <f t="shared" ref="D8:D15" si="0">ROUND($D$3*E8/$E$3,2)</f>
        <v>105421.08</v>
      </c>
      <c r="E8" s="116">
        <f>SUMIF('数据-基础表'!BB10:BK10,"地上",'数据-基础表'!BB5:BK5)</f>
        <v>231926.37</v>
      </c>
      <c r="F8" s="1983"/>
      <c r="G8" s="1985"/>
      <c r="H8" s="1985"/>
      <c r="I8" s="1983"/>
      <c r="J8" s="1983"/>
      <c r="K8" s="1983"/>
      <c r="L8" s="1983"/>
    </row>
    <row r="9" spans="1:16">
      <c r="A9" s="117"/>
      <c r="B9" s="118"/>
      <c r="C9" s="111" t="s">
        <v>211</v>
      </c>
      <c r="D9" s="111">
        <f t="shared" si="0"/>
        <v>0</v>
      </c>
      <c r="E9" s="119">
        <v>0</v>
      </c>
      <c r="F9" s="1983"/>
      <c r="G9" s="1985"/>
      <c r="H9" s="1985"/>
      <c r="I9" s="1983"/>
      <c r="J9" s="1983"/>
      <c r="K9" s="1983"/>
      <c r="L9" s="1983"/>
    </row>
    <row r="10" spans="1:16">
      <c r="A10" s="117"/>
      <c r="B10" s="118"/>
      <c r="C10" s="111" t="s">
        <v>212</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2327</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213</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2334</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231</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232</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214</v>
      </c>
      <c r="D16" s="115">
        <f>SUM(D8:D15)</f>
        <v>105421.08</v>
      </c>
      <c r="E16" s="120">
        <f>SUM(E8:E15)</f>
        <v>231926.37</v>
      </c>
      <c r="F16" s="1983"/>
      <c r="G16" s="1985"/>
      <c r="H16" s="967" t="s">
        <v>218</v>
      </c>
      <c r="I16" s="968"/>
      <c r="J16" s="1983"/>
      <c r="K16" s="3258" t="s">
        <v>2569</v>
      </c>
      <c r="L16" s="3259"/>
      <c r="M16" s="3259"/>
      <c r="N16" s="3259"/>
      <c r="O16" s="3259"/>
      <c r="P16" s="3260"/>
    </row>
    <row r="17" spans="1:19" ht="15">
      <c r="A17" s="121" t="s">
        <v>215</v>
      </c>
      <c r="B17" s="122" t="s">
        <v>216</v>
      </c>
      <c r="C17" s="2297" t="s">
        <v>2314</v>
      </c>
      <c r="D17" s="108" t="s">
        <v>203</v>
      </c>
      <c r="E17" s="124" t="s">
        <v>204</v>
      </c>
      <c r="F17" s="125"/>
      <c r="G17" s="1364"/>
      <c r="H17" s="969" t="s">
        <v>217</v>
      </c>
      <c r="I17" s="970" t="s">
        <v>2313</v>
      </c>
      <c r="J17" s="1983"/>
      <c r="K17" s="3261" t="s">
        <v>2570</v>
      </c>
      <c r="L17" s="3262"/>
      <c r="M17" s="3263"/>
      <c r="N17" s="3261" t="s">
        <v>2571</v>
      </c>
      <c r="O17" s="3262"/>
      <c r="P17" s="3263"/>
      <c r="R17" s="2298" t="s">
        <v>2312</v>
      </c>
      <c r="S17" s="144"/>
    </row>
    <row r="18" spans="1:19" ht="15">
      <c r="A18" s="117"/>
      <c r="B18" s="128"/>
      <c r="C18" s="129"/>
      <c r="D18" s="2666"/>
      <c r="E18" s="130" t="s">
        <v>219</v>
      </c>
      <c r="F18" s="131" t="s">
        <v>220</v>
      </c>
      <c r="G18" s="1365" t="s">
        <v>221</v>
      </c>
      <c r="H18" s="971" t="s">
        <v>222</v>
      </c>
      <c r="I18" s="972" t="s">
        <v>223</v>
      </c>
      <c r="J18" s="1983"/>
      <c r="K18" s="2628" t="s">
        <v>2572</v>
      </c>
      <c r="L18" s="2629" t="s">
        <v>2573</v>
      </c>
      <c r="M18" s="2630" t="s">
        <v>2574</v>
      </c>
      <c r="N18" s="2628" t="s">
        <v>2572</v>
      </c>
      <c r="O18" s="2629" t="s">
        <v>2573</v>
      </c>
      <c r="P18" s="2630" t="s">
        <v>2574</v>
      </c>
      <c r="R18" s="2299" t="s">
        <v>2310</v>
      </c>
      <c r="S18" s="2299" t="s">
        <v>2311</v>
      </c>
    </row>
    <row r="19" spans="1:19">
      <c r="A19" s="133"/>
      <c r="B19" s="115" t="s">
        <v>224</v>
      </c>
      <c r="C19" s="3050" t="s">
        <v>3007</v>
      </c>
      <c r="D19" s="111">
        <f t="shared" ref="D19:D26" si="1">ROUND($D$3*E19/$E$3,2)</f>
        <v>102258.45</v>
      </c>
      <c r="E19" s="134">
        <f t="shared" ref="E19:E26" si="2">SUM(F19:G19)</f>
        <v>224968.58</v>
      </c>
      <c r="F19" s="135">
        <f>'数据-基础表'!I13</f>
        <v>224968.58</v>
      </c>
      <c r="G19" s="1366"/>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102258.45</v>
      </c>
      <c r="S19" s="2300">
        <f t="shared" si="5"/>
        <v>224968.58</v>
      </c>
    </row>
    <row r="20" spans="1:19">
      <c r="A20" s="138"/>
      <c r="B20" s="115" t="s">
        <v>225</v>
      </c>
      <c r="C20" s="3050" t="s">
        <v>3106</v>
      </c>
      <c r="D20" s="111">
        <f t="shared" si="1"/>
        <v>3162.63</v>
      </c>
      <c r="E20" s="134">
        <f t="shared" si="2"/>
        <v>6957.79</v>
      </c>
      <c r="F20" s="135">
        <f>'数据-基础表'!K14</f>
        <v>6957.79</v>
      </c>
      <c r="G20" s="1366">
        <f>'数据-基础表'!M14</f>
        <v>0</v>
      </c>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3162.63</v>
      </c>
      <c r="S20" s="2300">
        <f t="shared" si="5"/>
        <v>6957.79</v>
      </c>
    </row>
    <row r="21" spans="1:19">
      <c r="A21" s="138"/>
      <c r="B21" s="115" t="s">
        <v>225</v>
      </c>
      <c r="C21" s="3050"/>
      <c r="D21" s="111">
        <f t="shared" si="1"/>
        <v>0</v>
      </c>
      <c r="E21" s="134">
        <f t="shared" si="2"/>
        <v>0</v>
      </c>
      <c r="F21" s="135">
        <f>'数据-基础表'!K13</f>
        <v>0</v>
      </c>
      <c r="G21" s="1366"/>
      <c r="H21" s="973">
        <f t="shared" si="6"/>
        <v>0</v>
      </c>
      <c r="I21" s="116">
        <f t="shared" si="7"/>
        <v>0</v>
      </c>
      <c r="J21" s="1983"/>
      <c r="K21" s="2631">
        <f t="shared" si="3"/>
        <v>0</v>
      </c>
      <c r="L21" s="274">
        <f t="shared" si="4"/>
        <v>0</v>
      </c>
      <c r="M21" s="2632">
        <f t="shared" si="8"/>
        <v>0</v>
      </c>
      <c r="N21" s="2633"/>
      <c r="O21" s="2634"/>
      <c r="P21" s="2635">
        <f t="shared" si="9"/>
        <v>0</v>
      </c>
      <c r="R21" s="274">
        <f t="shared" si="5"/>
        <v>0</v>
      </c>
      <c r="S21" s="2300">
        <f t="shared" si="5"/>
        <v>0</v>
      </c>
    </row>
    <row r="22" spans="1:19">
      <c r="A22" s="138"/>
      <c r="B22" s="115" t="s">
        <v>225</v>
      </c>
      <c r="C22" s="3050"/>
      <c r="D22" s="111">
        <f t="shared" si="1"/>
        <v>0</v>
      </c>
      <c r="E22" s="134">
        <f t="shared" si="2"/>
        <v>0</v>
      </c>
      <c r="F22" s="140"/>
      <c r="G22" s="1367"/>
      <c r="H22" s="973">
        <f t="shared" si="6"/>
        <v>0</v>
      </c>
      <c r="I22" s="116">
        <f t="shared" si="7"/>
        <v>0</v>
      </c>
      <c r="J22" s="1983"/>
      <c r="K22" s="2631">
        <f t="shared" si="3"/>
        <v>0</v>
      </c>
      <c r="L22" s="274">
        <f t="shared" si="4"/>
        <v>0</v>
      </c>
      <c r="M22" s="2632">
        <f t="shared" si="8"/>
        <v>0</v>
      </c>
      <c r="N22" s="2633"/>
      <c r="O22" s="2634"/>
      <c r="P22" s="2635">
        <f t="shared" si="9"/>
        <v>0</v>
      </c>
      <c r="R22" s="274">
        <f t="shared" si="5"/>
        <v>0</v>
      </c>
      <c r="S22" s="2300">
        <f t="shared" si="5"/>
        <v>0</v>
      </c>
    </row>
    <row r="23" spans="1:19">
      <c r="A23" s="138"/>
      <c r="B23" s="115" t="s">
        <v>225</v>
      </c>
      <c r="C23" s="3050"/>
      <c r="D23" s="111">
        <f>ROUND($D$3*E23/$E$3,2)</f>
        <v>0</v>
      </c>
      <c r="E23" s="134">
        <f>SUM(F23:G23)</f>
        <v>0</v>
      </c>
      <c r="F23" s="140"/>
      <c r="G23" s="1367"/>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225</v>
      </c>
      <c r="C24" s="3050"/>
      <c r="D24" s="111">
        <f>ROUND($D$3*E24/$E$3,2)</f>
        <v>0</v>
      </c>
      <c r="E24" s="134">
        <f>SUM(F24:G24)</f>
        <v>0</v>
      </c>
      <c r="F24" s="140"/>
      <c r="G24" s="1367"/>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225</v>
      </c>
      <c r="C25" s="139"/>
      <c r="D25" s="111">
        <f t="shared" si="1"/>
        <v>0</v>
      </c>
      <c r="E25" s="134">
        <f t="shared" si="2"/>
        <v>0</v>
      </c>
      <c r="F25" s="140"/>
      <c r="G25" s="1367"/>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225</v>
      </c>
      <c r="C26" s="142"/>
      <c r="D26" s="111">
        <f t="shared" si="1"/>
        <v>0</v>
      </c>
      <c r="E26" s="134">
        <f t="shared" si="2"/>
        <v>0</v>
      </c>
      <c r="F26" s="140"/>
      <c r="G26" s="1367"/>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214</v>
      </c>
      <c r="D27" s="134">
        <f>SUM(D19:D26)</f>
        <v>105421.08</v>
      </c>
      <c r="E27" s="143">
        <f>IF(SUM(E19:E26)='数据-基础表'!BA5,SUM(E19:E26),IF(F27="地上面积有误","面积有误","地下面积有误"))</f>
        <v>231926.37</v>
      </c>
      <c r="F27" s="134">
        <f>IF(SUM(F19:F26)=E8,SUM(F19:F26),"地上面积有误")</f>
        <v>231926.37</v>
      </c>
      <c r="G27" s="112">
        <f>SUM(G19:G26)</f>
        <v>0</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105421.08</v>
      </c>
      <c r="S27" s="274">
        <f>IF(SUM(S19:S26)=$E$3,SUM(S19:S26),SUM(S19:S26)&amp;"误差"&amp;ROUND(SUM(S19:S26)-E3,2))</f>
        <v>231926.37</v>
      </c>
    </row>
    <row r="28" spans="1:19">
      <c r="A28" s="138"/>
      <c r="B28" s="115" t="s">
        <v>226</v>
      </c>
      <c r="C28" s="136" t="s">
        <v>227</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226</v>
      </c>
      <c r="C29" s="2312" t="s">
        <v>2321</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214</v>
      </c>
      <c r="D30" s="134">
        <f>SUM(D28:D29)</f>
        <v>0</v>
      </c>
      <c r="E30" s="134">
        <f>SUM(E28:E29)</f>
        <v>0</v>
      </c>
      <c r="F30" s="134">
        <f>SUM(F28:F29)</f>
        <v>0</v>
      </c>
      <c r="G30" s="112">
        <f>SUM(G28:G29)</f>
        <v>0</v>
      </c>
      <c r="H30" s="1983"/>
      <c r="I30" s="1983"/>
      <c r="J30" s="1983"/>
      <c r="K30" s="1983"/>
      <c r="L30" s="1983"/>
    </row>
    <row r="31" spans="1:19" ht="32.25" customHeight="1" thickBot="1">
      <c r="A31" s="1368"/>
      <c r="B31" s="1369" t="s">
        <v>228</v>
      </c>
      <c r="C31" s="2329" t="s">
        <v>2323</v>
      </c>
      <c r="D31" s="1370">
        <f>D27+D30</f>
        <v>105421.08</v>
      </c>
      <c r="E31" s="1370">
        <f>E27+E30</f>
        <v>231926.37</v>
      </c>
      <c r="F31" s="1371">
        <f>F27+F30</f>
        <v>231926.37</v>
      </c>
      <c r="G31" s="1372">
        <f>G27+G30</f>
        <v>0</v>
      </c>
      <c r="H31" s="1983"/>
      <c r="I31" s="1983"/>
      <c r="J31" s="1983"/>
      <c r="K31" s="1983"/>
      <c r="L31" s="1983"/>
    </row>
    <row r="32" spans="1:19">
      <c r="A32" s="1983"/>
      <c r="B32" s="2362" t="s">
        <v>2322</v>
      </c>
      <c r="C32" s="2671"/>
      <c r="D32" s="1200"/>
      <c r="E32" s="1200">
        <f>SUMIF(C19:C26,"*住宅*",E19:E26)</f>
        <v>224968.58</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S6" activePane="bottomRight" state="frozen"/>
      <selection pane="topRight" activeCell="D1" sqref="D1"/>
      <selection pane="bottomLeft" activeCell="A4" sqref="A4"/>
      <selection pane="bottomRight" activeCell="Y8" sqref="Y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3" width="7.25" style="1202" customWidth="1"/>
    <col min="34" max="34" width="9.6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233</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234</v>
      </c>
      <c r="B2" s="2337">
        <f>项目基本情况!D3</f>
        <v>43083</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6"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40.5">
      <c r="A5" s="2303" t="s">
        <v>2325</v>
      </c>
      <c r="B5" s="156" t="s">
        <v>235</v>
      </c>
      <c r="C5" s="157" t="s">
        <v>236</v>
      </c>
      <c r="D5" s="158" t="s">
        <v>237</v>
      </c>
      <c r="E5" s="159" t="s">
        <v>238</v>
      </c>
      <c r="F5" s="160" t="s">
        <v>239</v>
      </c>
      <c r="G5" s="159" t="s">
        <v>240</v>
      </c>
      <c r="H5" s="159" t="s">
        <v>861</v>
      </c>
      <c r="I5" s="159" t="s">
        <v>862</v>
      </c>
      <c r="J5" s="161" t="s">
        <v>241</v>
      </c>
      <c r="K5" s="162" t="s">
        <v>242</v>
      </c>
      <c r="L5" s="163" t="s">
        <v>243</v>
      </c>
      <c r="M5" s="164" t="s">
        <v>244</v>
      </c>
      <c r="N5" s="1218" t="s">
        <v>2833</v>
      </c>
      <c r="O5" s="163" t="s">
        <v>245</v>
      </c>
      <c r="P5" s="165" t="s">
        <v>246</v>
      </c>
      <c r="Q5" s="166" t="s">
        <v>247</v>
      </c>
      <c r="R5" s="167" t="s">
        <v>248</v>
      </c>
      <c r="S5" s="2644" t="s">
        <v>2575</v>
      </c>
      <c r="T5" s="168" t="s">
        <v>249</v>
      </c>
      <c r="U5" s="169" t="s">
        <v>250</v>
      </c>
      <c r="V5" s="159" t="s">
        <v>251</v>
      </c>
      <c r="W5" s="159" t="s">
        <v>252</v>
      </c>
      <c r="X5" s="1817"/>
      <c r="Y5" s="170" t="s">
        <v>253</v>
      </c>
      <c r="Z5" s="171" t="s">
        <v>254</v>
      </c>
      <c r="AA5" s="159" t="s">
        <v>251</v>
      </c>
      <c r="AB5" s="159" t="s">
        <v>252</v>
      </c>
      <c r="AC5" s="1818"/>
      <c r="AD5" s="172" t="s">
        <v>253</v>
      </c>
      <c r="AE5" s="1" t="s">
        <v>869</v>
      </c>
      <c r="AF5" s="159" t="s">
        <v>255</v>
      </c>
      <c r="AG5" s="170" t="s">
        <v>256</v>
      </c>
      <c r="AH5" s="1818" t="s">
        <v>2324</v>
      </c>
      <c r="AI5" s="171" t="s">
        <v>2293</v>
      </c>
      <c r="AJ5" s="171" t="s">
        <v>257</v>
      </c>
      <c r="AK5" s="159" t="s">
        <v>258</v>
      </c>
      <c r="AL5" s="159" t="s">
        <v>259</v>
      </c>
      <c r="AM5" s="172" t="s">
        <v>260</v>
      </c>
      <c r="AN5" s="2414" t="s">
        <v>2374</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住宅用房</v>
      </c>
      <c r="B6" s="2336" t="str">
        <f>IF(A6=0,"","经营性")</f>
        <v>经营性</v>
      </c>
      <c r="C6" s="173" t="s">
        <v>922</v>
      </c>
      <c r="D6" s="2307">
        <f>SUMIF(项目基本情况!D$15:I$15,C6,项目基本情况!D$18:I$18)</f>
        <v>70</v>
      </c>
      <c r="E6" s="2308">
        <f>IF(B6="","",SUMIF(项目基本情况!D$15:I$15,C6,项目基本情况!D$17:I$17))</f>
        <v>68521</v>
      </c>
      <c r="F6" s="174">
        <f>SUMIF(项目基本情况!D$15:I$15,C6,项目基本情况!D$19:I$19)</f>
        <v>69.69</v>
      </c>
      <c r="G6" s="175">
        <f>IF(ISERROR(ROUND(POWER(1+H6,D6-F6)*(POWER(1+H6,F6)-1)/(POWER(1+H6,D6)-1),3)),0,ROUND(POWER(1+H6,D6-F6)*(POWER(1+H6,F6)-1)/(POWER(1+H6,D6)-1),3))</f>
        <v>0.999</v>
      </c>
      <c r="H6" s="3051">
        <v>4.4999999999999998E-2</v>
      </c>
      <c r="I6" s="3051">
        <v>0.05</v>
      </c>
      <c r="J6" s="176">
        <v>0.08</v>
      </c>
      <c r="K6" s="179">
        <f>SUMIF('数据-汇总表'!C$19:C$33,'数据-取费表'!A6,'数据-汇总表'!E$19:E$33)</f>
        <v>224968.58</v>
      </c>
      <c r="L6" s="3052">
        <v>1500</v>
      </c>
      <c r="M6" s="177">
        <f t="shared" ref="M6:M14" si="0">ROUND(K6*L6/10000,0)</f>
        <v>33745</v>
      </c>
      <c r="N6" s="3053">
        <v>0</v>
      </c>
      <c r="O6" s="177">
        <f>IF($N$5="成新度","——",ROUND(M6*N6,0))</f>
        <v>0</v>
      </c>
      <c r="P6" s="178">
        <f>IF($N$5="成新度","——",M6-O6)</f>
        <v>33745</v>
      </c>
      <c r="Q6" s="3054">
        <v>0.05</v>
      </c>
      <c r="R6" s="179">
        <f>SUMIF('数据-汇总表'!C$19:C$33,A6,'数据-汇总表'!R$19:R$33)</f>
        <v>102258.45</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5"/>
      <c r="AN6" s="2415"/>
      <c r="AO6" s="1999"/>
      <c r="AP6" s="1203">
        <f>ROUND(1-1/(1+H6)^F6,3)</f>
        <v>0.95299999999999996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2994</v>
      </c>
      <c r="D7" s="2307">
        <f>SUMIF(项目基本情况!D$15:I$15,C7,项目基本情况!D$18:I$18)</f>
        <v>40</v>
      </c>
      <c r="E7" s="2308">
        <f>IF(B7="","",SUMIF(项目基本情况!D$15:I$15,C7,项目基本情况!D$17:I$17))</f>
        <v>57564</v>
      </c>
      <c r="F7" s="174">
        <f>SUMIF(项目基本情况!D$15:I$15,C7,项目基本情况!D$19:I$19)</f>
        <v>39.67</v>
      </c>
      <c r="G7" s="175">
        <f t="shared" ref="G7:G11" si="2">IF(ISERROR(ROUND(POWER(1+H7,D7-F7)*(POWER(1+H7,F7)-1)/(POWER(1+H7,D7)-1),3)),0,ROUND(POWER(1+H7,D7-F7)*(POWER(1+H7,F7)-1)/(POWER(1+H7,D7)-1),3))</f>
        <v>0.997</v>
      </c>
      <c r="H7" s="3051">
        <v>0.05</v>
      </c>
      <c r="I7" s="3051">
        <v>5.5E-2</v>
      </c>
      <c r="J7" s="176">
        <v>0.08</v>
      </c>
      <c r="K7" s="179">
        <f>SUMIF('数据-汇总表'!C$19:C$33,'数据-取费表'!A7,'数据-汇总表'!E$19:E$33)</f>
        <v>6957.79</v>
      </c>
      <c r="L7" s="3052">
        <v>1700</v>
      </c>
      <c r="M7" s="177">
        <f t="shared" si="0"/>
        <v>1183</v>
      </c>
      <c r="N7" s="3053">
        <v>0</v>
      </c>
      <c r="O7" s="177">
        <f t="shared" ref="O7:O14" si="3">IF($N$5="成新度","——",ROUND(M7*N7,0))</f>
        <v>0</v>
      </c>
      <c r="P7" s="178">
        <f t="shared" ref="P7:P14" si="4">IF($N$5="成新度","——",M7-O7)</f>
        <v>1183</v>
      </c>
      <c r="Q7" s="3054">
        <v>0.1</v>
      </c>
      <c r="R7" s="179">
        <f>SUMIF('数据-汇总表'!C$19:C$33,A7,'数据-汇总表'!R$19:R$33)</f>
        <v>3162.63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v>2</v>
      </c>
      <c r="V7" s="181">
        <v>0.02</v>
      </c>
      <c r="W7" s="181">
        <v>0.15</v>
      </c>
      <c r="X7" s="2320"/>
      <c r="Y7" s="182">
        <v>1</v>
      </c>
      <c r="Z7" s="183"/>
      <c r="AA7" s="176"/>
      <c r="AB7" s="176"/>
      <c r="AC7" s="2323"/>
      <c r="AD7" s="184"/>
      <c r="AE7" s="971">
        <f t="shared" ref="AE7:AE13" ca="1" si="6">IF(AN7="",0,SUMIF(INDIRECT("'"&amp;AN7&amp;"'"&amp;"!E:E"),$AE$5,INDIRECT("'"&amp;AN7&amp;"'"&amp;"!F:F")))</f>
        <v>38.17</v>
      </c>
      <c r="AF7" s="141"/>
      <c r="AG7" s="1212">
        <f t="shared" ref="AG7:AG13" si="7">IF(AF7="",0,AE7-AF7)</f>
        <v>0</v>
      </c>
      <c r="AH7" s="3163">
        <f>K7</f>
        <v>6957.79</v>
      </c>
      <c r="AI7" s="187">
        <v>365</v>
      </c>
      <c r="AJ7" s="188"/>
      <c r="AK7" s="189">
        <v>1.4999999999999999E-2</v>
      </c>
      <c r="AL7" s="190">
        <v>1.5E-3</v>
      </c>
      <c r="AM7" s="2413">
        <v>0.01</v>
      </c>
      <c r="AN7" s="2415" t="s">
        <v>3008</v>
      </c>
      <c r="AO7" s="1999"/>
      <c r="AP7" s="1203">
        <f t="shared" ref="AP7:AP13" si="8">ROUND(1-1/(1+H7)^F7,3)</f>
        <v>0.85599999999999998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51"/>
      <c r="I8" s="3051"/>
      <c r="J8" s="176"/>
      <c r="K8" s="179">
        <f>SUMIF('数据-汇总表'!C$19:C$33,'数据-取费表'!A8,'数据-汇总表'!E$19:E$33)</f>
        <v>0</v>
      </c>
      <c r="L8" s="3052"/>
      <c r="M8" s="177">
        <f>ROUND(K8*L8/10000,0)</f>
        <v>0</v>
      </c>
      <c r="N8" s="3053"/>
      <c r="O8" s="177">
        <f t="shared" si="3"/>
        <v>0</v>
      </c>
      <c r="P8" s="178">
        <f t="shared" si="4"/>
        <v>0</v>
      </c>
      <c r="Q8" s="3054"/>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1">
        <f t="shared" ca="1" si="6"/>
        <v>0</v>
      </c>
      <c r="AF8" s="141"/>
      <c r="AG8" s="1212">
        <f t="shared" si="7"/>
        <v>0</v>
      </c>
      <c r="AH8" s="3163"/>
      <c r="AI8" s="187"/>
      <c r="AJ8" s="188"/>
      <c r="AK8" s="189"/>
      <c r="AL8" s="190"/>
      <c r="AM8" s="2413"/>
      <c r="AN8" s="2415"/>
      <c r="AO8" s="1999"/>
      <c r="AP8" s="1203">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3051"/>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2315</v>
      </c>
      <c r="B14" s="2305" t="s">
        <v>1679</v>
      </c>
      <c r="C14" s="2306" t="s">
        <v>2315</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2317</v>
      </c>
      <c r="B15" s="2305" t="s">
        <v>1679</v>
      </c>
      <c r="C15" s="2306" t="s">
        <v>2316</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261</v>
      </c>
      <c r="B16" s="199"/>
      <c r="C16" s="200"/>
      <c r="D16" s="201"/>
      <c r="E16" s="199"/>
      <c r="F16" s="199"/>
      <c r="G16" s="202">
        <f>ROUND(SUMPRODUCT(G6:G13,K6:K13)/SUMPRODUCT((G6:G13&gt;0)*(K6:K13)),3)</f>
        <v>0.999</v>
      </c>
      <c r="H16" s="203">
        <f>ROUND(SUMPRODUCT(H6:H13,K6:K13)/SUMPRODUCT((H6:H13&gt;0)*(K6:K13)),3)</f>
        <v>4.4999999999999998E-2</v>
      </c>
      <c r="I16" s="204"/>
      <c r="J16" s="204"/>
      <c r="K16" s="205">
        <f>SUM(K6:K15)</f>
        <v>231926.37</v>
      </c>
      <c r="L16" s="206">
        <f>ROUND(M16*10000/SUM(K6:K14),0)</f>
        <v>1506</v>
      </c>
      <c r="M16" s="206">
        <f>SUM(M6:M14)</f>
        <v>34928</v>
      </c>
      <c r="N16" s="207">
        <f>ROUND(SUMPRODUCT(M6:M14,N6:N14)/M16,3)</f>
        <v>0</v>
      </c>
      <c r="O16" s="206">
        <f>SUM(O6:O14)</f>
        <v>0</v>
      </c>
      <c r="P16" s="206">
        <f>SUM(P6:P14)</f>
        <v>34928</v>
      </c>
      <c r="Q16" s="208">
        <f>ROUND(SUMPRODUCT(Q6:Q13,K6:K13)/SUMPRODUCT((Q6:Q13&gt;0)*(K6:K13)),2)</f>
        <v>0.05</v>
      </c>
      <c r="R16" s="2310">
        <f>SUM(R6:R13)</f>
        <v>105421.08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0.95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262</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263</v>
      </c>
      <c r="B19" s="218">
        <v>0</v>
      </c>
      <c r="C19" s="2363" t="s">
        <v>2336</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264</v>
      </c>
      <c r="B20" s="220">
        <v>1.5</v>
      </c>
      <c r="C20" s="2363" t="s">
        <v>2335</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265</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266</v>
      </c>
      <c r="B22" s="222">
        <f>B19+B20</f>
        <v>1.5</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267</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268</v>
      </c>
      <c r="B24" s="224">
        <f>B20-B21</f>
        <v>1.5</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269</v>
      </c>
      <c r="B26" s="225" t="s">
        <v>270</v>
      </c>
      <c r="C26" s="1994" t="s">
        <v>271</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2338</v>
      </c>
      <c r="B27" s="3180">
        <v>135</v>
      </c>
      <c r="C27" s="2366" t="s">
        <v>2342</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7" t="s">
        <v>2339</v>
      </c>
      <c r="B28" s="3181">
        <v>135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0" t="s">
        <v>2337</v>
      </c>
      <c r="B29" s="231"/>
      <c r="C29" s="1551" t="s">
        <v>2340</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4" t="s">
        <v>272</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7" t="s">
        <v>273</v>
      </c>
      <c r="B31" s="229">
        <f>B30-B32</f>
        <v>70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6" t="s">
        <v>274</v>
      </c>
      <c r="B32" s="1376">
        <v>80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277</v>
      </c>
      <c r="B33" s="1377">
        <v>0.03</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7" t="s">
        <v>278</v>
      </c>
      <c r="B34" s="232">
        <v>0.03</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7" t="s">
        <v>275</v>
      </c>
      <c r="B35" s="228">
        <f>B30</f>
        <v>150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0" t="s">
        <v>276</v>
      </c>
      <c r="B36" s="233">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4" t="s">
        <v>279</v>
      </c>
      <c r="B37" s="235">
        <v>0.01</v>
      </c>
      <c r="C37" s="2364" t="s">
        <v>2900</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7" t="s">
        <v>280</v>
      </c>
      <c r="B38" s="232">
        <v>0.01</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2459</v>
      </c>
      <c r="B40" s="2504">
        <f ca="1">存贷款利率!E2</f>
        <v>4.7500000000000001E-2</v>
      </c>
      <c r="C40" s="2364" t="s">
        <v>2341</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281</v>
      </c>
      <c r="B41" s="237">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282</v>
      </c>
      <c r="B42" s="239">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283</v>
      </c>
      <c r="B43" s="240">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8" t="s">
        <v>284</v>
      </c>
      <c r="B44" s="241">
        <v>7.0000000000000007E-2</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8" t="s">
        <v>285</v>
      </c>
      <c r="B45" s="239">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8" t="s">
        <v>286</v>
      </c>
      <c r="B46" s="239">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2" t="s">
        <v>287</v>
      </c>
      <c r="B47" s="243"/>
      <c r="C47" s="3100"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4" t="s">
        <v>288</v>
      </c>
      <c r="B48" s="245">
        <v>0.04</v>
      </c>
      <c r="C48" s="3101"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6" t="s">
        <v>289</v>
      </c>
      <c r="B49" s="239">
        <v>5.0000000000000001E-4</v>
      </c>
      <c r="C49" s="3101"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290</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0" t="s">
        <v>291</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292</v>
      </c>
      <c r="B52" s="249">
        <f>SUMIF(A54:A63,B53,B54:B63)</f>
        <v>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7" t="s">
        <v>293</v>
      </c>
      <c r="B53" s="250" t="s">
        <v>1409</v>
      </c>
      <c r="C53" s="3102" t="s">
        <v>2907</v>
      </c>
      <c r="D53" s="3103"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5" t="s">
        <v>2909</v>
      </c>
      <c r="B54" s="3178"/>
      <c r="C54" s="1993">
        <v>30</v>
      </c>
      <c r="D54" s="3104"/>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5" t="s">
        <v>2910</v>
      </c>
      <c r="B55" s="186"/>
      <c r="C55" s="1993">
        <v>24</v>
      </c>
      <c r="D55" s="3104"/>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5" t="s">
        <v>2911</v>
      </c>
      <c r="B56" s="186"/>
      <c r="C56" s="1993">
        <v>18</v>
      </c>
      <c r="D56" s="3104"/>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5" t="s">
        <v>2912</v>
      </c>
      <c r="B57" s="186"/>
      <c r="C57" s="1993">
        <v>12</v>
      </c>
      <c r="D57" s="3104"/>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5" t="s">
        <v>2913</v>
      </c>
      <c r="B58" s="186">
        <v>12</v>
      </c>
      <c r="C58" s="1993">
        <v>3</v>
      </c>
      <c r="D58" s="3104"/>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5" t="s">
        <v>2914</v>
      </c>
      <c r="B59" s="186">
        <v>8</v>
      </c>
      <c r="C59" s="1993">
        <v>1.5</v>
      </c>
      <c r="D59" s="3104"/>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5" t="s">
        <v>2915</v>
      </c>
      <c r="B60" s="186">
        <v>6</v>
      </c>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5" t="s">
        <v>2916</v>
      </c>
      <c r="B61" s="186">
        <v>4</v>
      </c>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5"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6" t="s">
        <v>2918</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9" sqref="I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73" t="s">
        <v>1663</v>
      </c>
      <c r="B1" s="3274"/>
      <c r="C1" s="3274"/>
      <c r="D1" s="3274"/>
      <c r="E1" s="3274"/>
      <c r="F1" s="3274"/>
      <c r="G1" s="3274"/>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166" t="s">
        <v>3109</v>
      </c>
      <c r="D3" s="2008"/>
      <c r="E3" s="1228" t="s">
        <v>1666</v>
      </c>
      <c r="F3" s="1229" t="s">
        <v>1654</v>
      </c>
      <c r="G3" s="3108" t="s">
        <v>2923</v>
      </c>
      <c r="H3" s="2007"/>
      <c r="I3" s="2007"/>
      <c r="J3" s="2007"/>
      <c r="K3" s="2007"/>
      <c r="L3" s="2007"/>
      <c r="M3" s="2007"/>
      <c r="N3" s="2007"/>
      <c r="O3" s="2007"/>
      <c r="P3" s="2007"/>
      <c r="Q3" s="2007"/>
      <c r="R3" s="2007"/>
    </row>
    <row r="4" spans="1:18" ht="40.5">
      <c r="A4" s="1228"/>
      <c r="B4" s="1230" t="s">
        <v>1667</v>
      </c>
      <c r="C4" s="3171" t="s">
        <v>3110</v>
      </c>
      <c r="D4" s="2008"/>
      <c r="E4" s="1231"/>
      <c r="F4" s="1232" t="s">
        <v>1668</v>
      </c>
      <c r="G4" s="3107" t="s">
        <v>2920</v>
      </c>
      <c r="H4" s="2007"/>
      <c r="I4" s="2007"/>
      <c r="J4" s="2007"/>
      <c r="K4" s="2007"/>
      <c r="L4" s="2007"/>
      <c r="M4" s="2007"/>
      <c r="N4" s="2007"/>
      <c r="O4" s="2007"/>
      <c r="P4" s="2007"/>
      <c r="Q4" s="2007"/>
      <c r="R4" s="2007"/>
    </row>
    <row r="5" spans="1:18" ht="27">
      <c r="A5" s="1228"/>
      <c r="B5" s="1230" t="s">
        <v>1669</v>
      </c>
      <c r="C5" s="3167"/>
      <c r="D5" s="2008"/>
      <c r="E5" s="1231"/>
      <c r="F5" s="1230" t="s">
        <v>2549</v>
      </c>
      <c r="G5" s="3107" t="s">
        <v>2921</v>
      </c>
      <c r="H5" s="2007"/>
      <c r="I5" s="2007"/>
      <c r="J5" s="2007"/>
      <c r="K5" s="2007"/>
      <c r="L5" s="2007"/>
      <c r="M5" s="2007"/>
      <c r="N5" s="2007"/>
      <c r="O5" s="2007"/>
      <c r="P5" s="2007"/>
      <c r="Q5" s="2007"/>
      <c r="R5" s="2007"/>
    </row>
    <row r="6" spans="1:18" ht="67.5">
      <c r="A6" s="1228"/>
      <c r="B6" s="1230" t="s">
        <v>1655</v>
      </c>
      <c r="C6" s="3168" t="s">
        <v>3120</v>
      </c>
      <c r="D6" s="2008"/>
      <c r="E6" s="1231"/>
      <c r="F6" s="1230" t="s">
        <v>2550</v>
      </c>
      <c r="G6" s="3107" t="s">
        <v>2919</v>
      </c>
      <c r="H6" s="2007"/>
      <c r="I6" s="2007"/>
      <c r="J6" s="2007"/>
      <c r="K6" s="2007"/>
      <c r="L6" s="2007"/>
      <c r="M6" s="2007"/>
      <c r="N6" s="2007"/>
      <c r="O6" s="2007"/>
      <c r="P6" s="2007"/>
      <c r="Q6" s="2007"/>
      <c r="R6" s="2007"/>
    </row>
    <row r="7" spans="1:18" ht="41.25" thickBot="1">
      <c r="A7" s="1228"/>
      <c r="B7" s="1230" t="s">
        <v>2549</v>
      </c>
      <c r="C7" s="3168" t="s">
        <v>3038</v>
      </c>
      <c r="D7" s="2009"/>
      <c r="E7" s="1233"/>
      <c r="F7" s="1234" t="s">
        <v>1670</v>
      </c>
      <c r="G7" s="3109" t="s">
        <v>2922</v>
      </c>
      <c r="H7" s="2007"/>
      <c r="I7" s="2007"/>
      <c r="J7" s="2007"/>
      <c r="K7" s="2007"/>
      <c r="L7" s="2007"/>
      <c r="M7" s="2007"/>
      <c r="N7" s="2007"/>
      <c r="O7" s="2007"/>
      <c r="P7" s="2007"/>
      <c r="Q7" s="2007"/>
      <c r="R7" s="2007"/>
    </row>
    <row r="8" spans="1:18" ht="27">
      <c r="A8" s="1228"/>
      <c r="B8" s="1230" t="s">
        <v>2550</v>
      </c>
      <c r="C8" s="3168" t="s">
        <v>3111</v>
      </c>
      <c r="D8" s="2009"/>
      <c r="E8" s="2009"/>
      <c r="F8" s="1552"/>
      <c r="G8" s="1552"/>
      <c r="H8" s="2007"/>
      <c r="I8" s="2007"/>
      <c r="J8" s="2007"/>
      <c r="K8" s="2007"/>
      <c r="L8" s="2007"/>
      <c r="M8" s="2007"/>
      <c r="N8" s="2007"/>
      <c r="O8" s="2007"/>
      <c r="P8" s="2007"/>
      <c r="Q8" s="2007"/>
      <c r="R8" s="2007"/>
    </row>
    <row r="9" spans="1:18" ht="40.5">
      <c r="A9" s="1228"/>
      <c r="B9" s="1230" t="s">
        <v>1656</v>
      </c>
      <c r="C9" s="3167" t="s">
        <v>3112</v>
      </c>
      <c r="D9" s="2008"/>
      <c r="E9" s="2009"/>
      <c r="F9" s="1552"/>
      <c r="G9" s="1552"/>
      <c r="H9" s="2007"/>
      <c r="I9" s="2007"/>
      <c r="J9" s="2007"/>
      <c r="K9" s="2007"/>
      <c r="L9" s="2007"/>
      <c r="M9" s="2007"/>
      <c r="N9" s="2007"/>
      <c r="O9" s="2007"/>
      <c r="P9" s="2007"/>
      <c r="Q9" s="2007"/>
      <c r="R9" s="2007"/>
    </row>
    <row r="10" spans="1:18" s="2015" customFormat="1" ht="14.25" thickBot="1">
      <c r="A10" s="1235"/>
      <c r="B10" s="1236" t="s">
        <v>1671</v>
      </c>
      <c r="C10" s="3169" t="s">
        <v>3113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1672</v>
      </c>
      <c r="B13" s="2601"/>
      <c r="C13" s="2601"/>
      <c r="D13" s="1223"/>
      <c r="E13" s="2601"/>
      <c r="F13" s="2601"/>
      <c r="G13" s="2601"/>
    </row>
    <row r="14" spans="1:18" ht="14.25" thickBot="1">
      <c r="A14" s="1237"/>
      <c r="B14" s="1238"/>
      <c r="C14" s="1239" t="s">
        <v>1664</v>
      </c>
      <c r="D14" s="2008"/>
      <c r="E14" s="1240"/>
      <c r="F14" s="1240"/>
      <c r="G14" s="1222" t="s">
        <v>1665</v>
      </c>
    </row>
    <row r="15" spans="1:18" ht="54">
      <c r="A15" s="2611" t="s">
        <v>1657</v>
      </c>
      <c r="B15" s="1241" t="s">
        <v>1653</v>
      </c>
      <c r="C15" s="1242" t="str">
        <f>C3</f>
        <v>估价对象周边居住用地比例较低、周边1公里有大汉汉园等项目、综合评价居住社区成熟度较差</v>
      </c>
      <c r="D15" s="2008"/>
      <c r="E15" s="2608" t="s">
        <v>1658</v>
      </c>
      <c r="F15" s="1241" t="s">
        <v>1673</v>
      </c>
      <c r="G15" s="1243" t="str">
        <f>G3</f>
        <v>估价对象位于XX开发区，园区建设成熟度XX，产业集聚程度XX</v>
      </c>
    </row>
    <row r="16" spans="1:18" ht="40.5">
      <c r="A16" s="2612"/>
      <c r="B16" s="1244" t="s">
        <v>1667</v>
      </c>
      <c r="C16" s="1245" t="str">
        <f>C4</f>
        <v>估价对象周边商业氛围成熟度较差，人流量一般，，商业繁华度较差</v>
      </c>
      <c r="D16" s="2008"/>
      <c r="E16" s="2609"/>
      <c r="F16" s="1246" t="s">
        <v>1668</v>
      </c>
      <c r="G16" s="1004" t="str">
        <f>G4</f>
        <v>估价对象周边道路状况、公共交通通达情况、停车便捷程度，综合评价交通便捷度较好</v>
      </c>
    </row>
    <row r="17" spans="1:7" ht="14.25">
      <c r="A17" s="2612"/>
      <c r="B17" s="1244" t="s">
        <v>1669</v>
      </c>
      <c r="C17" s="1245">
        <f>C5</f>
        <v>0</v>
      </c>
      <c r="D17" s="2009"/>
      <c r="E17" s="2609"/>
      <c r="F17" s="1246" t="s">
        <v>1674</v>
      </c>
      <c r="G17" s="2819"/>
    </row>
    <row r="18" spans="1:7" ht="67.5">
      <c r="A18" s="2612"/>
      <c r="B18" s="1246" t="s">
        <v>1655</v>
      </c>
      <c r="C18" s="1004" t="str">
        <f>C6</f>
        <v>估价对象周边1公里有357、355路等公交车经过，公共交通通达情况一般、停车便捷程度较好，综合评价交通便捷度较差</v>
      </c>
      <c r="D18" s="2009"/>
      <c r="E18" s="2609"/>
      <c r="F18" s="1246" t="s">
        <v>1670</v>
      </c>
      <c r="G18" s="1004" t="str">
        <f>G7</f>
        <v>该园区内是否有污染型企业，绿化情况，卫生条件，整体环境状况判断</v>
      </c>
    </row>
    <row r="19" spans="1:7" ht="27">
      <c r="A19" s="2612"/>
      <c r="B19" s="1246" t="s">
        <v>1659</v>
      </c>
      <c r="C19" s="3170" t="s">
        <v>3036</v>
      </c>
      <c r="D19" s="2008"/>
      <c r="E19" s="2609"/>
      <c r="F19" s="1230" t="s">
        <v>2549</v>
      </c>
      <c r="G19" s="1004" t="str">
        <f>G5</f>
        <v>估价对象所在区域公共配套设施齐备情况</v>
      </c>
    </row>
    <row r="20" spans="1:7" ht="40.5">
      <c r="A20" s="2612"/>
      <c r="B20" s="1246" t="s">
        <v>1660</v>
      </c>
      <c r="C20" s="1245" t="str">
        <f>C9</f>
        <v>周边2公里内有长沙医学院、观音岩水库，区域自然环境较好</v>
      </c>
      <c r="D20" s="2009"/>
      <c r="E20" s="2609"/>
      <c r="F20" s="1230" t="s">
        <v>2550</v>
      </c>
      <c r="G20" s="1004" t="str">
        <f>G6</f>
        <v>估价对象所在区域基础设施水平</v>
      </c>
    </row>
    <row r="21" spans="1:7" ht="27">
      <c r="A21" s="2612"/>
      <c r="B21" s="1230" t="s">
        <v>2549</v>
      </c>
      <c r="C21" s="1004" t="str">
        <f>C7</f>
        <v>估价对象所在区域公共配套设施齐备情况一般</v>
      </c>
      <c r="D21" s="2008"/>
      <c r="E21" s="2609"/>
      <c r="F21" s="1246" t="s">
        <v>1661</v>
      </c>
      <c r="G21" s="3110"/>
    </row>
    <row r="22" spans="1:7" ht="27">
      <c r="A22" s="2612"/>
      <c r="B22" s="1230" t="s">
        <v>2550</v>
      </c>
      <c r="C22" s="1004" t="str">
        <f>C8</f>
        <v>估价对象所在区域基础设施水平-六通</v>
      </c>
      <c r="D22" s="2008"/>
      <c r="E22" s="2609"/>
      <c r="F22" s="1246" t="s">
        <v>1671</v>
      </c>
      <c r="G22" s="2819"/>
    </row>
    <row r="23" spans="1:7" ht="15" thickBot="1">
      <c r="A23" s="2612"/>
      <c r="B23" s="1246" t="s">
        <v>1661</v>
      </c>
      <c r="C23" s="3110" t="s">
        <v>3037</v>
      </c>
      <c r="E23" s="2610"/>
      <c r="F23" s="1247" t="s">
        <v>1675</v>
      </c>
      <c r="G23" s="3111"/>
    </row>
    <row r="24" spans="1:7" ht="14.25" thickBot="1">
      <c r="A24" s="2613"/>
      <c r="B24" s="1247" t="s">
        <v>1662</v>
      </c>
      <c r="C24" s="1248" t="str">
        <f>C10</f>
        <v>快速路——三环线</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1" t="s">
        <v>2849</v>
      </c>
      <c r="B1" s="3071">
        <f>SUM(B14:B23)</f>
        <v>231926.37</v>
      </c>
      <c r="C1" s="3072"/>
      <c r="D1" s="3072"/>
      <c r="E1" s="3072"/>
      <c r="F1" s="3072"/>
    </row>
    <row r="2" spans="1:9" ht="16.5">
      <c r="A2" s="3071" t="s">
        <v>2850</v>
      </c>
      <c r="B2" s="3071">
        <f>SUM(C14:C23)</f>
        <v>105421.08</v>
      </c>
      <c r="C2" s="3072"/>
      <c r="D2" s="3072"/>
      <c r="E2" s="3072"/>
      <c r="F2" s="3072"/>
    </row>
    <row r="3" spans="1:9" ht="16.5">
      <c r="A3" s="3071" t="s">
        <v>2851</v>
      </c>
      <c r="B3" s="3073">
        <f>项目基本情况!D3</f>
        <v>43083</v>
      </c>
      <c r="C3" s="3072"/>
      <c r="D3" s="3072"/>
      <c r="E3" s="3072"/>
      <c r="F3" s="3072"/>
    </row>
    <row r="4" spans="1:9" ht="33">
      <c r="A4" s="3071" t="s">
        <v>2852</v>
      </c>
      <c r="B4" s="3071" t="s">
        <v>2853</v>
      </c>
      <c r="C4" s="3071" t="s">
        <v>2854</v>
      </c>
      <c r="D4" s="3071" t="s">
        <v>2855</v>
      </c>
      <c r="E4" s="3072"/>
      <c r="F4" s="3072"/>
    </row>
    <row r="5" spans="1:9" ht="16.5">
      <c r="A5" s="3071" t="s">
        <v>2856</v>
      </c>
      <c r="B5" s="3071">
        <f ca="1">SUM(D14:D23)</f>
        <v>92631</v>
      </c>
      <c r="C5" s="3071">
        <f ca="1">ROUND(B5*10000/$B$1,0)</f>
        <v>3994</v>
      </c>
      <c r="D5" s="3071">
        <f ca="1">ROUND(B5*10000/$B$2,0)</f>
        <v>8787</v>
      </c>
      <c r="E5" s="3072"/>
      <c r="F5" s="3072"/>
    </row>
    <row r="6" spans="1:9" ht="16.5">
      <c r="A6" s="3071" t="s">
        <v>2857</v>
      </c>
      <c r="B6" s="3071">
        <f ca="1">SUM(G14:G23)</f>
        <v>92631</v>
      </c>
      <c r="C6" s="3071">
        <f t="shared" ref="C6:C8" ca="1" si="0">ROUND(B6*10000/$B$1,0)</f>
        <v>3994</v>
      </c>
      <c r="D6" s="3071">
        <f t="shared" ref="D6:D8" ca="1" si="1">ROUND(B6*10000/$B$2,0)</f>
        <v>8787</v>
      </c>
      <c r="E6" s="3072"/>
      <c r="F6" s="3072"/>
    </row>
    <row r="7" spans="1:9" ht="16.5">
      <c r="A7" s="3071" t="s">
        <v>2858</v>
      </c>
      <c r="B7" s="3071">
        <f>SUM(H14:H23)</f>
        <v>0</v>
      </c>
      <c r="C7" s="3071">
        <f t="shared" si="0"/>
        <v>0</v>
      </c>
      <c r="D7" s="3071">
        <f t="shared" si="1"/>
        <v>0</v>
      </c>
      <c r="E7" s="3072"/>
      <c r="F7" s="3072"/>
    </row>
    <row r="8" spans="1:9" ht="16.5">
      <c r="A8" s="3071" t="s">
        <v>2859</v>
      </c>
      <c r="B8" s="3071">
        <f>SUM(I14:I23)</f>
        <v>0</v>
      </c>
      <c r="C8" s="3071">
        <f t="shared" si="0"/>
        <v>0</v>
      </c>
      <c r="D8" s="3071">
        <f t="shared" si="1"/>
        <v>0</v>
      </c>
      <c r="E8" s="3072"/>
      <c r="F8" s="3072"/>
    </row>
    <row r="9" spans="1:9" ht="16.5">
      <c r="A9" s="3071" t="s">
        <v>2860</v>
      </c>
      <c r="B9" s="3074"/>
      <c r="C9" s="3072"/>
      <c r="D9" s="3072"/>
      <c r="E9" s="3072"/>
      <c r="F9" s="3072"/>
    </row>
    <row r="10" spans="1:9" ht="16.5">
      <c r="A10" s="3071" t="s">
        <v>2861</v>
      </c>
      <c r="B10" s="3074"/>
      <c r="C10" s="3072"/>
      <c r="D10" s="3072"/>
      <c r="E10" s="3072"/>
      <c r="F10" s="3072"/>
    </row>
    <row r="11" spans="1:9" ht="16.5">
      <c r="A11" s="3071" t="s">
        <v>2878</v>
      </c>
      <c r="B11" s="3074"/>
      <c r="C11" s="3072"/>
      <c r="D11" s="3072"/>
      <c r="E11" s="3072"/>
      <c r="F11" s="3072"/>
    </row>
    <row r="12" spans="1:9" ht="16.5">
      <c r="A12" s="3072"/>
      <c r="B12" s="3072"/>
      <c r="C12" s="3072"/>
      <c r="D12" s="3072"/>
      <c r="E12" s="3072"/>
      <c r="F12" s="3072"/>
    </row>
    <row r="13" spans="1:9" ht="33">
      <c r="A13" s="3077" t="s">
        <v>2877</v>
      </c>
      <c r="B13" s="3075" t="s">
        <v>2849</v>
      </c>
      <c r="C13" s="3075" t="s">
        <v>2850</v>
      </c>
      <c r="D13" s="3075" t="s">
        <v>2862</v>
      </c>
      <c r="E13" s="3071" t="s">
        <v>2876</v>
      </c>
      <c r="F13" s="3071" t="s">
        <v>2855</v>
      </c>
      <c r="G13" s="3075" t="s">
        <v>2863</v>
      </c>
      <c r="H13" s="3075" t="s">
        <v>2864</v>
      </c>
      <c r="I13" s="3075" t="s">
        <v>2865</v>
      </c>
    </row>
    <row r="14" spans="1:9" ht="16.5">
      <c r="A14" s="3078" t="s">
        <v>2875</v>
      </c>
      <c r="B14" s="3075">
        <f>'数据-汇总表'!E3</f>
        <v>231926.37</v>
      </c>
      <c r="C14" s="3075">
        <f>'数据-汇总表'!D3</f>
        <v>105421.08</v>
      </c>
      <c r="D14" s="3075">
        <f ca="1">结果表!C42</f>
        <v>92631</v>
      </c>
      <c r="E14" s="3075">
        <f ca="1">ROUND(D14*10000/B14,0)</f>
        <v>3994</v>
      </c>
      <c r="F14" s="3075">
        <f ca="1">ROUND(D14*10000/C14,0)</f>
        <v>8787</v>
      </c>
      <c r="G14" s="3075">
        <f ca="1">结果表!C44</f>
        <v>92631</v>
      </c>
      <c r="H14" s="3075" t="str">
        <f>结果表!C45</f>
        <v>——</v>
      </c>
      <c r="I14" s="3075" t="str">
        <f>结果表!C46</f>
        <v>——</v>
      </c>
    </row>
    <row r="15" spans="1:9" ht="16.5">
      <c r="A15" s="3078" t="s">
        <v>2866</v>
      </c>
      <c r="B15" s="3079"/>
      <c r="C15" s="3079"/>
      <c r="D15" s="3079"/>
      <c r="E15" s="3075" t="e">
        <f t="shared" ref="E15:E23" si="2">ROUND(D15*10000/B15,0)</f>
        <v>#DIV/0!</v>
      </c>
      <c r="F15" s="3075" t="e">
        <f t="shared" ref="F15:F23" si="3">ROUND(D15*10000/C15,0)</f>
        <v>#DIV/0!</v>
      </c>
      <c r="G15" s="3076"/>
      <c r="H15" s="3076"/>
      <c r="I15" s="3079"/>
    </row>
    <row r="16" spans="1:9" ht="16.5">
      <c r="A16" s="3078" t="s">
        <v>2867</v>
      </c>
      <c r="B16" s="3079"/>
      <c r="C16" s="3079"/>
      <c r="D16" s="3079"/>
      <c r="E16" s="3075" t="e">
        <f t="shared" si="2"/>
        <v>#DIV/0!</v>
      </c>
      <c r="F16" s="3075" t="e">
        <f t="shared" si="3"/>
        <v>#DIV/0!</v>
      </c>
      <c r="G16" s="3076"/>
      <c r="H16" s="3076"/>
      <c r="I16" s="3079"/>
    </row>
    <row r="17" spans="1:9" ht="16.5">
      <c r="A17" s="3078" t="s">
        <v>2868</v>
      </c>
      <c r="B17" s="3079"/>
      <c r="C17" s="3079"/>
      <c r="D17" s="3079"/>
      <c r="E17" s="3075" t="e">
        <f t="shared" si="2"/>
        <v>#DIV/0!</v>
      </c>
      <c r="F17" s="3075" t="e">
        <f t="shared" si="3"/>
        <v>#DIV/0!</v>
      </c>
      <c r="G17" s="3076"/>
      <c r="H17" s="3076"/>
      <c r="I17" s="3079"/>
    </row>
    <row r="18" spans="1:9" ht="16.5">
      <c r="A18" s="3078" t="s">
        <v>2869</v>
      </c>
      <c r="B18" s="3079"/>
      <c r="C18" s="3079"/>
      <c r="D18" s="3079"/>
      <c r="E18" s="3075" t="e">
        <f t="shared" si="2"/>
        <v>#DIV/0!</v>
      </c>
      <c r="F18" s="3075" t="e">
        <f t="shared" si="3"/>
        <v>#DIV/0!</v>
      </c>
      <c r="G18" s="3079"/>
      <c r="H18" s="3079"/>
      <c r="I18" s="3079"/>
    </row>
    <row r="19" spans="1:9" ht="16.5">
      <c r="A19" s="3078" t="s">
        <v>2870</v>
      </c>
      <c r="B19" s="3079"/>
      <c r="C19" s="3079"/>
      <c r="D19" s="3079"/>
      <c r="E19" s="3075" t="e">
        <f t="shared" si="2"/>
        <v>#DIV/0!</v>
      </c>
      <c r="F19" s="3075" t="e">
        <f t="shared" si="3"/>
        <v>#DIV/0!</v>
      </c>
      <c r="G19" s="3079"/>
      <c r="H19" s="3079"/>
      <c r="I19" s="3079"/>
    </row>
    <row r="20" spans="1:9" ht="16.5">
      <c r="A20" s="3078" t="s">
        <v>2871</v>
      </c>
      <c r="B20" s="3079"/>
      <c r="C20" s="3079"/>
      <c r="D20" s="3079"/>
      <c r="E20" s="3075" t="e">
        <f t="shared" si="2"/>
        <v>#DIV/0!</v>
      </c>
      <c r="F20" s="3075" t="e">
        <f t="shared" si="3"/>
        <v>#DIV/0!</v>
      </c>
      <c r="G20" s="3079"/>
      <c r="H20" s="3079"/>
      <c r="I20" s="3079"/>
    </row>
    <row r="21" spans="1:9" ht="16.5">
      <c r="A21" s="3078" t="s">
        <v>2872</v>
      </c>
      <c r="B21" s="3079"/>
      <c r="C21" s="3079"/>
      <c r="D21" s="3079"/>
      <c r="E21" s="3075" t="e">
        <f t="shared" si="2"/>
        <v>#DIV/0!</v>
      </c>
      <c r="F21" s="3075" t="e">
        <f t="shared" si="3"/>
        <v>#DIV/0!</v>
      </c>
      <c r="G21" s="3079"/>
      <c r="H21" s="3079"/>
      <c r="I21" s="3079"/>
    </row>
    <row r="22" spans="1:9" ht="16.5">
      <c r="A22" s="3078" t="s">
        <v>2873</v>
      </c>
      <c r="B22" s="3079"/>
      <c r="C22" s="3079"/>
      <c r="D22" s="3079"/>
      <c r="E22" s="3075" t="e">
        <f t="shared" si="2"/>
        <v>#DIV/0!</v>
      </c>
      <c r="F22" s="3075" t="e">
        <f t="shared" si="3"/>
        <v>#DIV/0!</v>
      </c>
      <c r="G22" s="3079"/>
      <c r="H22" s="3079"/>
      <c r="I22" s="3079"/>
    </row>
    <row r="23" spans="1:9" ht="16.5">
      <c r="A23" s="3078" t="s">
        <v>2874</v>
      </c>
      <c r="B23" s="3079"/>
      <c r="C23" s="3079"/>
      <c r="D23" s="3079"/>
      <c r="E23" s="3071" t="e">
        <f t="shared" si="2"/>
        <v>#DIV/0!</v>
      </c>
      <c r="F23" s="3071" t="e">
        <f t="shared" si="3"/>
        <v>#DIV/0!</v>
      </c>
      <c r="G23" s="3079"/>
      <c r="H23" s="3079"/>
      <c r="I23" s="3079"/>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A28" zoomScaleNormal="100" zoomScaleSheetLayoutView="100" zoomScalePageLayoutView="80" workbookViewId="0">
      <selection activeCell="N43" sqref="N43"/>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2056</v>
      </c>
      <c r="B1" s="1776"/>
      <c r="C1" s="1804" t="s">
        <v>2057</v>
      </c>
      <c r="D1" s="1805" t="s">
        <v>3076</v>
      </c>
      <c r="E1" s="1804" t="s">
        <v>2058</v>
      </c>
      <c r="F1" s="1806" t="s">
        <v>3075</v>
      </c>
      <c r="G1" s="313"/>
      <c r="H1" s="313"/>
      <c r="I1" s="313"/>
      <c r="J1" s="2028"/>
      <c r="K1" s="2028"/>
      <c r="L1" s="2028"/>
      <c r="M1" s="2028"/>
      <c r="N1" s="2028"/>
      <c r="O1" s="2028"/>
      <c r="P1" s="2028"/>
      <c r="Q1" s="2028"/>
      <c r="R1" s="2028"/>
      <c r="S1" s="2028"/>
      <c r="T1" s="2028"/>
      <c r="U1" s="2028"/>
      <c r="V1" s="2028"/>
    </row>
    <row r="2" spans="1:22" ht="21.75" customHeight="1" thickBot="1">
      <c r="A2" s="3320" t="str">
        <f>项目基本情况!K2</f>
        <v>湖南省长沙市望城区金山桥街道出让国有建设用地使用权</v>
      </c>
      <c r="B2" s="3321"/>
      <c r="C2" s="3322"/>
      <c r="D2" s="3322"/>
      <c r="E2" s="3322"/>
      <c r="F2" s="3322"/>
      <c r="G2" s="3321"/>
      <c r="H2" s="3321"/>
      <c r="I2" s="3323"/>
      <c r="J2" s="2029"/>
      <c r="K2" s="2028"/>
      <c r="L2" s="2028"/>
      <c r="M2" s="2028"/>
      <c r="N2" s="2028"/>
      <c r="O2" s="2028"/>
      <c r="P2" s="2028"/>
      <c r="Q2" s="2028"/>
      <c r="R2" s="2028"/>
      <c r="S2" s="2028"/>
      <c r="T2" s="2028"/>
      <c r="U2" s="2028"/>
      <c r="V2" s="2028"/>
    </row>
    <row r="3" spans="1:22" ht="14.25">
      <c r="A3" s="3331" t="s">
        <v>297</v>
      </c>
      <c r="B3" s="3332"/>
      <c r="C3" s="3332"/>
      <c r="D3" s="3332"/>
      <c r="E3" s="3332"/>
      <c r="F3" s="3332"/>
      <c r="G3" s="3332"/>
      <c r="H3" s="3332"/>
      <c r="I3" s="3332"/>
      <c r="J3" s="2029"/>
      <c r="K3" s="2028"/>
      <c r="L3" s="2028"/>
      <c r="M3" s="2028"/>
      <c r="N3" s="2028"/>
      <c r="O3" s="2028"/>
      <c r="P3" s="2028"/>
      <c r="Q3" s="2028"/>
      <c r="R3" s="2028"/>
      <c r="S3" s="2028"/>
      <c r="T3" s="2028"/>
      <c r="U3" s="2028"/>
      <c r="V3" s="2028"/>
    </row>
    <row r="4" spans="1:22" ht="14.25">
      <c r="A4" s="257" t="s">
        <v>298</v>
      </c>
      <c r="B4" s="258" t="s">
        <v>299</v>
      </c>
      <c r="C4" s="259" t="s">
        <v>3047</v>
      </c>
      <c r="D4" s="259" t="s">
        <v>3073</v>
      </c>
      <c r="E4" s="3295" t="s">
        <v>300</v>
      </c>
      <c r="F4" s="3337"/>
      <c r="G4" s="3337"/>
      <c r="H4" s="3337"/>
      <c r="I4" s="3296"/>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24" t="s">
        <v>301</v>
      </c>
      <c r="B5" s="3325">
        <v>25</v>
      </c>
      <c r="C5" s="3333"/>
      <c r="D5" s="3336"/>
      <c r="E5" s="260" t="s">
        <v>302</v>
      </c>
      <c r="F5" s="261"/>
      <c r="G5" s="261"/>
      <c r="H5" s="261"/>
      <c r="I5" s="262"/>
      <c r="J5" s="2029"/>
      <c r="K5" s="2028"/>
      <c r="L5" s="2028"/>
      <c r="M5" s="2028"/>
      <c r="N5" s="2028"/>
      <c r="O5" s="2028"/>
      <c r="P5" s="2028"/>
      <c r="Q5" s="2028"/>
      <c r="R5" s="2028"/>
      <c r="S5" s="2028"/>
      <c r="T5" s="2028"/>
      <c r="U5" s="2028"/>
      <c r="V5" s="2028"/>
    </row>
    <row r="6" spans="1:22" ht="14.25">
      <c r="A6" s="3324"/>
      <c r="B6" s="3325"/>
      <c r="C6" s="3334"/>
      <c r="D6" s="3336"/>
      <c r="E6" s="260" t="s">
        <v>303</v>
      </c>
      <c r="F6" s="261"/>
      <c r="G6" s="261"/>
      <c r="H6" s="261"/>
      <c r="I6" s="262"/>
      <c r="J6" s="2029"/>
      <c r="K6" s="2028"/>
      <c r="L6" s="2028"/>
      <c r="M6" s="2028"/>
      <c r="N6" s="2028"/>
      <c r="O6" s="2028"/>
      <c r="P6" s="2028"/>
      <c r="Q6" s="2028"/>
      <c r="R6" s="2028"/>
      <c r="S6" s="2028"/>
      <c r="T6" s="2028"/>
      <c r="U6" s="2028"/>
      <c r="V6" s="2028"/>
    </row>
    <row r="7" spans="1:22" ht="14.25">
      <c r="A7" s="3324"/>
      <c r="B7" s="3325"/>
      <c r="C7" s="3335"/>
      <c r="D7" s="3336"/>
      <c r="E7" s="260" t="s">
        <v>304</v>
      </c>
      <c r="F7" s="261"/>
      <c r="G7" s="261"/>
      <c r="H7" s="261"/>
      <c r="I7" s="262"/>
      <c r="J7" s="2029"/>
      <c r="K7" s="2028"/>
      <c r="L7" s="2028"/>
      <c r="M7" s="2028"/>
      <c r="N7" s="2028"/>
      <c r="O7" s="2028"/>
      <c r="P7" s="2028"/>
      <c r="Q7" s="2028"/>
      <c r="R7" s="2028"/>
      <c r="S7" s="2028"/>
      <c r="T7" s="2028"/>
      <c r="U7" s="2028"/>
      <c r="V7" s="2028"/>
    </row>
    <row r="8" spans="1:22" ht="14.25">
      <c r="A8" s="3324" t="s">
        <v>305</v>
      </c>
      <c r="B8" s="3325">
        <v>15</v>
      </c>
      <c r="C8" s="3333"/>
      <c r="D8" s="3336"/>
      <c r="E8" s="260" t="s">
        <v>306</v>
      </c>
      <c r="F8" s="261"/>
      <c r="G8" s="261"/>
      <c r="H8" s="261"/>
      <c r="I8" s="262"/>
      <c r="J8" s="2029"/>
      <c r="K8" s="2028"/>
      <c r="L8" s="2028"/>
      <c r="M8" s="2028"/>
      <c r="N8" s="2028"/>
      <c r="O8" s="2028"/>
      <c r="P8" s="2028"/>
      <c r="Q8" s="2028"/>
      <c r="R8" s="2028"/>
      <c r="S8" s="2028"/>
      <c r="T8" s="2028"/>
      <c r="U8" s="2028"/>
      <c r="V8" s="2028"/>
    </row>
    <row r="9" spans="1:22" ht="14.25">
      <c r="A9" s="3324"/>
      <c r="B9" s="3325"/>
      <c r="C9" s="3335"/>
      <c r="D9" s="3336"/>
      <c r="E9" s="260" t="s">
        <v>307</v>
      </c>
      <c r="F9" s="261"/>
      <c r="G9" s="261"/>
      <c r="H9" s="261"/>
      <c r="I9" s="262"/>
      <c r="J9" s="2029"/>
      <c r="K9" s="2028"/>
      <c r="L9" s="2028"/>
      <c r="M9" s="2028"/>
      <c r="N9" s="2028"/>
      <c r="O9" s="2028"/>
      <c r="P9" s="2028"/>
      <c r="Q9" s="2028"/>
      <c r="R9" s="2028"/>
      <c r="S9" s="2028"/>
      <c r="T9" s="2028"/>
      <c r="U9" s="2028"/>
      <c r="V9" s="2028"/>
    </row>
    <row r="10" spans="1:22" ht="14.25">
      <c r="A10" s="3324" t="s">
        <v>308</v>
      </c>
      <c r="B10" s="3325">
        <v>15</v>
      </c>
      <c r="C10" s="3333"/>
      <c r="D10" s="3336"/>
      <c r="E10" s="260" t="s">
        <v>309</v>
      </c>
      <c r="F10" s="261"/>
      <c r="G10" s="261"/>
      <c r="H10" s="261"/>
      <c r="I10" s="262"/>
      <c r="J10" s="2029"/>
      <c r="K10" s="2028"/>
      <c r="L10" s="2028"/>
      <c r="M10" s="2028"/>
      <c r="N10" s="2028"/>
      <c r="O10" s="2028"/>
      <c r="P10" s="2028"/>
      <c r="Q10" s="2028"/>
      <c r="R10" s="2028"/>
      <c r="S10" s="2028"/>
      <c r="T10" s="2028"/>
      <c r="U10" s="2028"/>
      <c r="V10" s="2028"/>
    </row>
    <row r="11" spans="1:22" ht="14.25">
      <c r="A11" s="3324"/>
      <c r="B11" s="3325"/>
      <c r="C11" s="3335"/>
      <c r="D11" s="3336"/>
      <c r="E11" s="260" t="s">
        <v>310</v>
      </c>
      <c r="F11" s="261"/>
      <c r="G11" s="261"/>
      <c r="H11" s="261"/>
      <c r="I11" s="262"/>
      <c r="J11" s="2029"/>
      <c r="K11" s="2028"/>
      <c r="L11" s="2028"/>
      <c r="M11" s="2028"/>
      <c r="N11" s="2028"/>
      <c r="O11" s="2028"/>
      <c r="P11" s="2028"/>
      <c r="Q11" s="2028"/>
      <c r="R11" s="2028"/>
      <c r="S11" s="2028"/>
      <c r="T11" s="2028"/>
      <c r="U11" s="2028"/>
      <c r="V11" s="2028"/>
    </row>
    <row r="12" spans="1:22" ht="14.25">
      <c r="A12" s="3324" t="s">
        <v>311</v>
      </c>
      <c r="B12" s="3325">
        <v>15</v>
      </c>
      <c r="C12" s="3333"/>
      <c r="D12" s="3336"/>
      <c r="E12" s="260" t="s">
        <v>312</v>
      </c>
      <c r="F12" s="261"/>
      <c r="G12" s="261"/>
      <c r="H12" s="261"/>
      <c r="I12" s="262"/>
      <c r="J12" s="2029"/>
      <c r="K12" s="2028"/>
      <c r="L12" s="2028"/>
      <c r="M12" s="2028"/>
      <c r="N12" s="2028"/>
      <c r="O12" s="2028"/>
      <c r="P12" s="2028"/>
      <c r="Q12" s="2028"/>
      <c r="R12" s="2028"/>
      <c r="S12" s="2028"/>
      <c r="T12" s="2028"/>
      <c r="U12" s="2028"/>
      <c r="V12" s="2028"/>
    </row>
    <row r="13" spans="1:22" ht="14.25">
      <c r="A13" s="3324"/>
      <c r="B13" s="3325"/>
      <c r="C13" s="3335"/>
      <c r="D13" s="3336"/>
      <c r="E13" s="260" t="s">
        <v>313</v>
      </c>
      <c r="F13" s="261"/>
      <c r="G13" s="261"/>
      <c r="H13" s="261"/>
      <c r="I13" s="262"/>
      <c r="J13" s="2029"/>
      <c r="K13" s="2028"/>
      <c r="L13" s="2028"/>
      <c r="M13" s="2028"/>
      <c r="N13" s="2028"/>
      <c r="O13" s="2028"/>
      <c r="P13" s="2028"/>
      <c r="Q13" s="2028"/>
      <c r="R13" s="2028"/>
      <c r="S13" s="2028"/>
      <c r="T13" s="2028"/>
      <c r="U13" s="2028"/>
      <c r="V13" s="2028"/>
    </row>
    <row r="14" spans="1:22" ht="14.25">
      <c r="A14" s="3324" t="s">
        <v>314</v>
      </c>
      <c r="B14" s="3325">
        <v>30</v>
      </c>
      <c r="C14" s="3333">
        <v>5</v>
      </c>
      <c r="D14" s="3336">
        <v>5</v>
      </c>
      <c r="E14" s="260" t="s">
        <v>315</v>
      </c>
      <c r="F14" s="261"/>
      <c r="G14" s="261"/>
      <c r="H14" s="261"/>
      <c r="I14" s="262"/>
      <c r="J14" s="2029"/>
      <c r="K14" s="2028"/>
      <c r="L14" s="2028"/>
      <c r="M14" s="2028"/>
      <c r="N14" s="2028"/>
      <c r="O14" s="2028"/>
      <c r="P14" s="2028"/>
      <c r="Q14" s="2028"/>
      <c r="R14" s="2028"/>
      <c r="S14" s="2028"/>
      <c r="T14" s="2028"/>
      <c r="U14" s="2028"/>
      <c r="V14" s="2028"/>
    </row>
    <row r="15" spans="1:22" ht="14.25">
      <c r="A15" s="3324"/>
      <c r="B15" s="3325"/>
      <c r="C15" s="3334"/>
      <c r="D15" s="3336"/>
      <c r="E15" s="260" t="s">
        <v>316</v>
      </c>
      <c r="F15" s="261"/>
      <c r="G15" s="261"/>
      <c r="H15" s="261"/>
      <c r="I15" s="262"/>
      <c r="J15" s="2029"/>
      <c r="K15" s="2028"/>
      <c r="L15" s="2028"/>
      <c r="M15" s="2028"/>
      <c r="N15" s="2028"/>
      <c r="O15" s="2028"/>
      <c r="P15" s="2028"/>
      <c r="Q15" s="2028"/>
      <c r="R15" s="2028"/>
      <c r="S15" s="2028"/>
      <c r="T15" s="2028"/>
      <c r="U15" s="2028"/>
      <c r="V15" s="2028"/>
    </row>
    <row r="16" spans="1:22" ht="14.25">
      <c r="A16" s="3324"/>
      <c r="B16" s="3325"/>
      <c r="C16" s="3335"/>
      <c r="D16" s="3336"/>
      <c r="E16" s="260" t="s">
        <v>317</v>
      </c>
      <c r="F16" s="261"/>
      <c r="G16" s="261"/>
      <c r="H16" s="261"/>
      <c r="I16" s="262"/>
      <c r="J16" s="2029"/>
      <c r="K16" s="2028"/>
      <c r="L16" s="2028"/>
      <c r="M16" s="2028"/>
      <c r="N16" s="2028"/>
      <c r="O16" s="2028"/>
      <c r="P16" s="2028"/>
      <c r="Q16" s="2028"/>
      <c r="R16" s="2028"/>
      <c r="S16" s="2028"/>
      <c r="T16" s="2028"/>
      <c r="U16" s="2028"/>
      <c r="V16" s="2028"/>
    </row>
    <row r="17" spans="1:26" ht="15">
      <c r="A17" s="263" t="s">
        <v>318</v>
      </c>
      <c r="B17" s="144"/>
      <c r="C17" s="264">
        <f>SUM(C5:C16)</f>
        <v>5</v>
      </c>
      <c r="D17" s="264">
        <f>SUM(D5:D16)</f>
        <v>5</v>
      </c>
      <c r="E17" s="313"/>
      <c r="F17" s="313"/>
      <c r="G17" s="313"/>
      <c r="H17" s="313"/>
      <c r="I17" s="313"/>
      <c r="J17" s="2029"/>
      <c r="K17" s="2028"/>
      <c r="L17" s="2028"/>
      <c r="M17" s="2028"/>
      <c r="N17" s="2028"/>
      <c r="O17" s="2028"/>
      <c r="P17" s="2028"/>
      <c r="Q17" s="2028"/>
      <c r="R17" s="2028"/>
      <c r="S17" s="2028"/>
      <c r="T17" s="2028"/>
      <c r="U17" s="2028"/>
      <c r="V17" s="2028"/>
    </row>
    <row r="18" spans="1:26" ht="15.75" thickBot="1">
      <c r="A18" s="265" t="s">
        <v>319</v>
      </c>
      <c r="B18" s="105"/>
      <c r="C18" s="266">
        <f>ROUND(C17/SUM(C17:D17),2)</f>
        <v>0.5</v>
      </c>
      <c r="D18" s="266">
        <f>1-C18</f>
        <v>0.5</v>
      </c>
      <c r="E18" s="313"/>
      <c r="F18" s="313"/>
      <c r="G18" s="313"/>
      <c r="H18" s="313"/>
      <c r="I18" s="313"/>
      <c r="J18" s="2028"/>
      <c r="K18" s="2028"/>
      <c r="L18" s="2028"/>
      <c r="M18" s="2028"/>
      <c r="N18" s="2028"/>
      <c r="O18" s="2028"/>
      <c r="P18" s="2028"/>
      <c r="Q18" s="2028"/>
      <c r="R18" s="2028"/>
      <c r="S18" s="2028"/>
      <c r="T18" s="2028"/>
      <c r="U18" s="2028"/>
      <c r="V18" s="2028"/>
    </row>
    <row r="19" spans="1:26" ht="15">
      <c r="A19" s="267" t="s">
        <v>320</v>
      </c>
      <c r="B19" s="268" t="s">
        <v>321</v>
      </c>
      <c r="C19" s="269">
        <f ca="1">SUMIF(INDIRECT("'"&amp;C4&amp;"'"&amp;"!A:A"),结果表!B19,INDIRECT("'"&amp;C4&amp;"'"&amp;"!B:B"))</f>
        <v>95484</v>
      </c>
      <c r="D19" s="270">
        <f ca="1">SUMIF(INDIRECT("'"&amp;D4&amp;"'"&amp;"!A:A"),结果表!B19,INDIRECT("'"&amp;D4&amp;"'"&amp;"!B:B"))</f>
        <v>89778</v>
      </c>
      <c r="E19" s="267" t="s">
        <v>322</v>
      </c>
      <c r="F19" s="268" t="s">
        <v>321</v>
      </c>
      <c r="G19" s="271">
        <f ca="1">ROUND(C19*$C$18+D19*$D$18,0)</f>
        <v>92631</v>
      </c>
      <c r="H19" s="272" t="s">
        <v>323</v>
      </c>
      <c r="I19" s="313"/>
      <c r="J19" s="2028"/>
      <c r="K19" s="2028">
        <v>92241.65</v>
      </c>
      <c r="L19" s="2028">
        <f ca="1">G19-K19</f>
        <v>389.35000000000582</v>
      </c>
      <c r="M19" s="2028"/>
      <c r="N19" s="2028"/>
      <c r="O19" s="2028"/>
      <c r="P19" s="2028"/>
      <c r="Q19" s="2028"/>
      <c r="R19" s="2028"/>
      <c r="S19" s="2028"/>
      <c r="T19" s="2028"/>
      <c r="U19" s="2028"/>
      <c r="V19" s="2028"/>
    </row>
    <row r="20" spans="1:26" ht="15">
      <c r="A20" s="273"/>
      <c r="B20" s="274" t="s">
        <v>324</v>
      </c>
      <c r="C20" s="275">
        <f ca="1">SUMIF(INDIRECT("'"&amp;C4&amp;"'"&amp;"!A:A"),结果表!B20,INDIRECT("'"&amp;C4&amp;"'"&amp;"!B:B"))</f>
        <v>4117</v>
      </c>
      <c r="D20" s="276">
        <f ca="1">SUMIF(INDIRECT("'"&amp;D4&amp;"'"&amp;"!A:A"),结果表!B20,INDIRECT("'"&amp;D4&amp;"'"&amp;"!B:B"))</f>
        <v>3871</v>
      </c>
      <c r="E20" s="273"/>
      <c r="F20" s="274" t="s">
        <v>324</v>
      </c>
      <c r="G20" s="277">
        <f ca="1">ROUND(C20*$C$18+D20*$D$18,0)</f>
        <v>3994</v>
      </c>
      <c r="H20" s="278" t="s">
        <v>325</v>
      </c>
      <c r="I20" s="313"/>
      <c r="J20" s="2028"/>
      <c r="K20" s="2028">
        <v>89555</v>
      </c>
      <c r="L20" s="2028"/>
      <c r="M20" s="2028"/>
      <c r="N20" s="2028"/>
      <c r="O20" s="2028"/>
      <c r="P20" s="2028"/>
      <c r="Q20" s="2028"/>
      <c r="R20" s="2028"/>
      <c r="S20" s="2028"/>
      <c r="T20" s="2028"/>
      <c r="U20" s="2028"/>
      <c r="V20" s="2028"/>
    </row>
    <row r="21" spans="1:26" ht="15" customHeight="1">
      <c r="A21" s="273"/>
      <c r="B21" s="279" t="s">
        <v>326</v>
      </c>
      <c r="C21" s="280">
        <f ca="1">SUMIF(INDIRECT("'"&amp;C4&amp;"'"&amp;"!A:A"),结果表!B21,INDIRECT("'"&amp;C4&amp;"'"&amp;"!B:B"))</f>
        <v>9057</v>
      </c>
      <c r="D21" s="151">
        <f ca="1">SUMIF(INDIRECT("'"&amp;D4&amp;"'"&amp;"!A:A"),结果表!B21,INDIRECT("'"&amp;D4&amp;"'"&amp;"!B:B"))</f>
        <v>8516</v>
      </c>
      <c r="E21" s="273"/>
      <c r="F21" s="279" t="s">
        <v>326</v>
      </c>
      <c r="G21" s="281">
        <f ca="1">ROUND(C21*$C$18+D21*$D$18,0)</f>
        <v>8787</v>
      </c>
      <c r="H21" s="1250" t="s">
        <v>325</v>
      </c>
      <c r="I21" s="313"/>
      <c r="J21" s="2028"/>
      <c r="K21" s="3182">
        <f ca="1">(G19-K20)/K20</f>
        <v>3.434760761543186E-2</v>
      </c>
      <c r="L21" s="2028"/>
      <c r="M21" s="2028"/>
      <c r="N21" s="2028"/>
      <c r="O21" s="2028"/>
      <c r="P21" s="2028"/>
      <c r="Q21" s="2028"/>
      <c r="R21" s="2028"/>
      <c r="S21" s="2028"/>
      <c r="T21" s="2028"/>
      <c r="U21" s="2028"/>
      <c r="V21" s="2028"/>
    </row>
    <row r="22" spans="1:26" ht="15.75" thickBot="1">
      <c r="A22" s="126" t="s">
        <v>327</v>
      </c>
      <c r="B22" s="1251"/>
      <c r="C22" s="1252"/>
      <c r="D22" s="282">
        <f ca="1">IF(C19&lt;D19,D19/C19-1,C19/D19-1)</f>
        <v>6.3556773374323416E-2</v>
      </c>
      <c r="E22" s="283"/>
      <c r="F22" s="284"/>
      <c r="G22" s="285">
        <f ca="1">ROUND(G19/('数据-汇总表'!D3/666.67),0)</f>
        <v>586</v>
      </c>
      <c r="H22" s="286" t="s">
        <v>328</v>
      </c>
      <c r="I22" s="313"/>
      <c r="J22" s="2028"/>
      <c r="K22" s="2028"/>
      <c r="L22" s="2028"/>
      <c r="M22" s="2028"/>
      <c r="N22" s="2028"/>
      <c r="O22" s="2028"/>
      <c r="P22" s="2028"/>
      <c r="Q22" s="2028"/>
      <c r="R22" s="2028"/>
      <c r="S22" s="2028"/>
      <c r="T22" s="2028"/>
      <c r="U22" s="2028"/>
      <c r="V22" s="2028"/>
    </row>
    <row r="23" spans="1:26" ht="13.5" thickBot="1">
      <c r="A23" s="313"/>
      <c r="B23" s="313"/>
      <c r="C23" s="313"/>
      <c r="D23" s="313"/>
      <c r="E23" s="313"/>
      <c r="F23" s="313"/>
      <c r="G23" s="313"/>
      <c r="H23" s="313"/>
      <c r="I23" s="313"/>
      <c r="J23" s="2028"/>
      <c r="K23" s="2028"/>
      <c r="L23" s="2028"/>
      <c r="M23" s="2028"/>
      <c r="N23" s="2028"/>
      <c r="O23" s="2028"/>
      <c r="P23" s="2028"/>
      <c r="Q23" s="2028"/>
      <c r="R23" s="2028"/>
      <c r="S23" s="2028"/>
      <c r="T23" s="2028"/>
      <c r="U23" s="2028"/>
      <c r="V23" s="2028"/>
    </row>
    <row r="24" spans="1:26" ht="15" thickBot="1">
      <c r="A24" s="3297" t="s">
        <v>329</v>
      </c>
      <c r="B24" s="268" t="s">
        <v>321</v>
      </c>
      <c r="C24" s="287">
        <f>IF(B30=0,0,D30)</f>
        <v>0</v>
      </c>
      <c r="D24" s="288"/>
      <c r="E24" s="313"/>
      <c r="F24" s="313"/>
      <c r="G24" s="313"/>
      <c r="H24" s="313"/>
      <c r="I24" s="313"/>
      <c r="J24" s="2028"/>
      <c r="K24" s="2028"/>
      <c r="L24" s="2028"/>
      <c r="M24" s="2028"/>
      <c r="N24" s="2028"/>
      <c r="O24" s="2028"/>
      <c r="P24" s="2028"/>
      <c r="Q24" s="2028"/>
      <c r="R24" s="2028"/>
      <c r="S24" s="2028"/>
      <c r="T24" s="2028"/>
      <c r="U24" s="2028"/>
      <c r="V24" s="2028"/>
    </row>
    <row r="25" spans="1:26" ht="18">
      <c r="A25" s="3339"/>
      <c r="B25" s="1320" t="s">
        <v>330</v>
      </c>
      <c r="C25" s="289">
        <f>IF(B30=0,0,C30)</f>
        <v>0</v>
      </c>
      <c r="D25" s="290"/>
      <c r="E25" s="313"/>
      <c r="F25" s="313"/>
      <c r="G25" s="313"/>
      <c r="H25" s="313"/>
      <c r="I25" s="313"/>
      <c r="J25" s="2028"/>
      <c r="K25" s="1254" t="str">
        <f ca="1">项目基本情况!B16&amp;"国有建设用地使用权价格："&amp;O38&amp;"万元"</f>
        <v>出让国有建设用地使用权价格：92631万元</v>
      </c>
      <c r="L25" s="1255"/>
      <c r="M25" s="1255"/>
      <c r="N25" s="1255"/>
      <c r="O25" s="1256"/>
      <c r="P25" s="2028"/>
      <c r="Q25" s="2028"/>
      <c r="R25" s="2028"/>
      <c r="S25" s="2028"/>
      <c r="T25" s="2028"/>
      <c r="U25" s="2028"/>
      <c r="V25" s="2028"/>
    </row>
    <row r="26" spans="1:26" s="1253" customFormat="1" ht="18">
      <c r="A26" s="292" t="s">
        <v>331</v>
      </c>
      <c r="B26" s="293" t="s">
        <v>332</v>
      </c>
      <c r="C26" s="293" t="s">
        <v>333</v>
      </c>
      <c r="D26" s="294" t="s">
        <v>334</v>
      </c>
      <c r="E26" s="313"/>
      <c r="F26" s="313"/>
      <c r="G26" s="313"/>
      <c r="H26" s="313"/>
      <c r="I26" s="313"/>
      <c r="J26" s="2028"/>
      <c r="K26" s="1257" t="str">
        <f ca="1">"大写金额：人民币"&amp;NUMBERSTRING(INT(O38*10000),2)&amp;"元整"</f>
        <v>大写金额：人民币玖亿贰仟陆佰叁拾壹万元整</v>
      </c>
      <c r="L26" s="1251"/>
      <c r="M26" s="1251"/>
      <c r="N26" s="1251"/>
      <c r="O26" s="1250"/>
      <c r="P26" s="2028"/>
      <c r="Q26" s="2028"/>
      <c r="R26" s="2028"/>
      <c r="S26" s="2028"/>
      <c r="T26" s="2028"/>
      <c r="U26" s="2028"/>
      <c r="V26" s="2028"/>
      <c r="W26" s="291"/>
      <c r="X26" s="291"/>
      <c r="Y26" s="291"/>
      <c r="Z26" s="291"/>
    </row>
    <row r="27" spans="1:26" ht="18">
      <c r="A27" s="292"/>
      <c r="B27" s="293"/>
      <c r="C27" s="293"/>
      <c r="D27" s="294"/>
      <c r="E27" s="313"/>
      <c r="F27" s="313"/>
      <c r="G27" s="313"/>
      <c r="H27" s="313"/>
      <c r="I27" s="313"/>
      <c r="J27" s="2028"/>
      <c r="K27" s="1257" t="str">
        <f ca="1">"单位面积地价："&amp;M38&amp;"元/平方米"</f>
        <v>单位面积地价：8787元/平方米</v>
      </c>
      <c r="L27" s="1251"/>
      <c r="M27" s="1251"/>
      <c r="N27" s="1251"/>
      <c r="O27" s="1250"/>
      <c r="P27" s="2028"/>
      <c r="Q27" s="2028"/>
      <c r="R27" s="2028"/>
      <c r="S27" s="2028"/>
      <c r="T27" s="2028"/>
      <c r="U27" s="2028"/>
      <c r="V27" s="2028"/>
    </row>
    <row r="28" spans="1:26" ht="18.75" customHeight="1">
      <c r="A28" s="292"/>
      <c r="B28" s="293"/>
      <c r="C28" s="293"/>
      <c r="D28" s="294"/>
      <c r="E28" s="313"/>
      <c r="F28" s="313"/>
      <c r="G28" s="313"/>
      <c r="H28" s="313"/>
      <c r="I28" s="313"/>
      <c r="J28" s="2028"/>
      <c r="K28" s="1257" t="str">
        <f ca="1">"楼面地价："&amp;N38&amp;"元/平方米"</f>
        <v>楼面地价：3994元/平方米</v>
      </c>
      <c r="L28" s="1251"/>
      <c r="M28" s="1251"/>
      <c r="N28" s="1251"/>
      <c r="O28" s="1250"/>
      <c r="P28" s="2028"/>
      <c r="V28" s="2028"/>
    </row>
    <row r="29" spans="1:26" ht="18">
      <c r="A29" s="292"/>
      <c r="B29" s="293"/>
      <c r="C29" s="293"/>
      <c r="D29" s="294"/>
      <c r="E29" s="313"/>
      <c r="F29" s="313"/>
      <c r="G29" s="313"/>
      <c r="H29" s="313"/>
      <c r="I29" s="313"/>
      <c r="J29" s="2028"/>
      <c r="K29" s="1257" t="str">
        <f ca="1">IF(OR(项目基本情况!E8="抵押价格",项目基本情况!E8="已注销及未注销"),"抵押价格："&amp;O39&amp;"万元","——")</f>
        <v>抵押价格：92631万元</v>
      </c>
      <c r="L29" s="1251"/>
      <c r="M29" s="1251"/>
      <c r="N29" s="1251"/>
      <c r="O29" s="1250"/>
      <c r="P29" s="2028"/>
      <c r="V29" s="2028"/>
    </row>
    <row r="30" spans="1:26" ht="18.75" thickBot="1">
      <c r="A30" s="295" t="s">
        <v>335</v>
      </c>
      <c r="B30" s="296">
        <f>SUM(B27:B29)</f>
        <v>0</v>
      </c>
      <c r="C30" s="296" t="e">
        <f>ROUND(D30*10000/B30,0)</f>
        <v>#DIV/0!</v>
      </c>
      <c r="D30" s="297">
        <f>SUM(D27:D29)</f>
        <v>0</v>
      </c>
      <c r="E30" s="313"/>
      <c r="F30" s="313"/>
      <c r="G30" s="313"/>
      <c r="H30" s="313"/>
      <c r="I30" s="313"/>
      <c r="J30" s="2028"/>
      <c r="K30" s="1257" t="str">
        <f ca="1">IF(K29="——","——","大写金额：人民币"&amp;NUMBERSTRING(INT(O39*10000),2)&amp;"元整")</f>
        <v>大写金额：人民币玖亿贰仟陆佰叁拾壹万元整</v>
      </c>
      <c r="L30" s="1251"/>
      <c r="M30" s="1251"/>
      <c r="N30" s="1251"/>
      <c r="O30" s="1250"/>
      <c r="P30" s="2028"/>
      <c r="V30" s="2028"/>
    </row>
    <row r="31" spans="1:26" ht="24" customHeight="1" thickBot="1">
      <c r="A31" s="313"/>
      <c r="B31" s="313"/>
      <c r="C31" s="313"/>
      <c r="D31" s="313"/>
      <c r="E31" s="313"/>
      <c r="F31" s="313"/>
      <c r="G31" s="313"/>
      <c r="H31" s="313"/>
      <c r="I31" s="313"/>
      <c r="J31" s="2028"/>
      <c r="K31" s="2492" t="str">
        <f>IF(项目基本情况!E8="抵押价格","——","抵押担保权已注销时的抵押价格："&amp;O40&amp;"万元")</f>
        <v>——</v>
      </c>
      <c r="L31" s="2488"/>
      <c r="M31" s="2488"/>
      <c r="N31" s="2488"/>
      <c r="O31" s="2489"/>
      <c r="P31" s="2028"/>
      <c r="V31" s="2028"/>
    </row>
    <row r="32" spans="1:26" ht="18.75" thickBot="1">
      <c r="A32" s="267" t="s">
        <v>336</v>
      </c>
      <c r="B32" s="1380" t="s">
        <v>1688</v>
      </c>
      <c r="C32" s="1381">
        <f ca="1">G19-C24</f>
        <v>92631</v>
      </c>
      <c r="D32" s="1382" t="s">
        <v>1689</v>
      </c>
      <c r="E32" s="313"/>
      <c r="F32" s="313"/>
      <c r="G32" s="313"/>
      <c r="H32" s="313"/>
      <c r="I32" s="313"/>
      <c r="J32" s="2028"/>
      <c r="K32" s="2487" t="str">
        <f>IF(K31="——","——","大写金额：人民币"&amp;NUMBERSTRING(INT(O40*10000),2)&amp;"元整")</f>
        <v>——</v>
      </c>
      <c r="L32" s="2490"/>
      <c r="M32" s="2490"/>
      <c r="N32" s="2490"/>
      <c r="O32" s="2491"/>
      <c r="P32" s="2028"/>
      <c r="V32" s="2028"/>
    </row>
    <row r="33" spans="1:26" ht="18.75" thickBot="1">
      <c r="A33" s="300" t="s">
        <v>339</v>
      </c>
      <c r="B33" s="1383" t="s">
        <v>1690</v>
      </c>
      <c r="C33" s="263">
        <f ca="1">ROUND(C32*10000/'数据-汇总表'!E3,0)</f>
        <v>3994</v>
      </c>
      <c r="D33" s="1384" t="s">
        <v>1691</v>
      </c>
      <c r="E33" s="3297" t="s">
        <v>337</v>
      </c>
      <c r="F33" s="298" t="s">
        <v>338</v>
      </c>
      <c r="G33" s="299"/>
      <c r="H33" s="979"/>
      <c r="I33" s="1258"/>
      <c r="J33" s="2028"/>
      <c r="K33" s="1257" t="str">
        <f>IF(项目基本情况!E9="——","——","抵押净值："&amp;C46&amp;"万元")</f>
        <v>抵押净值：——万元</v>
      </c>
      <c r="L33" s="1251"/>
      <c r="M33" s="1251"/>
      <c r="N33" s="1251"/>
      <c r="O33" s="1250"/>
      <c r="P33" s="2028"/>
      <c r="V33" s="2028"/>
    </row>
    <row r="34" spans="1:26" s="1253" customFormat="1" ht="18.75" thickBot="1">
      <c r="A34" s="302"/>
      <c r="B34" s="1385" t="s">
        <v>1692</v>
      </c>
      <c r="C34" s="263">
        <f ca="1">ROUND(C32*10000/'数据-汇总表'!D3,0)</f>
        <v>8787</v>
      </c>
      <c r="D34" s="1386" t="s">
        <v>1691</v>
      </c>
      <c r="E34" s="3298"/>
      <c r="F34" s="127" t="s">
        <v>340</v>
      </c>
      <c r="G34" s="301"/>
      <c r="H34" s="105"/>
      <c r="I34" s="313"/>
      <c r="J34" s="2028"/>
      <c r="K34" s="1260" t="e">
        <f>IF(K33="——","——","大写金额：人民币"&amp;NUMBERSTRING(INT(O41*10000),2)&amp;"元整")</f>
        <v>#VALUE!</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586</v>
      </c>
      <c r="D35" s="1389" t="s">
        <v>1693</v>
      </c>
      <c r="E35" s="3299"/>
      <c r="F35" s="303" t="s">
        <v>341</v>
      </c>
      <c r="G35" s="981"/>
      <c r="H35" s="980" t="s">
        <v>342</v>
      </c>
      <c r="I35" s="313"/>
      <c r="J35" s="2028"/>
      <c r="K35" s="3303" t="s">
        <v>349</v>
      </c>
      <c r="L35" s="3303" t="s">
        <v>350</v>
      </c>
      <c r="M35" s="1263" t="s">
        <v>351</v>
      </c>
      <c r="N35" s="3303" t="s">
        <v>352</v>
      </c>
      <c r="O35" s="3303" t="s">
        <v>353</v>
      </c>
      <c r="P35" s="2028"/>
      <c r="V35" s="2028"/>
    </row>
    <row r="36" spans="1:26" ht="16.5" customHeight="1">
      <c r="A36" s="305" t="s">
        <v>343</v>
      </c>
      <c r="B36" s="306" t="s">
        <v>332</v>
      </c>
      <c r="C36" s="307" t="s">
        <v>344</v>
      </c>
      <c r="D36" s="307" t="s">
        <v>345</v>
      </c>
      <c r="E36" s="308" t="s">
        <v>346</v>
      </c>
      <c r="F36" s="313"/>
      <c r="G36" s="313"/>
      <c r="H36" s="313"/>
      <c r="I36" s="313"/>
      <c r="J36" s="2030"/>
      <c r="K36" s="3304"/>
      <c r="L36" s="3304"/>
      <c r="M36" s="1265" t="s">
        <v>354</v>
      </c>
      <c r="N36" s="3304"/>
      <c r="O36" s="3304"/>
      <c r="P36" s="2028"/>
      <c r="V36" s="2028"/>
    </row>
    <row r="37" spans="1:26" ht="16.5" customHeight="1" thickBot="1">
      <c r="A37" s="1259" t="s">
        <v>347</v>
      </c>
      <c r="B37" s="309"/>
      <c r="C37" s="293"/>
      <c r="D37" s="293"/>
      <c r="E37" s="294"/>
      <c r="F37" s="313"/>
      <c r="G37" s="313"/>
      <c r="H37" s="313"/>
      <c r="I37" s="313"/>
      <c r="J37" s="2030"/>
      <c r="K37" s="3305"/>
      <c r="L37" s="3305"/>
      <c r="M37" s="1266"/>
      <c r="N37" s="3305"/>
      <c r="O37" s="3305"/>
      <c r="P37" s="2028"/>
      <c r="V37" s="2028"/>
    </row>
    <row r="38" spans="1:26" ht="16.5" customHeight="1" thickBot="1">
      <c r="A38" s="1259" t="s">
        <v>348</v>
      </c>
      <c r="B38" s="309"/>
      <c r="C38" s="293"/>
      <c r="D38" s="293"/>
      <c r="E38" s="294"/>
      <c r="F38" s="313"/>
      <c r="G38" s="313"/>
      <c r="H38" s="313"/>
      <c r="I38" s="313"/>
      <c r="J38" s="2030"/>
      <c r="K38" s="1267">
        <f>'数据-汇总表'!D3</f>
        <v>105421.08</v>
      </c>
      <c r="L38" s="1268">
        <f>'数据-汇总表'!E3</f>
        <v>231926.37</v>
      </c>
      <c r="M38" s="1268">
        <f ca="1">C34</f>
        <v>8787</v>
      </c>
      <c r="N38" s="1268">
        <f ca="1">C33</f>
        <v>3994</v>
      </c>
      <c r="O38" s="1269">
        <f ca="1">C32</f>
        <v>92631</v>
      </c>
      <c r="P38" s="2028"/>
      <c r="V38" s="2028"/>
    </row>
    <row r="39" spans="1:26" ht="16.5" customHeight="1" thickBot="1">
      <c r="A39" s="1264"/>
      <c r="B39" s="310"/>
      <c r="C39" s="311"/>
      <c r="D39" s="311"/>
      <c r="E39" s="312"/>
      <c r="F39" s="313"/>
      <c r="G39" s="313"/>
      <c r="H39" s="313"/>
      <c r="I39" s="313"/>
      <c r="J39" s="2030"/>
      <c r="K39" s="3280" t="str">
        <f>MID(A44,3,LEN(A44)-2)</f>
        <v>抵押价格</v>
      </c>
      <c r="L39" s="3281"/>
      <c r="M39" s="3281"/>
      <c r="N39" s="3282"/>
      <c r="O39" s="1391">
        <f ca="1">C44</f>
        <v>92631</v>
      </c>
      <c r="P39" s="2028"/>
      <c r="V39" s="2028"/>
    </row>
    <row r="40" spans="1:26" ht="19.5" thickBot="1">
      <c r="A40" s="104" t="s">
        <v>872</v>
      </c>
      <c r="B40" s="313"/>
      <c r="C40" s="313"/>
      <c r="D40" s="313"/>
      <c r="E40" s="313"/>
      <c r="F40" s="313"/>
      <c r="G40" s="313"/>
      <c r="H40" s="313"/>
      <c r="I40" s="313"/>
      <c r="J40" s="2030"/>
      <c r="K40" s="3280" t="str">
        <f t="shared" ref="K40:K41" si="0">MID(A45,3,LEN(A45)-2)</f>
        <v/>
      </c>
      <c r="L40" s="3281"/>
      <c r="M40" s="3281"/>
      <c r="N40" s="3282"/>
      <c r="O40" s="1391" t="str">
        <f>C45</f>
        <v>——</v>
      </c>
      <c r="P40" s="2028"/>
      <c r="V40" s="2028"/>
    </row>
    <row r="41" spans="1:26" ht="16.5" thickBot="1">
      <c r="A41" s="314" t="s">
        <v>355</v>
      </c>
      <c r="B41" s="315"/>
      <c r="C41" s="316" t="s">
        <v>356</v>
      </c>
      <c r="D41" s="317" t="s">
        <v>357</v>
      </c>
      <c r="E41" s="317" t="s">
        <v>358</v>
      </c>
      <c r="F41" s="318" t="s">
        <v>359</v>
      </c>
      <c r="G41" s="313"/>
      <c r="H41" s="313"/>
      <c r="I41" s="313"/>
      <c r="J41" s="2030"/>
      <c r="K41" s="3280" t="str">
        <f t="shared" si="0"/>
        <v/>
      </c>
      <c r="L41" s="3281"/>
      <c r="M41" s="3281"/>
      <c r="N41" s="3282"/>
      <c r="O41" s="1391" t="str">
        <f>C46</f>
        <v>——</v>
      </c>
      <c r="P41" s="2028"/>
      <c r="V41" s="2028"/>
    </row>
    <row r="42" spans="1:26" ht="29.25">
      <c r="A42" s="3340" t="s">
        <v>2068</v>
      </c>
      <c r="B42" s="3341"/>
      <c r="C42" s="263">
        <f ca="1">C32</f>
        <v>92631</v>
      </c>
      <c r="D42" s="319">
        <f ca="1">C33</f>
        <v>3994</v>
      </c>
      <c r="E42" s="319">
        <f ca="1">C34</f>
        <v>8787</v>
      </c>
      <c r="F42" s="320">
        <f ca="1">C35</f>
        <v>586</v>
      </c>
      <c r="G42" s="313"/>
      <c r="H42" s="313"/>
      <c r="I42" s="321"/>
      <c r="J42" s="2030"/>
      <c r="K42" s="1270" t="s">
        <v>360</v>
      </c>
      <c r="L42" s="2047" t="s">
        <v>361</v>
      </c>
      <c r="M42" s="1271" t="s">
        <v>362</v>
      </c>
      <c r="N42" s="2048" t="s">
        <v>363</v>
      </c>
      <c r="O42" s="2049" t="s">
        <v>364</v>
      </c>
      <c r="P42" s="2028"/>
      <c r="V42" s="2028"/>
    </row>
    <row r="43" spans="1:26" ht="30">
      <c r="A43" s="3350" t="s">
        <v>2735</v>
      </c>
      <c r="B43" s="3351"/>
      <c r="C43" s="263">
        <f>IF(H33="正常操作",G33+G34+G35,G34+G35)</f>
        <v>0</v>
      </c>
      <c r="D43" s="319" t="s">
        <v>43</v>
      </c>
      <c r="E43" s="319" t="s">
        <v>44</v>
      </c>
      <c r="F43" s="320" t="s">
        <v>44</v>
      </c>
      <c r="G43" s="2892" t="s">
        <v>951</v>
      </c>
      <c r="H43" s="313"/>
      <c r="I43" s="321"/>
      <c r="J43" s="2030"/>
      <c r="K43" s="1272" t="str">
        <f>C4</f>
        <v>比较法-住宅、综合</v>
      </c>
      <c r="L43" s="1273">
        <f ca="1">IF(L42="估价结果/万元",C19,C20)</f>
        <v>95484</v>
      </c>
      <c r="M43" s="1274">
        <f>C18</f>
        <v>0.5</v>
      </c>
      <c r="N43" s="1275">
        <f ca="1">IF(N42="测算结果/万元",G19,G20)</f>
        <v>92631</v>
      </c>
      <c r="O43" s="1276">
        <f ca="1">IF(O42="最终结果/万元",C32,C33)</f>
        <v>92631</v>
      </c>
      <c r="P43" s="2028"/>
      <c r="V43" s="2028"/>
    </row>
    <row r="44" spans="1:26" ht="30.75" thickBot="1">
      <c r="A44" s="3340" t="str">
        <f>IF(OR(项目基本情况!E8="抵押价格",项目基本情况!E8="已注销及未注销"),"3.抵押价格","——")</f>
        <v>3.抵押价格</v>
      </c>
      <c r="B44" s="3341"/>
      <c r="C44" s="263">
        <f ca="1">IF(A44="——","——",C42-C43)</f>
        <v>92631</v>
      </c>
      <c r="D44" s="319">
        <f ca="1">ROUND(C44*10000/'数据-汇总表'!E3,0)</f>
        <v>3994</v>
      </c>
      <c r="E44" s="319">
        <f ca="1">ROUND(C44*10000/'数据-汇总表'!D3,0)</f>
        <v>8787</v>
      </c>
      <c r="F44" s="320">
        <f ca="1">ROUND(C44/('数据-汇总表'!D3/666.67),0)</f>
        <v>586</v>
      </c>
      <c r="G44" s="313"/>
      <c r="H44" s="313"/>
      <c r="I44" s="321"/>
      <c r="J44" s="2030"/>
      <c r="K44" s="1277" t="str">
        <f>D4</f>
        <v>剩余法-待开发</v>
      </c>
      <c r="L44" s="1278">
        <f ca="1">IF(L42="估价结果/万元",D19,D20)</f>
        <v>89778</v>
      </c>
      <c r="M44" s="1279">
        <f>D18</f>
        <v>0.5</v>
      </c>
      <c r="N44" s="1280"/>
      <c r="O44" s="1281"/>
      <c r="P44" s="2028"/>
      <c r="V44" s="2028"/>
    </row>
    <row r="45" spans="1:26" ht="15">
      <c r="A45" s="3345" t="str">
        <f>IF(项目基本情况!E8="已注销及未注销","4.抵押担保权已注销时的抵押价格",IF(项目基本情况!E8="已注销","3.抵押担保权已注销时的抵押价格","——"))</f>
        <v>——</v>
      </c>
      <c r="B45" s="3346"/>
      <c r="C45" s="1803"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0"/>
      <c r="K45" s="2028"/>
      <c r="L45" s="2028"/>
      <c r="M45" s="2028"/>
      <c r="N45" s="2028"/>
      <c r="O45" s="2028"/>
      <c r="P45" s="2028"/>
      <c r="V45" s="2028"/>
    </row>
    <row r="46" spans="1:26" ht="15.75" thickBot="1">
      <c r="A46" s="3342" t="str">
        <f>IF(项目基本情况!E9="抵押净值",IF(A45="——","4.抵押净值","5.抵押净值"),"——")</f>
        <v>——</v>
      </c>
      <c r="B46" s="3343"/>
      <c r="C46" s="322" t="str">
        <f>IF(A46="——","——",O79)</f>
        <v>——</v>
      </c>
      <c r="D46" s="319" t="e">
        <f>ROUND(C46*10000/'数据-汇总表'!E3,0)</f>
        <v>#VALUE!</v>
      </c>
      <c r="E46" s="319" t="e">
        <f>ROUND(C46*10000/'数据-汇总表'!D3,0)</f>
        <v>#VALUE!</v>
      </c>
      <c r="F46" s="320" t="e">
        <f>ROUND(C46/('数据-汇总表'!D3/666.67),0)</f>
        <v>#VALUE!</v>
      </c>
      <c r="G46" s="313"/>
      <c r="H46" s="313"/>
      <c r="I46" s="321"/>
      <c r="J46" s="2030"/>
      <c r="K46" s="2028"/>
      <c r="L46" s="2028"/>
      <c r="M46" s="2028"/>
      <c r="N46" s="2028"/>
      <c r="O46" s="2028"/>
      <c r="P46" s="2028"/>
      <c r="Q46" s="2028"/>
      <c r="R46" s="2028"/>
      <c r="S46" s="2028"/>
      <c r="T46" s="2028"/>
      <c r="U46" s="2028"/>
      <c r="V46" s="2028"/>
    </row>
    <row r="47" spans="1:26" ht="15.75">
      <c r="A47" s="323" t="s">
        <v>365</v>
      </c>
      <c r="B47" s="1282"/>
      <c r="C47" s="324" t="s">
        <v>366</v>
      </c>
      <c r="D47" s="325"/>
      <c r="E47" s="325"/>
      <c r="F47" s="325"/>
      <c r="G47" s="326"/>
      <c r="H47" s="327"/>
      <c r="I47" s="328"/>
      <c r="J47" s="2030"/>
      <c r="K47" s="313"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9">
        <v>1</v>
      </c>
      <c r="B48" s="330"/>
      <c r="C48" s="330"/>
      <c r="D48" s="325"/>
      <c r="E48" s="325"/>
      <c r="F48" s="325"/>
      <c r="G48" s="325"/>
      <c r="H48" s="331"/>
      <c r="I48" s="332"/>
      <c r="J48" s="2030"/>
      <c r="K48" s="2028"/>
      <c r="L48" s="2028"/>
      <c r="M48" s="2028"/>
      <c r="N48" s="2028"/>
      <c r="O48" s="2028"/>
      <c r="P48" s="2028"/>
      <c r="Q48" s="2028"/>
      <c r="R48" s="2028"/>
      <c r="S48" s="2028"/>
      <c r="T48" s="2028"/>
      <c r="U48" s="2028"/>
      <c r="V48" s="2028"/>
    </row>
    <row r="49" spans="1:22" ht="12.75">
      <c r="A49" s="329">
        <v>2</v>
      </c>
      <c r="B49" s="330"/>
      <c r="C49" s="330"/>
      <c r="D49" s="325"/>
      <c r="E49" s="325"/>
      <c r="F49" s="325"/>
      <c r="G49" s="325"/>
      <c r="H49" s="331"/>
      <c r="I49" s="332"/>
      <c r="J49" s="2031"/>
      <c r="K49" s="2028"/>
      <c r="L49" s="2028"/>
      <c r="M49" s="2028"/>
      <c r="N49" s="2028"/>
      <c r="O49" s="2028"/>
      <c r="P49" s="2028"/>
      <c r="Q49" s="2028"/>
      <c r="R49" s="2028"/>
      <c r="S49" s="2028"/>
      <c r="T49" s="2028"/>
      <c r="U49" s="2028"/>
      <c r="V49" s="2028"/>
    </row>
    <row r="50" spans="1:22" ht="12.75">
      <c r="A50" s="329">
        <v>3</v>
      </c>
      <c r="B50" s="330"/>
      <c r="C50" s="330"/>
      <c r="D50" s="325"/>
      <c r="E50" s="325"/>
      <c r="F50" s="325"/>
      <c r="G50" s="325"/>
      <c r="H50" s="331"/>
      <c r="I50" s="332"/>
      <c r="J50" s="2031"/>
      <c r="K50" s="2028"/>
      <c r="L50" s="2028"/>
      <c r="M50" s="2028"/>
      <c r="N50" s="2028"/>
      <c r="O50" s="2028"/>
      <c r="P50" s="2028"/>
      <c r="Q50" s="2028"/>
      <c r="R50" s="2028"/>
      <c r="S50" s="2028"/>
      <c r="T50" s="2028"/>
      <c r="U50" s="2028"/>
      <c r="V50" s="2028"/>
    </row>
    <row r="51" spans="1:22" ht="12.75">
      <c r="A51" s="333"/>
      <c r="B51" s="334"/>
      <c r="C51" s="334"/>
      <c r="D51" s="335"/>
      <c r="E51" s="335"/>
      <c r="F51" s="335"/>
      <c r="G51" s="335"/>
      <c r="H51" s="336"/>
      <c r="I51" s="337"/>
      <c r="J51" s="2031"/>
      <c r="K51" s="2028"/>
      <c r="L51" s="2028"/>
      <c r="M51" s="2028"/>
      <c r="N51" s="2028"/>
      <c r="O51" s="2028"/>
      <c r="P51" s="2028"/>
      <c r="Q51" s="2028"/>
      <c r="R51" s="2028"/>
      <c r="S51" s="2028"/>
      <c r="T51" s="2028"/>
      <c r="U51" s="2028"/>
      <c r="V51" s="2028"/>
    </row>
    <row r="52" spans="1:22" ht="12.75">
      <c r="A52" s="330"/>
      <c r="B52" s="330"/>
      <c r="C52" s="330"/>
      <c r="D52" s="325"/>
      <c r="E52" s="325"/>
      <c r="F52" s="325"/>
      <c r="G52" s="325"/>
      <c r="H52" s="331"/>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8" t="s">
        <v>367</v>
      </c>
      <c r="G53" s="339"/>
      <c r="H53" s="339"/>
      <c r="I53" s="340" t="s">
        <v>368</v>
      </c>
      <c r="J53" s="2031"/>
      <c r="K53" s="2028"/>
      <c r="L53" s="2028"/>
      <c r="M53" s="2028"/>
      <c r="N53" s="2028"/>
      <c r="O53" s="2028"/>
      <c r="P53" s="2028"/>
      <c r="Q53" s="2028"/>
      <c r="R53" s="2028"/>
      <c r="S53" s="2028"/>
      <c r="T53" s="2028"/>
      <c r="U53" s="2028"/>
      <c r="V53" s="2028"/>
    </row>
    <row r="54" spans="1:22" ht="12.75">
      <c r="A54" s="256"/>
      <c r="B54" s="341" t="s">
        <v>369</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9"/>
      <c r="C56" s="339"/>
      <c r="D56" s="339"/>
      <c r="E56" s="339"/>
      <c r="F56" s="339"/>
      <c r="G56" s="339"/>
      <c r="H56" s="339"/>
      <c r="I56" s="340" t="s">
        <v>370</v>
      </c>
      <c r="J56" s="2031"/>
      <c r="K56" s="2028"/>
      <c r="L56" s="2028"/>
      <c r="M56" s="2028"/>
      <c r="N56" s="2028"/>
      <c r="O56" s="2028"/>
      <c r="P56" s="2028"/>
      <c r="Q56" s="2028"/>
      <c r="R56" s="2028"/>
      <c r="S56" s="2028"/>
      <c r="T56" s="2028"/>
      <c r="U56" s="2028"/>
      <c r="V56" s="2028"/>
    </row>
    <row r="57" spans="1:22" ht="12.75">
      <c r="A57" s="256"/>
      <c r="B57" s="341" t="s">
        <v>371</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41"/>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9"/>
      <c r="C59" s="339"/>
      <c r="D59" s="339"/>
      <c r="E59" s="339"/>
      <c r="F59" s="339"/>
      <c r="G59" s="339"/>
      <c r="H59" s="339"/>
      <c r="I59" s="340" t="s">
        <v>370</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41"/>
      <c r="C61" s="342"/>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08" t="s">
        <v>373</v>
      </c>
      <c r="B63" s="3309"/>
      <c r="C63" s="3310"/>
      <c r="D63" s="343">
        <f ca="1">ROUND(C42*F63,0)</f>
        <v>92631</v>
      </c>
      <c r="E63" s="304" t="s">
        <v>374</v>
      </c>
      <c r="F63" s="344">
        <v>1</v>
      </c>
      <c r="G63" s="345" t="s">
        <v>375</v>
      </c>
      <c r="H63" s="313"/>
      <c r="I63" s="313"/>
      <c r="J63" s="2028"/>
      <c r="K63" s="2028"/>
      <c r="L63" s="2028"/>
      <c r="M63" s="2028"/>
      <c r="N63" s="2028"/>
      <c r="O63" s="2028"/>
      <c r="P63" s="313"/>
      <c r="Q63" s="2028"/>
      <c r="R63" s="2028"/>
      <c r="S63" s="2028"/>
      <c r="T63" s="2028"/>
      <c r="U63" s="2028"/>
      <c r="V63" s="2028"/>
    </row>
    <row r="64" spans="1:22" ht="14.25" customHeight="1">
      <c r="A64" s="3347" t="s">
        <v>377</v>
      </c>
      <c r="B64" s="3348"/>
      <c r="C64" s="3348"/>
      <c r="D64" s="3348"/>
      <c r="E64" s="3348"/>
      <c r="F64" s="3348"/>
      <c r="G64" s="3349"/>
      <c r="H64" s="1287"/>
      <c r="I64" s="947"/>
      <c r="J64" s="1990"/>
      <c r="K64" s="1560" t="s">
        <v>376</v>
      </c>
      <c r="L64" s="11"/>
      <c r="M64" s="11"/>
      <c r="N64" s="11"/>
      <c r="O64" s="11"/>
      <c r="P64" s="313"/>
      <c r="Q64" s="2028"/>
      <c r="R64" s="2028"/>
      <c r="S64" s="2028"/>
      <c r="T64" s="2028"/>
      <c r="U64" s="2028"/>
      <c r="V64" s="2028"/>
    </row>
    <row r="65" spans="1:22" ht="12" customHeight="1">
      <c r="A65" s="346" t="s">
        <v>379</v>
      </c>
      <c r="B65" s="347"/>
      <c r="C65" s="348"/>
      <c r="D65" s="349" t="s">
        <v>380</v>
      </c>
      <c r="E65" s="53" t="s">
        <v>381</v>
      </c>
      <c r="F65" s="350" t="s">
        <v>382</v>
      </c>
      <c r="G65" s="351" t="s">
        <v>383</v>
      </c>
      <c r="H65" s="1287"/>
      <c r="I65" s="947"/>
      <c r="J65" s="1990"/>
      <c r="K65" s="1288"/>
      <c r="L65" s="1289"/>
      <c r="M65" s="1289"/>
      <c r="N65" s="1321" t="s">
        <v>378</v>
      </c>
      <c r="O65" s="1322"/>
      <c r="P65" s="1323"/>
      <c r="Q65" s="2028"/>
      <c r="R65" s="2028"/>
      <c r="S65" s="2028"/>
      <c r="T65" s="2028"/>
      <c r="U65" s="2028"/>
      <c r="V65" s="2028"/>
    </row>
    <row r="66" spans="1:22" ht="25.5">
      <c r="A66" s="3344" t="s">
        <v>385</v>
      </c>
      <c r="B66" s="3315"/>
      <c r="C66" s="3315"/>
      <c r="D66" s="260">
        <f ca="1">IF(H66="情况1",0,IF(H66="情况2",D70,IF(H66="情况3",D71,IF(H66="情况4",D72))))</f>
        <v>4940</v>
      </c>
      <c r="E66" s="992" t="str">
        <f>IF(H66="情况4","(销售额-原购置价)×税（费）率","销售额×税（费）率")</f>
        <v>销售额×税（费）率</v>
      </c>
      <c r="F66" s="352">
        <f>IF(H66="情况1","免征",'数据-取费表'!B41)</f>
        <v>5.6000000000000001E-2</v>
      </c>
      <c r="G66" s="353" t="s">
        <v>386</v>
      </c>
      <c r="H66" s="191" t="s">
        <v>387</v>
      </c>
      <c r="I66" s="1287"/>
      <c r="J66" s="2034"/>
      <c r="K66" s="1290">
        <v>1</v>
      </c>
      <c r="L66" s="3284" t="s">
        <v>384</v>
      </c>
      <c r="M66" s="3285"/>
      <c r="N66" s="2482"/>
      <c r="O66" s="2483"/>
      <c r="P66" s="2484"/>
      <c r="Q66" s="2028"/>
      <c r="R66" s="2028"/>
      <c r="S66" s="2028"/>
      <c r="T66" s="2028"/>
      <c r="U66" s="2028"/>
      <c r="V66" s="2028"/>
    </row>
    <row r="67" spans="1:22" ht="25.5" customHeight="1">
      <c r="A67" s="354" t="s">
        <v>389</v>
      </c>
      <c r="B67" s="3327" t="s">
        <v>390</v>
      </c>
      <c r="C67" s="3327"/>
      <c r="D67" s="355">
        <v>0</v>
      </c>
      <c r="E67" s="41" t="s">
        <v>391</v>
      </c>
      <c r="F67" s="62" t="s">
        <v>21</v>
      </c>
      <c r="G67" s="3311"/>
      <c r="H67" s="313"/>
      <c r="I67" s="1291"/>
      <c r="J67" s="2035"/>
      <c r="K67" s="1976">
        <v>2</v>
      </c>
      <c r="L67" s="3283" t="s">
        <v>388</v>
      </c>
      <c r="M67" s="3283"/>
      <c r="N67" s="1324">
        <f>'数据-取费表'!B2</f>
        <v>43083</v>
      </c>
      <c r="O67" s="1324"/>
      <c r="P67" s="1324"/>
      <c r="Q67" s="2028"/>
      <c r="R67" s="2028"/>
      <c r="S67" s="2028"/>
      <c r="T67" s="2028"/>
      <c r="U67" s="2028"/>
      <c r="V67" s="2028"/>
    </row>
    <row r="68" spans="1:22" ht="25.5" customHeight="1">
      <c r="A68" s="356"/>
      <c r="B68" s="3327" t="s">
        <v>393</v>
      </c>
      <c r="C68" s="3327"/>
      <c r="D68" s="357"/>
      <c r="E68" s="77"/>
      <c r="F68" s="358"/>
      <c r="G68" s="3312"/>
      <c r="H68" s="313"/>
      <c r="I68" s="1291"/>
      <c r="J68" s="2035"/>
      <c r="K68" s="1976">
        <v>3</v>
      </c>
      <c r="L68" s="3283" t="s">
        <v>392</v>
      </c>
      <c r="M68" s="3283"/>
      <c r="N68" s="1292">
        <f ca="1">C42</f>
        <v>92631</v>
      </c>
      <c r="O68" s="1292"/>
      <c r="P68" s="1292"/>
      <c r="Q68" s="2028"/>
      <c r="R68" s="2028"/>
      <c r="S68" s="2028"/>
      <c r="T68" s="2028"/>
      <c r="U68" s="2028"/>
      <c r="V68" s="2028"/>
    </row>
    <row r="69" spans="1:22" ht="12" customHeight="1">
      <c r="A69" s="359"/>
      <c r="B69" s="3327" t="s">
        <v>394</v>
      </c>
      <c r="C69" s="3327"/>
      <c r="D69" s="360"/>
      <c r="E69" s="73"/>
      <c r="F69" s="358"/>
      <c r="G69" s="3313"/>
      <c r="H69" s="313"/>
      <c r="I69" s="1291"/>
      <c r="J69" s="2035"/>
      <c r="K69" s="1293">
        <v>4</v>
      </c>
      <c r="L69" s="3289" t="s">
        <v>2888</v>
      </c>
      <c r="M69" s="3290"/>
      <c r="N69" s="1294">
        <f ca="1">C44</f>
        <v>92631</v>
      </c>
      <c r="O69" s="1294"/>
      <c r="P69" s="1294"/>
      <c r="Q69" s="2028"/>
      <c r="R69" s="2028"/>
      <c r="S69" s="2028"/>
      <c r="T69" s="2028"/>
      <c r="U69" s="2028"/>
      <c r="V69" s="2028"/>
    </row>
    <row r="70" spans="1:22" ht="24" customHeight="1">
      <c r="A70" s="361" t="s">
        <v>395</v>
      </c>
      <c r="B70" s="3327" t="s">
        <v>396</v>
      </c>
      <c r="C70" s="3327"/>
      <c r="D70" s="360">
        <f ca="1">ROUND(D63*'数据-取费表'!B41/(1+'数据-取费表'!C42),0)</f>
        <v>4940</v>
      </c>
      <c r="E70" s="17" t="s">
        <v>397</v>
      </c>
      <c r="F70" s="362">
        <f>'数据-取费表'!B41</f>
        <v>5.6000000000000001E-2</v>
      </c>
      <c r="G70" s="363"/>
      <c r="H70" s="313"/>
      <c r="I70" s="1291"/>
      <c r="J70" s="2035"/>
      <c r="K70" s="3088"/>
      <c r="L70" s="3089"/>
      <c r="M70" s="3089"/>
      <c r="N70" s="3090" t="s">
        <v>2893</v>
      </c>
      <c r="O70" s="3089"/>
      <c r="P70" s="3091"/>
      <c r="Q70" s="2028"/>
      <c r="R70" s="2028"/>
      <c r="S70" s="2028"/>
      <c r="T70" s="2028"/>
      <c r="U70" s="2028"/>
      <c r="V70" s="2028"/>
    </row>
    <row r="71" spans="1:22" ht="12" customHeight="1">
      <c r="A71" s="361" t="s">
        <v>403</v>
      </c>
      <c r="B71" s="3326" t="s">
        <v>404</v>
      </c>
      <c r="C71" s="3338"/>
      <c r="D71" s="360">
        <f ca="1">ROUND(D63*'数据-取费表'!B41/(1+'数据-取费表'!C42),0)</f>
        <v>4940</v>
      </c>
      <c r="E71" s="17" t="s">
        <v>397</v>
      </c>
      <c r="F71" s="362">
        <f>'数据-取费表'!B41</f>
        <v>5.6000000000000001E-2</v>
      </c>
      <c r="G71" s="363"/>
      <c r="H71" s="313"/>
      <c r="I71" s="1291"/>
      <c r="J71" s="2035"/>
      <c r="K71" s="3087" t="s">
        <v>398</v>
      </c>
      <c r="L71" s="3291" t="s">
        <v>399</v>
      </c>
      <c r="M71" s="3291"/>
      <c r="N71" s="3087" t="s">
        <v>400</v>
      </c>
      <c r="O71" s="3087" t="s">
        <v>401</v>
      </c>
      <c r="P71" s="3087" t="s">
        <v>402</v>
      </c>
      <c r="Q71" s="2028"/>
      <c r="R71" s="2028"/>
      <c r="S71" s="2028"/>
      <c r="T71" s="2028"/>
      <c r="U71" s="2028"/>
      <c r="V71" s="2028"/>
    </row>
    <row r="72" spans="1:22" ht="12" customHeight="1">
      <c r="A72" s="361" t="s">
        <v>406</v>
      </c>
      <c r="B72" s="3326" t="s">
        <v>407</v>
      </c>
      <c r="C72" s="3338"/>
      <c r="D72" s="360">
        <f ca="1">C86</f>
        <v>4828</v>
      </c>
      <c r="E72" s="73" t="s">
        <v>408</v>
      </c>
      <c r="F72" s="362">
        <f>'数据-取费表'!B41</f>
        <v>5.6000000000000001E-2</v>
      </c>
      <c r="G72" s="363"/>
      <c r="H72" s="1297"/>
      <c r="I72" s="1291"/>
      <c r="J72" s="2035"/>
      <c r="K72" s="1976">
        <v>1</v>
      </c>
      <c r="L72" s="3288" t="s">
        <v>405</v>
      </c>
      <c r="M72" s="3288"/>
      <c r="N72" s="1295">
        <f ca="1">D66</f>
        <v>4940</v>
      </c>
      <c r="O72" s="1859" t="str">
        <f>E66</f>
        <v>销售额×税（费）率</v>
      </c>
      <c r="P72" s="1296">
        <f>F66</f>
        <v>5.6000000000000001E-2</v>
      </c>
      <c r="Q72" s="2028"/>
      <c r="R72" s="2028"/>
      <c r="S72" s="2028"/>
      <c r="T72" s="2028"/>
      <c r="U72" s="2028"/>
      <c r="V72" s="2028"/>
    </row>
    <row r="73" spans="1:22" ht="24" customHeight="1">
      <c r="A73" s="3314" t="s">
        <v>410</v>
      </c>
      <c r="B73" s="3315"/>
      <c r="C73" s="3315"/>
      <c r="D73" s="364">
        <f>IF(H73="个人住宅",0,ROUND(D63*I73,0))</f>
        <v>0</v>
      </c>
      <c r="E73" s="17" t="s">
        <v>411</v>
      </c>
      <c r="F73" s="362" t="str">
        <f>IF(H73="正常",I73,"免征")</f>
        <v>免征</v>
      </c>
      <c r="G73" s="363"/>
      <c r="H73" s="191" t="s">
        <v>2457</v>
      </c>
      <c r="I73" s="362">
        <f>'数据-取费表'!B49</f>
        <v>5.0000000000000001E-4</v>
      </c>
      <c r="J73" s="2035"/>
      <c r="K73" s="1976">
        <v>2</v>
      </c>
      <c r="L73" s="3288" t="s">
        <v>409</v>
      </c>
      <c r="M73" s="3288"/>
      <c r="N73" s="1295">
        <f t="shared" ref="N73:P74" si="1">D73</f>
        <v>0</v>
      </c>
      <c r="O73" s="1859" t="str">
        <f t="shared" si="1"/>
        <v>销售额×税（费）率</v>
      </c>
      <c r="P73" s="1296" t="str">
        <f t="shared" si="1"/>
        <v>免征</v>
      </c>
      <c r="Q73" s="2028"/>
      <c r="R73" s="2028"/>
      <c r="S73" s="2028"/>
      <c r="T73" s="2028"/>
      <c r="U73" s="2028"/>
      <c r="V73" s="2028"/>
    </row>
    <row r="74" spans="1:22" ht="24.75">
      <c r="A74" s="3314" t="s">
        <v>414</v>
      </c>
      <c r="B74" s="3315"/>
      <c r="C74" s="3315"/>
      <c r="D74" s="364">
        <f ca="1">IF(H74="个人住宅",D75,D76)</f>
        <v>7064</v>
      </c>
      <c r="E74" s="17" t="s">
        <v>415</v>
      </c>
      <c r="F74" s="362" t="str">
        <f>IF(H74="正常",F76,"免征")</f>
        <v>——</v>
      </c>
      <c r="G74" s="982" t="s">
        <v>416</v>
      </c>
      <c r="H74" s="365" t="s">
        <v>412</v>
      </c>
      <c r="I74" s="42"/>
      <c r="J74" s="2035"/>
      <c r="K74" s="1976">
        <v>3</v>
      </c>
      <c r="L74" s="3288" t="s">
        <v>413</v>
      </c>
      <c r="M74" s="3288"/>
      <c r="N74" s="1295">
        <f t="shared" ca="1" si="1"/>
        <v>7064</v>
      </c>
      <c r="O74" s="1859" t="str">
        <f t="shared" si="1"/>
        <v>增值额×税（费）率</v>
      </c>
      <c r="P74" s="1298" t="str">
        <f t="shared" si="1"/>
        <v>——</v>
      </c>
      <c r="Q74" s="2028"/>
      <c r="R74" s="2028"/>
      <c r="S74" s="2028"/>
      <c r="T74" s="2028"/>
      <c r="U74" s="2028"/>
      <c r="V74" s="2028"/>
    </row>
    <row r="75" spans="1:22" ht="24">
      <c r="A75" s="361" t="s">
        <v>417</v>
      </c>
      <c r="B75" s="3295" t="s">
        <v>418</v>
      </c>
      <c r="C75" s="3296"/>
      <c r="D75" s="366">
        <v>0</v>
      </c>
      <c r="E75" s="41" t="s">
        <v>419</v>
      </c>
      <c r="F75" s="367"/>
      <c r="G75" s="363"/>
      <c r="H75" s="42"/>
      <c r="I75" s="42"/>
      <c r="J75" s="2035"/>
      <c r="K75" s="3080">
        <f>IF(H77="非个人房产","",4)</f>
        <v>4</v>
      </c>
      <c r="L75" s="3288" t="str">
        <f>IF(H77="非个人房产","——","个人所得税")</f>
        <v>个人所得税</v>
      </c>
      <c r="M75" s="3288"/>
      <c r="N75" s="1299">
        <f ca="1">D77</f>
        <v>926</v>
      </c>
      <c r="O75" s="1872" t="str">
        <f>E77</f>
        <v>销售额×税（费）率</v>
      </c>
      <c r="P75" s="1300">
        <f>F77</f>
        <v>0.01</v>
      </c>
      <c r="Q75" s="2028"/>
      <c r="R75" s="2028"/>
      <c r="S75" s="2028"/>
      <c r="T75" s="2028"/>
      <c r="U75" s="2028"/>
      <c r="V75" s="2028"/>
    </row>
    <row r="76" spans="1:22" ht="24.75">
      <c r="A76" s="361" t="s">
        <v>395</v>
      </c>
      <c r="B76" s="3295" t="s">
        <v>421</v>
      </c>
      <c r="C76" s="3337"/>
      <c r="D76" s="364">
        <f ca="1">IF(H76="转让取得",C99,C115)</f>
        <v>7064</v>
      </c>
      <c r="E76" s="17" t="s">
        <v>422</v>
      </c>
      <c r="F76" s="53" t="s">
        <v>21</v>
      </c>
      <c r="G76" s="363"/>
      <c r="H76" s="365" t="s">
        <v>423</v>
      </c>
      <c r="I76" s="42"/>
      <c r="J76" s="2035"/>
      <c r="K76" s="3080" t="str">
        <f>IF(项目基本情况!K6="上海银行",IF(K75="",4,K75+1),"")</f>
        <v/>
      </c>
      <c r="L76" s="3276" t="str">
        <f>IF(项目基本情况!K6="上海银行","其他处置费用","")</f>
        <v/>
      </c>
      <c r="M76" s="3277"/>
      <c r="N76" s="1295" t="str">
        <f>IF(项目基本情况!K6="上海银行",N89,"")</f>
        <v/>
      </c>
      <c r="O76" s="3278" t="str">
        <f>IF(项目基本情况!K6="上海银行","包含处置中涉及的律师、诉讼、拍卖、评估等费用","")</f>
        <v/>
      </c>
      <c r="P76" s="3279"/>
      <c r="Q76" s="2028"/>
      <c r="R76" s="2028"/>
      <c r="S76" s="2028"/>
      <c r="T76" s="2028"/>
      <c r="U76" s="2028"/>
      <c r="V76" s="2028"/>
    </row>
    <row r="77" spans="1:22" ht="26.25" thickBot="1">
      <c r="A77" s="3306" t="s">
        <v>425</v>
      </c>
      <c r="B77" s="3307"/>
      <c r="C77" s="3307"/>
      <c r="D77" s="368">
        <f ca="1">IF(H77="非个人房产","——",IF(H77="个人住宅",0,ROUND(D63*I77,0)))</f>
        <v>926</v>
      </c>
      <c r="E77" s="369" t="str">
        <f>IF(H77="非个人房产","——","销售额×税（费）率")</f>
        <v>销售额×税（费）率</v>
      </c>
      <c r="F77" s="370">
        <f>IF(H77="非个人房产","——",IF(H77="个人住宅","免征",I77))</f>
        <v>0.01</v>
      </c>
      <c r="G77" s="983" t="s">
        <v>416</v>
      </c>
      <c r="H77" s="365" t="s">
        <v>2889</v>
      </c>
      <c r="I77" s="371">
        <v>0.01</v>
      </c>
      <c r="J77" s="2035"/>
      <c r="K77" s="3302">
        <f>IF(AND(K75="",K76=""),4,IF(项目基本情况!K6="上海银行",K76+1,K75+1))</f>
        <v>5</v>
      </c>
      <c r="L77" s="3288" t="s">
        <v>2890</v>
      </c>
      <c r="M77" s="3086" t="s">
        <v>420</v>
      </c>
      <c r="N77" s="1301"/>
      <c r="O77" s="1302">
        <f ca="1">SUMIF(N72:N76,"&lt;9e307")</f>
        <v>12930</v>
      </c>
      <c r="P77" s="1303"/>
      <c r="Q77" s="3084">
        <f ca="1">O77/N69</f>
        <v>0.13958609968585031</v>
      </c>
      <c r="R77" s="2028"/>
      <c r="S77" s="2028"/>
      <c r="T77" s="2028"/>
      <c r="U77" s="2028"/>
      <c r="V77" s="2028"/>
    </row>
    <row r="78" spans="1:22" ht="12" customHeight="1">
      <c r="A78" s="1304"/>
      <c r="B78" s="313"/>
      <c r="C78" s="313"/>
      <c r="D78" s="313"/>
      <c r="E78" s="42"/>
      <c r="F78" s="42"/>
      <c r="G78" s="42"/>
      <c r="H78" s="1002"/>
      <c r="I78" s="313"/>
      <c r="J78" s="2035"/>
      <c r="K78" s="3302"/>
      <c r="L78" s="3288"/>
      <c r="M78" s="3086" t="s">
        <v>424</v>
      </c>
      <c r="N78" s="1301"/>
      <c r="O78" s="1302" t="str">
        <f ca="1">NUMBERSTRING(INT(O77*10000),2)&amp;"元整"</f>
        <v>壹亿贰仟玖佰叁拾万元整</v>
      </c>
      <c r="P78" s="1303"/>
      <c r="Q78" s="2028"/>
      <c r="R78" s="2028"/>
      <c r="S78" s="2028"/>
      <c r="T78" s="2028"/>
      <c r="U78" s="2028"/>
      <c r="V78" s="2028"/>
    </row>
    <row r="79" spans="1:22" ht="13.5" thickBot="1">
      <c r="A79" s="3292" t="s">
        <v>426</v>
      </c>
      <c r="B79" s="3292"/>
      <c r="C79" s="3292"/>
      <c r="D79" s="3292"/>
      <c r="E79" s="3292"/>
      <c r="F79" s="42"/>
      <c r="G79" s="42"/>
      <c r="H79" s="1002"/>
      <c r="I79" s="313"/>
      <c r="J79" s="2035"/>
      <c r="K79" s="3286">
        <f>K77+1</f>
        <v>6</v>
      </c>
      <c r="L79" s="3288" t="s">
        <v>2891</v>
      </c>
      <c r="M79" s="3086" t="s">
        <v>420</v>
      </c>
      <c r="N79" s="1301"/>
      <c r="O79" s="1302">
        <f ca="1">N69-O77</f>
        <v>79701</v>
      </c>
      <c r="P79" s="1303"/>
      <c r="Q79" s="2028"/>
      <c r="R79" s="2028"/>
      <c r="S79" s="2028"/>
      <c r="T79" s="2028"/>
      <c r="U79" s="2028"/>
      <c r="V79" s="2028"/>
    </row>
    <row r="80" spans="1:22" ht="25.5">
      <c r="A80" s="3293" t="s">
        <v>427</v>
      </c>
      <c r="B80" s="3294"/>
      <c r="C80" s="993"/>
      <c r="D80" s="993" t="s">
        <v>428</v>
      </c>
      <c r="E80" s="372" t="s">
        <v>429</v>
      </c>
      <c r="F80" s="42"/>
      <c r="G80" s="42"/>
      <c r="H80" s="1002"/>
      <c r="I80" s="313"/>
      <c r="J80" s="2028"/>
      <c r="K80" s="3287"/>
      <c r="L80" s="3288"/>
      <c r="M80" s="3086" t="s">
        <v>424</v>
      </c>
      <c r="N80" s="1301"/>
      <c r="O80" s="1302" t="str">
        <f ca="1">NUMBERSTRING(INT(O79*10000),2)&amp;"元整"</f>
        <v>柒亿玖仟柒佰零壹万元整</v>
      </c>
      <c r="P80" s="1303"/>
      <c r="Q80" s="2028"/>
      <c r="R80" s="2028"/>
      <c r="S80" s="2028"/>
      <c r="T80" s="2028"/>
      <c r="U80" s="2028"/>
      <c r="V80" s="2028"/>
    </row>
    <row r="81" spans="1:26" ht="13.5" thickBot="1">
      <c r="A81" s="383" t="s">
        <v>1823</v>
      </c>
      <c r="B81" s="373" t="s">
        <v>430</v>
      </c>
      <c r="C81" s="374">
        <f ca="1">ROUND((C82+C83)/(1+'数据-取费表'!C42),0)</f>
        <v>88220</v>
      </c>
      <c r="D81" s="375"/>
      <c r="E81" s="376"/>
      <c r="F81" s="42"/>
      <c r="G81" s="42"/>
      <c r="H81" s="1002"/>
      <c r="I81" s="313"/>
      <c r="J81" s="2028"/>
      <c r="K81" s="3080">
        <f>K79+1</f>
        <v>7</v>
      </c>
      <c r="L81" s="3300" t="s">
        <v>2892</v>
      </c>
      <c r="M81" s="3301"/>
      <c r="N81" s="1305"/>
      <c r="O81" s="1306">
        <f ca="1">ROUND(O79*10000/'数据-汇总表'!E3,0)</f>
        <v>3436</v>
      </c>
      <c r="P81" s="1307"/>
      <c r="Q81" s="2028"/>
      <c r="R81" s="2028"/>
      <c r="S81" s="2028"/>
      <c r="T81" s="2028"/>
      <c r="U81" s="2028"/>
      <c r="V81" s="2028"/>
    </row>
    <row r="82" spans="1:26" ht="13.5" thickTop="1">
      <c r="A82" s="377" t="s">
        <v>1824</v>
      </c>
      <c r="B82" s="378" t="s">
        <v>431</v>
      </c>
      <c r="C82" s="379">
        <f ca="1">D63</f>
        <v>92631</v>
      </c>
      <c r="D82" s="380" t="s">
        <v>19</v>
      </c>
      <c r="E82" s="381"/>
      <c r="F82" s="42"/>
      <c r="G82" s="42"/>
      <c r="H82" s="1002"/>
      <c r="I82" s="313"/>
      <c r="J82" s="2028"/>
      <c r="K82" s="2028"/>
      <c r="L82" s="2028"/>
      <c r="M82" s="2028"/>
      <c r="N82" s="2028"/>
      <c r="O82" s="2028"/>
      <c r="P82" s="2028"/>
      <c r="Q82" s="2028"/>
      <c r="R82" s="2028"/>
      <c r="S82" s="2028"/>
      <c r="T82" s="2028"/>
      <c r="U82" s="2028"/>
      <c r="V82" s="2028"/>
    </row>
    <row r="83" spans="1:26" ht="12.75">
      <c r="A83" s="377" t="s">
        <v>1825</v>
      </c>
      <c r="B83" s="378" t="s">
        <v>432</v>
      </c>
      <c r="C83" s="382">
        <v>0</v>
      </c>
      <c r="D83" s="380"/>
      <c r="E83" s="381"/>
      <c r="F83" s="42"/>
      <c r="G83" s="42"/>
      <c r="H83" s="1002"/>
      <c r="I83" s="313"/>
      <c r="J83" s="2028"/>
      <c r="K83" s="3275" t="s">
        <v>2879</v>
      </c>
      <c r="L83" s="3092" t="s">
        <v>2880</v>
      </c>
      <c r="M83" s="3082">
        <f ca="1">IF(N69&gt;10000,N69*0.5%,IF(AND(N69&gt;1000,N69&lt;=10000),N69*1%,IF(AND(N69&gt;100,N69&lt;=1000),N69*3%,IF(AND(N69&gt;10,N69&lt;=100),N69*5%,N69*8%))))</f>
        <v>463.15500000000003</v>
      </c>
      <c r="N83" s="53">
        <f ca="1">ROUND(M83,1)</f>
        <v>463.2</v>
      </c>
      <c r="O83" s="3085"/>
      <c r="P83" s="2028"/>
      <c r="Q83" s="2028"/>
      <c r="R83" s="2028"/>
      <c r="S83" s="2028"/>
      <c r="T83" s="2028"/>
      <c r="U83" s="2028"/>
      <c r="V83" s="2028"/>
    </row>
    <row r="84" spans="1:26" ht="12.75">
      <c r="A84" s="383" t="s">
        <v>1826</v>
      </c>
      <c r="B84" s="384" t="s">
        <v>433</v>
      </c>
      <c r="C84" s="385">
        <v>2000</v>
      </c>
      <c r="D84" s="386" t="s">
        <v>19</v>
      </c>
      <c r="E84" s="3124" t="s">
        <v>2942</v>
      </c>
      <c r="F84" s="42"/>
      <c r="G84" s="42"/>
      <c r="H84" s="1002"/>
      <c r="I84" s="313"/>
      <c r="J84" s="2028"/>
      <c r="K84" s="3275"/>
      <c r="L84" s="3092" t="s">
        <v>2881</v>
      </c>
      <c r="M84" s="3082">
        <f ca="1">IF(N69&gt;2000,N69*0.5%,IF(AND(N69&gt;1000,N69&lt;=2000),N69*0.6%,IF(AND(N69&gt;500,N69&lt;=1000),N69*0.7%,IF(AND(N69&gt;200,N69&lt;=500),N69*0.8%,IF(AND(N69&gt;100,N69&lt;=200),N69*0.9%,IF(AND(N69&gt;50,N69&lt;=100),N69*1%,IF(AND(N69&gt;20,N69&lt;=50),N69*1.5%,IF(AND(N69&gt;10,N69&lt;=20),N69*2%,IF(AND(N69&gt;1,N69&lt;=10),N69*2.5%)))))))))</f>
        <v>463.15500000000003</v>
      </c>
      <c r="N84" s="53">
        <f t="shared" ref="N84:N85" ca="1" si="2">ROUND(M84,1)</f>
        <v>463.2</v>
      </c>
      <c r="O84" s="2028" t="s">
        <v>2882</v>
      </c>
      <c r="P84" s="2028"/>
      <c r="Q84" s="2028"/>
      <c r="R84" s="2028"/>
      <c r="S84" s="2028"/>
      <c r="T84" s="2028"/>
      <c r="U84" s="2028"/>
      <c r="V84" s="2028"/>
    </row>
    <row r="85" spans="1:26" ht="12.75">
      <c r="A85" s="383" t="s">
        <v>1827</v>
      </c>
      <c r="B85" s="384" t="s">
        <v>434</v>
      </c>
      <c r="C85" s="387">
        <f ca="1">C81-C84</f>
        <v>86220</v>
      </c>
      <c r="D85" s="380" t="s">
        <v>19</v>
      </c>
      <c r="E85" s="381"/>
      <c r="F85" s="42"/>
      <c r="G85" s="42"/>
      <c r="H85" s="1002"/>
      <c r="I85" s="313"/>
      <c r="J85" s="2028"/>
      <c r="K85" s="3275"/>
      <c r="L85" s="3092" t="s">
        <v>2883</v>
      </c>
      <c r="M85" s="3082">
        <f ca="1">IF(N69&gt;1000,N69*0.1%,IF(AND(N69&gt;500,N69&lt;=1000),N69*0.5%,IF(AND(N69&gt;50,N69&lt;=500),N69*1%,IF(AND(N69&gt;1,N69&lt;=50),N69*1.5%))))</f>
        <v>92.631</v>
      </c>
      <c r="N85" s="53">
        <f t="shared" ca="1" si="2"/>
        <v>92.6</v>
      </c>
      <c r="O85" s="2028" t="s">
        <v>2882</v>
      </c>
      <c r="P85" s="2028"/>
      <c r="Q85" s="2028"/>
      <c r="R85" s="2028"/>
      <c r="S85" s="2028"/>
      <c r="T85" s="2028"/>
      <c r="U85" s="2028"/>
      <c r="V85" s="2028"/>
    </row>
    <row r="86" spans="1:26" ht="13.5" thickBot="1">
      <c r="A86" s="388" t="s">
        <v>1828</v>
      </c>
      <c r="B86" s="389" t="s">
        <v>435</v>
      </c>
      <c r="C86" s="390">
        <f ca="1">IF(C85&lt;=0,0,ROUND(C85*D86,0))</f>
        <v>4828</v>
      </c>
      <c r="D86" s="391">
        <f>'数据-取费表'!B41</f>
        <v>5.6000000000000001E-2</v>
      </c>
      <c r="E86" s="392"/>
      <c r="F86" s="42"/>
      <c r="G86" s="42"/>
      <c r="H86" s="1002"/>
      <c r="I86" s="313"/>
      <c r="J86" s="2028"/>
      <c r="K86" s="3275"/>
      <c r="L86" s="3092" t="s">
        <v>2884</v>
      </c>
      <c r="M86" s="3082">
        <f ca="1">N69*0.5%</f>
        <v>463.15500000000003</v>
      </c>
      <c r="N86" s="53">
        <f ca="1">IF(M86&gt;0.5,0.5,ROUND(M86,0))</f>
        <v>0.5</v>
      </c>
      <c r="O86" s="2028" t="s">
        <v>2885</v>
      </c>
      <c r="P86" s="2028"/>
      <c r="Q86" s="2028"/>
      <c r="R86" s="2028"/>
      <c r="S86" s="2028"/>
      <c r="T86" s="2028"/>
      <c r="U86" s="2028"/>
      <c r="V86" s="2028"/>
    </row>
    <row r="87" spans="1:26" s="1253" customFormat="1" ht="14.25" customHeight="1">
      <c r="A87" s="1308"/>
      <c r="B87" s="1309"/>
      <c r="C87" s="1310"/>
      <c r="D87" s="1311"/>
      <c r="E87" s="1312"/>
      <c r="F87" s="42"/>
      <c r="G87" s="42"/>
      <c r="H87" s="1002"/>
      <c r="I87" s="313"/>
      <c r="J87" s="2028"/>
      <c r="K87" s="3275"/>
      <c r="L87" s="3092" t="s">
        <v>2886</v>
      </c>
      <c r="M87" s="3082">
        <f ca="1">IF(N69&gt;=10000,(8.25+(N69-10000)*0.01%),IF(AND(N69&gt;=8000,N69&lt;10000),(7.85+(N69-8000)*0.02%),IF(AND(N69&gt;=5000,N69&lt;8000),(6.65+(N69-5000)*0.04%),IF(AND(N69&gt;=2000,N69&lt;5000),(4.25+(PN69-2000)*0.08%),IF(AND(N69&gt;=1000,N69&lt;2000),(2.75+(N69-1000)*0.15%),IF(AND(N69&gt;=100,N69&lt;1000),(0.5+(N69-100)*0.25%),IF(AND(N69&gt;0,N69&lt;100),N69*0.5%)))))))</f>
        <v>16.513100000000001</v>
      </c>
      <c r="N87" s="53">
        <f ca="1">ROUND(M87*0.9,1)</f>
        <v>14.9</v>
      </c>
      <c r="O87" s="3085"/>
      <c r="P87" s="313"/>
      <c r="Q87" s="2028"/>
      <c r="R87" s="2028"/>
      <c r="S87" s="2028"/>
      <c r="T87" s="2028"/>
      <c r="U87" s="2028"/>
      <c r="V87" s="2028"/>
      <c r="W87" s="291"/>
      <c r="X87" s="291"/>
      <c r="Y87" s="291"/>
      <c r="Z87" s="291"/>
    </row>
    <row r="88" spans="1:26" s="1313" customFormat="1" ht="15" thickBot="1">
      <c r="A88" s="3329" t="s">
        <v>436</v>
      </c>
      <c r="B88" s="3330"/>
      <c r="C88" s="3330"/>
      <c r="D88" s="3330"/>
      <c r="E88" s="3330"/>
      <c r="F88" s="3330"/>
      <c r="G88" s="3330"/>
      <c r="H88" s="3330"/>
      <c r="I88" s="1314"/>
      <c r="J88" s="2036"/>
      <c r="K88" s="3275"/>
      <c r="L88" s="3092" t="s">
        <v>2887</v>
      </c>
      <c r="M88" s="3082">
        <f ca="1">IF(N69&gt;10000,N69*0.5%,IF(AND(N69&gt;5000,N69&lt;=10000),N69*1%,IF(AND(N69&gt;1000,N69&lt;=5000),N69*2%,IF(AND(N69&gt;200,N69&lt;=1000),N69*3%,N69*5%))))</f>
        <v>463.15500000000003</v>
      </c>
      <c r="N88" s="53">
        <f ca="1">ROUND(M88,1)</f>
        <v>463.2</v>
      </c>
      <c r="O88" s="3085"/>
      <c r="P88" s="11"/>
      <c r="Q88" s="2033"/>
      <c r="R88" s="2033"/>
      <c r="S88" s="2033"/>
      <c r="T88" s="2033"/>
      <c r="U88" s="2033"/>
      <c r="V88" s="2033"/>
      <c r="W88" s="2037"/>
      <c r="X88" s="2037"/>
      <c r="Y88" s="2037"/>
      <c r="Z88" s="2037"/>
    </row>
    <row r="89" spans="1:26" s="1313" customFormat="1" ht="14.25">
      <c r="A89" s="3293" t="s">
        <v>427</v>
      </c>
      <c r="B89" s="3294"/>
      <c r="C89" s="993"/>
      <c r="D89" s="993" t="s">
        <v>428</v>
      </c>
      <c r="E89" s="393" t="s">
        <v>437</v>
      </c>
      <c r="F89" s="394"/>
      <c r="G89" s="394"/>
      <c r="H89" s="395"/>
      <c r="I89" s="1315"/>
      <c r="J89" s="2038"/>
      <c r="K89" s="3275"/>
      <c r="L89" s="3092" t="s">
        <v>27</v>
      </c>
      <c r="M89" s="3083"/>
      <c r="N89" s="53">
        <f ca="1">ROUND(SUM(N83:N88),0)</f>
        <v>1498</v>
      </c>
      <c r="O89" s="3093">
        <f ca="1">N89/N69</f>
        <v>1.6171691982165799E-2</v>
      </c>
      <c r="P89" s="2033"/>
      <c r="Q89" s="2033"/>
      <c r="R89" s="2033"/>
      <c r="S89" s="2033"/>
      <c r="T89" s="2033"/>
      <c r="U89" s="2033"/>
      <c r="V89" s="2033"/>
      <c r="W89" s="2037"/>
      <c r="X89" s="2037"/>
      <c r="Y89" s="2037"/>
      <c r="Z89" s="2037"/>
    </row>
    <row r="90" spans="1:26" s="1313" customFormat="1" ht="14.25">
      <c r="A90" s="383" t="s">
        <v>1823</v>
      </c>
      <c r="B90" s="384" t="s">
        <v>438</v>
      </c>
      <c r="C90" s="387">
        <f ca="1">ROUND(D63/(1+'数据-取费表'!C42),0)</f>
        <v>88220</v>
      </c>
      <c r="D90" s="380" t="s">
        <v>19</v>
      </c>
      <c r="E90" s="990"/>
      <c r="F90" s="989"/>
      <c r="G90" s="989"/>
      <c r="H90" s="396"/>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3" t="s">
        <v>1829</v>
      </c>
      <c r="B91" s="350" t="s">
        <v>439</v>
      </c>
      <c r="C91" s="387">
        <f ca="1">C92+C96</f>
        <v>3110</v>
      </c>
      <c r="D91" s="380" t="s">
        <v>19</v>
      </c>
      <c r="E91" s="990"/>
      <c r="F91" s="989"/>
      <c r="G91" s="989"/>
      <c r="H91" s="396"/>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7" t="s">
        <v>1830</v>
      </c>
      <c r="B92" s="378" t="s">
        <v>440</v>
      </c>
      <c r="C92" s="380">
        <f>ROUND(IF(G95="2016年5月1日后购买",C93/(1+'数据-取费表'!C30)+C94+C95,C93+C94+C95),0)</f>
        <v>2581</v>
      </c>
      <c r="D92" s="380" t="s">
        <v>19</v>
      </c>
      <c r="E92" s="990"/>
      <c r="F92" s="989"/>
      <c r="G92" s="989"/>
      <c r="H92" s="396"/>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7" t="s">
        <v>1831</v>
      </c>
      <c r="B93" s="378" t="s">
        <v>441</v>
      </c>
      <c r="C93" s="398">
        <v>2000</v>
      </c>
      <c r="D93" s="380" t="s">
        <v>19</v>
      </c>
      <c r="E93" s="399" t="s">
        <v>442</v>
      </c>
      <c r="F93" s="400" t="s">
        <v>443</v>
      </c>
      <c r="G93" s="399" t="s">
        <v>444</v>
      </c>
      <c r="H93" s="401">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7" t="s">
        <v>1832</v>
      </c>
      <c r="B94" s="402" t="s">
        <v>445</v>
      </c>
      <c r="C94" s="380">
        <f>IF(F93="购房发票",ROUND(C93*H93*5%,0),0)</f>
        <v>500</v>
      </c>
      <c r="D94" s="403">
        <v>0.05</v>
      </c>
      <c r="E94" s="3326" t="s">
        <v>446</v>
      </c>
      <c r="F94" s="3327"/>
      <c r="G94" s="3327"/>
      <c r="H94" s="332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7" t="s">
        <v>1833</v>
      </c>
      <c r="B95" s="378" t="s">
        <v>447</v>
      </c>
      <c r="C95" s="380">
        <f>ROUND(IF(G95="个人买卖住房",0,IF(G95="2016年5月1日前购买",C93*D95,C93*D95/(1+'数据-取费表'!C42))),0)</f>
        <v>81</v>
      </c>
      <c r="D95" s="404">
        <f>'数据-取费表'!B48+'数据-取费表'!B49</f>
        <v>4.0500000000000001E-2</v>
      </c>
      <c r="E95" s="26" t="s">
        <v>448</v>
      </c>
      <c r="F95" s="405"/>
      <c r="G95" s="406" t="s">
        <v>2430</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7" t="s">
        <v>1834</v>
      </c>
      <c r="B96" s="378" t="s">
        <v>449</v>
      </c>
      <c r="C96" s="407">
        <f ca="1">ROUND(D63*D96/(1+'数据-取费表'!C42),0)</f>
        <v>529</v>
      </c>
      <c r="D96" s="408">
        <f>'数据-取费表'!B43</f>
        <v>6.000000000000001E-3</v>
      </c>
      <c r="E96" s="3316" t="s">
        <v>2429</v>
      </c>
      <c r="F96" s="3317"/>
      <c r="G96" s="3317"/>
      <c r="H96" s="3318"/>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4" t="s">
        <v>450</v>
      </c>
      <c r="C97" s="387">
        <f ca="1">C90-C91</f>
        <v>85110</v>
      </c>
      <c r="D97" s="380" t="s">
        <v>19</v>
      </c>
      <c r="E97" s="990"/>
      <c r="F97" s="989"/>
      <c r="G97" s="989"/>
      <c r="H97" s="396"/>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4" t="s">
        <v>451</v>
      </c>
      <c r="C98" s="409">
        <f ca="1">IF(C97&lt;=0,0,C97/C91)</f>
        <v>27.366559485530548</v>
      </c>
      <c r="D98" s="380"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6"/>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9" t="s">
        <v>452</v>
      </c>
      <c r="C99" s="410">
        <f ca="1">ROUND(IF(C97&lt;=0,0,IF(C98&gt;=200%,C97*60%-C91*35%,IF(C98&gt;=100%,C97*50%-C91*15%,IF(C98&gt;=50%,C97*40%-C91*5%,IF(C98&lt;50%,C97*30%,0))))),0)</f>
        <v>49978</v>
      </c>
      <c r="D99" s="411" t="s">
        <v>19</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9" t="s">
        <v>453</v>
      </c>
      <c r="B101" s="3330"/>
      <c r="C101" s="3330"/>
      <c r="D101" s="3330"/>
      <c r="E101" s="3330"/>
      <c r="F101" s="3330"/>
      <c r="G101" s="3330"/>
      <c r="H101" s="333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293" t="s">
        <v>427</v>
      </c>
      <c r="B102" s="3294"/>
      <c r="C102" s="993"/>
      <c r="D102" s="993" t="s">
        <v>428</v>
      </c>
      <c r="E102" s="393" t="s">
        <v>437</v>
      </c>
      <c r="F102" s="394"/>
      <c r="G102" s="394"/>
      <c r="H102" s="415"/>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3" t="s">
        <v>1823</v>
      </c>
      <c r="B103" s="384" t="s">
        <v>438</v>
      </c>
      <c r="C103" s="387">
        <f ca="1">ROUND(D63/(1+'数据-取费表'!C42),0)</f>
        <v>88220</v>
      </c>
      <c r="D103" s="380" t="s">
        <v>19</v>
      </c>
      <c r="E103" s="990"/>
      <c r="F103" s="989"/>
      <c r="G103" s="989"/>
      <c r="H103" s="416"/>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3" t="s">
        <v>1829</v>
      </c>
      <c r="B104" s="350" t="s">
        <v>439</v>
      </c>
      <c r="C104" s="387">
        <f ca="1">IF(H106="仅含出让金",C105+C108+C109+C110+C111+C112,C105+C109+C110+C111+C112)</f>
        <v>64672</v>
      </c>
      <c r="D104" s="417"/>
      <c r="E104" s="990"/>
      <c r="F104" s="989"/>
      <c r="G104" s="989"/>
      <c r="H104" s="416"/>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7" t="s">
        <v>1830</v>
      </c>
      <c r="B105" s="378" t="s">
        <v>454</v>
      </c>
      <c r="C105" s="407">
        <f>C106+C107</f>
        <v>312</v>
      </c>
      <c r="D105" s="408"/>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7" t="s">
        <v>1831</v>
      </c>
      <c r="B106" s="378" t="s">
        <v>455</v>
      </c>
      <c r="C106" s="418">
        <v>300</v>
      </c>
      <c r="D106" s="408"/>
      <c r="E106" s="419" t="s">
        <v>456</v>
      </c>
      <c r="F106" s="985"/>
      <c r="G106" s="420" t="s">
        <v>457</v>
      </c>
      <c r="H106" s="421" t="s">
        <v>2440</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7" t="s">
        <v>1832</v>
      </c>
      <c r="B107" s="378" t="s">
        <v>447</v>
      </c>
      <c r="C107" s="407">
        <f>ROUND(C106*D107,0)</f>
        <v>12</v>
      </c>
      <c r="D107" s="408">
        <f>'数据-取费表'!B48+'数据-取费表'!B49</f>
        <v>4.0500000000000001E-2</v>
      </c>
      <c r="E107" s="419"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7" t="s">
        <v>1834</v>
      </c>
      <c r="B108" s="378" t="s">
        <v>459</v>
      </c>
      <c r="C108" s="418"/>
      <c r="D108" s="408"/>
      <c r="E108" s="419"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8" t="s">
        <v>460</v>
      </c>
      <c r="C109" s="407">
        <f>IF(H109="——",IF(F1="现房",'剩余法-现房'!C18,'剩余法-待开发'!C18),I109)</f>
        <v>58000</v>
      </c>
      <c r="D109" s="408"/>
      <c r="E109" s="3319" t="s">
        <v>461</v>
      </c>
      <c r="F109" s="3317"/>
      <c r="G109" s="3317"/>
      <c r="H109" s="1941" t="s">
        <v>2280</v>
      </c>
      <c r="I109" s="1942">
        <v>58000</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8" t="s">
        <v>462</v>
      </c>
      <c r="C110" s="407">
        <f>ROUND((C105+C108+C109)*D110,0)</f>
        <v>5831</v>
      </c>
      <c r="D110" s="408">
        <v>0.1</v>
      </c>
      <c r="E110" s="3319" t="s">
        <v>463</v>
      </c>
      <c r="F110" s="3317"/>
      <c r="G110" s="3317"/>
      <c r="H110" s="3318"/>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8" t="s">
        <v>449</v>
      </c>
      <c r="C111" s="407">
        <f ca="1">ROUND(D63*D111/(1+'数据-取费表'!C42),0)</f>
        <v>529</v>
      </c>
      <c r="D111" s="408">
        <f>'数据-取费表'!B43</f>
        <v>6.000000000000001E-3</v>
      </c>
      <c r="E111" s="3316" t="s">
        <v>2429</v>
      </c>
      <c r="F111" s="3317"/>
      <c r="G111" s="3317"/>
      <c r="H111" s="3318"/>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8" t="s">
        <v>464</v>
      </c>
      <c r="C112" s="407">
        <f>ROUND(C108*D112,0)</f>
        <v>0</v>
      </c>
      <c r="D112" s="408">
        <v>0.2</v>
      </c>
      <c r="E112" s="3319" t="s">
        <v>2454</v>
      </c>
      <c r="F112" s="3317"/>
      <c r="G112" s="3317"/>
      <c r="H112" s="3318"/>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4" t="s">
        <v>450</v>
      </c>
      <c r="C113" s="387">
        <f ca="1">ROUND(C103-C104,0)</f>
        <v>23548</v>
      </c>
      <c r="D113" s="380" t="s">
        <v>19</v>
      </c>
      <c r="E113" s="990"/>
      <c r="F113" s="989"/>
      <c r="G113" s="989"/>
      <c r="H113" s="416"/>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4" t="s">
        <v>451</v>
      </c>
      <c r="C114" s="409">
        <f ca="1">IF(C113&lt;=0,0,C113/C104)</f>
        <v>0.36411429985155863</v>
      </c>
      <c r="D114" s="380"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9"/>
      <c r="G114" s="989"/>
      <c r="H114" s="416"/>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9" t="s">
        <v>452</v>
      </c>
      <c r="C115" s="410">
        <f ca="1">ROUND(IF(C113&lt;=0,0,IF(C114&gt;=200%,C113*60%-C104*35%,IF(C114&gt;=100%,C113*50%-C104*15%,IF(C114&gt;=50%,C113*40%-C104*5%,IF(C114&lt;50%,C113*30%,0))))),0)</f>
        <v>7064</v>
      </c>
      <c r="D115" s="411" t="s">
        <v>19</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3"/>
      <c r="G115" s="413"/>
      <c r="H115" s="422"/>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3"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C10" zoomScale="80" zoomScaleNormal="95" zoomScaleSheetLayoutView="80" workbookViewId="0">
      <selection activeCell="G23" sqref="G23"/>
    </sheetView>
  </sheetViews>
  <sheetFormatPr defaultRowHeight="14.25"/>
  <cols>
    <col min="1" max="1" width="15.625" style="1336" customWidth="1"/>
    <col min="2" max="2" width="15.75" style="1336" customWidth="1"/>
    <col min="3" max="3" width="20.7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4" t="s">
        <v>516</v>
      </c>
      <c r="B1" s="505"/>
      <c r="C1" s="506" t="s">
        <v>517</v>
      </c>
      <c r="D1" s="507" t="s">
        <v>518</v>
      </c>
      <c r="E1" s="508"/>
      <c r="F1" s="430"/>
      <c r="G1" s="508"/>
      <c r="H1" s="508"/>
      <c r="I1" s="508"/>
      <c r="J1" s="508"/>
      <c r="K1" s="509"/>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5" t="s">
        <v>466</v>
      </c>
      <c r="B2" s="510">
        <f>F68</f>
        <v>95484</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2">
        <f>ROUND(B2*10000/'数据-汇总表'!E3,0)</f>
        <v>4117</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30" s="1335" customFormat="1" ht="28.5" customHeight="1">
      <c r="A4" s="513" t="s">
        <v>520</v>
      </c>
      <c r="B4" s="429">
        <f>IF(B48="单位面积地价",C50,ROUND(B2*10000/'数据-汇总表'!D3,0))</f>
        <v>9057</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30" s="1335" customFormat="1" ht="28.5" customHeight="1" thickBot="1">
      <c r="A5" s="431"/>
      <c r="B5" s="432">
        <f>ROUND(B2/('数据-汇总表'!D3/666.67),0)</f>
        <v>604</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30"/>
    </row>
    <row r="6" spans="1:30" ht="20.25">
      <c r="A6" s="514" t="s">
        <v>521</v>
      </c>
      <c r="B6" s="515"/>
      <c r="C6" s="3374" t="s">
        <v>522</v>
      </c>
      <c r="D6" s="3375"/>
      <c r="E6" s="3374" t="s">
        <v>523</v>
      </c>
      <c r="F6" s="3375"/>
      <c r="G6" s="3374" t="s">
        <v>524</v>
      </c>
      <c r="H6" s="3375"/>
      <c r="I6" s="3374" t="s">
        <v>525</v>
      </c>
      <c r="J6" s="3375"/>
      <c r="K6" s="516" t="s">
        <v>526</v>
      </c>
      <c r="L6" s="2133"/>
      <c r="M6" s="2132"/>
      <c r="N6" s="2132"/>
      <c r="O6" s="2134"/>
      <c r="P6" s="3376" t="s">
        <v>527</v>
      </c>
      <c r="Q6" s="3377"/>
      <c r="R6" s="3362" t="s">
        <v>523</v>
      </c>
      <c r="S6" s="3363"/>
      <c r="T6" s="3362" t="s">
        <v>524</v>
      </c>
      <c r="U6" s="3363"/>
      <c r="V6" s="3382" t="s">
        <v>525</v>
      </c>
      <c r="W6" s="3382"/>
      <c r="X6" s="1566"/>
      <c r="Y6" s="3362" t="s">
        <v>527</v>
      </c>
      <c r="Z6" s="3363"/>
      <c r="AA6" s="3357" t="s">
        <v>523</v>
      </c>
      <c r="AB6" s="3358" t="s">
        <v>524</v>
      </c>
      <c r="AC6" s="3357" t="s">
        <v>525</v>
      </c>
    </row>
    <row r="7" spans="1:30" ht="42.75" customHeight="1">
      <c r="A7" s="517"/>
      <c r="B7" s="518"/>
      <c r="C7" s="3385" t="s">
        <v>2929</v>
      </c>
      <c r="D7" s="3386"/>
      <c r="E7" s="3385" t="str">
        <f>土地案例!A2</f>
        <v>岳麓区梅浦联络线以东、秀峰路南延线以南(梅溪湖J-44地块)</v>
      </c>
      <c r="F7" s="3386"/>
      <c r="G7" s="3385" t="str">
        <f>土地案例!A3</f>
        <v>金山桥街道金山桥社区</v>
      </c>
      <c r="H7" s="3386"/>
      <c r="I7" s="3385" t="str">
        <f>土地案例!A4</f>
        <v>&amp;amp;#160;金山桥街道</v>
      </c>
      <c r="J7" s="3386"/>
      <c r="K7" s="516"/>
      <c r="L7" s="2133"/>
      <c r="M7" s="2132"/>
      <c r="N7" s="2132"/>
      <c r="O7" s="2134"/>
      <c r="P7" s="3378"/>
      <c r="Q7" s="3379"/>
      <c r="R7" s="3364"/>
      <c r="S7" s="3365"/>
      <c r="T7" s="3364"/>
      <c r="U7" s="3365"/>
      <c r="V7" s="3382"/>
      <c r="W7" s="3382"/>
      <c r="X7" s="1566"/>
      <c r="Y7" s="3364"/>
      <c r="Z7" s="3365"/>
      <c r="AA7" s="3358"/>
      <c r="AB7" s="3358"/>
      <c r="AC7" s="3358"/>
    </row>
    <row r="8" spans="1:30" ht="21" thickBot="1">
      <c r="A8" s="517"/>
      <c r="B8" s="518"/>
      <c r="C8" s="3387" t="s">
        <v>2933</v>
      </c>
      <c r="D8" s="3388"/>
      <c r="E8" s="3387" t="s">
        <v>2933</v>
      </c>
      <c r="F8" s="3388"/>
      <c r="G8" s="3383" t="s">
        <v>2933</v>
      </c>
      <c r="H8" s="3384"/>
      <c r="I8" s="3383" t="s">
        <v>2933</v>
      </c>
      <c r="J8" s="3384"/>
      <c r="K8" s="516" t="s">
        <v>528</v>
      </c>
      <c r="L8" s="2133"/>
      <c r="M8" s="2132"/>
      <c r="N8" s="2132"/>
      <c r="O8" s="2134"/>
      <c r="P8" s="3380"/>
      <c r="Q8" s="3381"/>
      <c r="R8" s="3364"/>
      <c r="S8" s="3365"/>
      <c r="T8" s="3366"/>
      <c r="U8" s="3367"/>
      <c r="V8" s="3382"/>
      <c r="W8" s="3382"/>
      <c r="X8" s="1566"/>
      <c r="Y8" s="3366"/>
      <c r="Z8" s="3367"/>
      <c r="AA8" s="3359"/>
      <c r="AB8" s="3359"/>
      <c r="AC8" s="3359"/>
    </row>
    <row r="9" spans="1:30" s="1219" customFormat="1" ht="21" thickBot="1">
      <c r="A9" s="2938"/>
      <c r="B9" s="2945" t="s">
        <v>529</v>
      </c>
      <c r="C9" s="2937">
        <f>'数据-取费表'!B2</f>
        <v>43083</v>
      </c>
      <c r="D9" s="522">
        <v>100</v>
      </c>
      <c r="E9" s="523" t="str">
        <f>土地案例!I2</f>
        <v>2016-04-27</v>
      </c>
      <c r="F9" s="524">
        <f>SUMIF(72:72,YEAR(E9)&amp;"-"&amp;INT((MONTH(E9)+2)/3),73:73)</f>
        <v>97</v>
      </c>
      <c r="G9" s="525" t="str">
        <f>土地案例!I3</f>
        <v>2017-06-30</v>
      </c>
      <c r="H9" s="522">
        <f>SUMIF(72:72,YEAR(G9)&amp;"-"&amp;INT((MONTH(G9)+2)/3),73:73)</f>
        <v>99</v>
      </c>
      <c r="I9" s="525" t="str">
        <f>土地案例!I4</f>
        <v>2017-06-19</v>
      </c>
      <c r="J9" s="522">
        <f>SUMIF(72:72,YEAR(I9)&amp;"-"&amp;INT((MONTH(I9)+2)/3),73:73)</f>
        <v>99</v>
      </c>
      <c r="K9" s="526"/>
      <c r="L9" s="2135"/>
      <c r="M9" s="2132"/>
      <c r="N9" s="2132"/>
      <c r="O9" s="2136"/>
      <c r="P9" s="3360" t="s">
        <v>530</v>
      </c>
      <c r="Q9" s="3369"/>
      <c r="R9" s="1567" t="s">
        <v>8</v>
      </c>
      <c r="S9" s="1568">
        <f t="shared" ref="S9:S17" si="0">F9</f>
        <v>97</v>
      </c>
      <c r="T9" s="1567" t="s">
        <v>8</v>
      </c>
      <c r="U9" s="1568">
        <f t="shared" ref="U9:U17" si="1">H9</f>
        <v>99</v>
      </c>
      <c r="V9" s="1567" t="s">
        <v>8</v>
      </c>
      <c r="W9" s="1568">
        <f t="shared" ref="W9:W17" si="2">J9</f>
        <v>99</v>
      </c>
      <c r="X9" s="1569"/>
      <c r="Y9" s="3360" t="s">
        <v>530</v>
      </c>
      <c r="Z9" s="3361"/>
      <c r="AA9" s="1570">
        <f>D9/F9</f>
        <v>1.0309278350515463</v>
      </c>
      <c r="AB9" s="1570">
        <f>D9/H9</f>
        <v>1.0101010101010102</v>
      </c>
      <c r="AC9" s="1570">
        <f>D9/J9</f>
        <v>1.0101010101010102</v>
      </c>
    </row>
    <row r="10" spans="1:30" s="1219" customFormat="1" ht="21" thickBot="1">
      <c r="A10" s="2939"/>
      <c r="B10" s="2946" t="s">
        <v>531</v>
      </c>
      <c r="C10" s="856" t="s">
        <v>532</v>
      </c>
      <c r="D10" s="522">
        <v>100</v>
      </c>
      <c r="E10" s="527" t="s">
        <v>3039</v>
      </c>
      <c r="F10" s="524">
        <f>SUMIF(75:75,E10,76:76)-SUMIF(75:75,C10,76:76)+100</f>
        <v>100</v>
      </c>
      <c r="G10" s="527" t="s">
        <v>3039</v>
      </c>
      <c r="H10" s="522">
        <f>SUMIF(75:75,G10,76:76)-SUMIF(75:75,C10,76:76)+100</f>
        <v>100</v>
      </c>
      <c r="I10" s="527" t="s">
        <v>3039</v>
      </c>
      <c r="J10" s="522">
        <f>SUMIF(75:75,I10,76:76)-SUMIF(75:75,C10,76:76)+100</f>
        <v>100</v>
      </c>
      <c r="K10" s="526"/>
      <c r="L10" s="2135"/>
      <c r="M10" s="2132"/>
      <c r="N10" s="2132"/>
      <c r="O10" s="2136"/>
      <c r="P10" s="3360" t="s">
        <v>533</v>
      </c>
      <c r="Q10" s="3361"/>
      <c r="R10" s="1567" t="s">
        <v>8</v>
      </c>
      <c r="S10" s="1568">
        <f t="shared" si="0"/>
        <v>100</v>
      </c>
      <c r="T10" s="1567" t="s">
        <v>8</v>
      </c>
      <c r="U10" s="1568">
        <f t="shared" si="1"/>
        <v>100</v>
      </c>
      <c r="V10" s="1567" t="s">
        <v>8</v>
      </c>
      <c r="W10" s="1568">
        <f t="shared" si="2"/>
        <v>100</v>
      </c>
      <c r="X10" s="1569"/>
      <c r="Y10" s="3360" t="s">
        <v>533</v>
      </c>
      <c r="Z10" s="3361"/>
      <c r="AA10" s="1570">
        <f t="shared" ref="AA10:AA47" si="3">D10/F10</f>
        <v>1</v>
      </c>
      <c r="AB10" s="1570">
        <f t="shared" ref="AB10:AB47" si="4">D10/H10</f>
        <v>1</v>
      </c>
      <c r="AC10" s="1570">
        <f t="shared" ref="AC10:AC47" si="5">D10/J10</f>
        <v>1</v>
      </c>
    </row>
    <row r="11" spans="1:30" s="1219" customFormat="1" ht="20.25">
      <c r="A11" s="2940"/>
      <c r="B11" s="2947" t="s">
        <v>2761</v>
      </c>
      <c r="C11" s="2934" t="s">
        <v>3040</v>
      </c>
      <c r="D11" s="253">
        <v>100</v>
      </c>
      <c r="E11" s="528" t="s">
        <v>3041</v>
      </c>
      <c r="F11" s="253">
        <f>SUMIF(77:77,E11,78:78)-SUMIF(77:77,C11,78:78)+100</f>
        <v>99</v>
      </c>
      <c r="G11" s="528" t="s">
        <v>3040</v>
      </c>
      <c r="H11" s="253">
        <f>SUMIF(77:77,G11,78:78)-SUMIF(77:77,C11,78:78)+100</f>
        <v>100</v>
      </c>
      <c r="I11" s="528" t="s">
        <v>3040</v>
      </c>
      <c r="J11" s="253">
        <f>SUMIF(77:77,I11,78:78)-SUMIF(77:77,C11,78:78)+100</f>
        <v>100</v>
      </c>
      <c r="K11" s="526"/>
      <c r="L11" s="2135"/>
      <c r="M11" s="2132"/>
      <c r="N11" s="2132"/>
      <c r="O11" s="2137"/>
      <c r="P11" s="3368" t="s">
        <v>535</v>
      </c>
      <c r="Q11" s="1150" t="str">
        <f t="shared" ref="Q11:Q17" si="6">B11</f>
        <v>用途</v>
      </c>
      <c r="R11" s="1567" t="s">
        <v>8</v>
      </c>
      <c r="S11" s="1568">
        <f t="shared" si="0"/>
        <v>99</v>
      </c>
      <c r="T11" s="1567" t="s">
        <v>8</v>
      </c>
      <c r="U11" s="1568">
        <f t="shared" si="1"/>
        <v>100</v>
      </c>
      <c r="V11" s="1567" t="s">
        <v>8</v>
      </c>
      <c r="W11" s="1568">
        <f t="shared" si="2"/>
        <v>100</v>
      </c>
      <c r="X11" s="1569"/>
      <c r="Y11" s="3325" t="s">
        <v>536</v>
      </c>
      <c r="Z11" s="1149" t="str">
        <f t="shared" ref="Z11:Z17" si="7">Q11</f>
        <v>用途</v>
      </c>
      <c r="AA11" s="1570">
        <f t="shared" si="3"/>
        <v>1.0101010101010102</v>
      </c>
      <c r="AB11" s="1570">
        <f t="shared" si="4"/>
        <v>1</v>
      </c>
      <c r="AC11" s="1570">
        <f t="shared" si="5"/>
        <v>1</v>
      </c>
    </row>
    <row r="12" spans="1:30" s="1337" customFormat="1" ht="27">
      <c r="A12" s="2941"/>
      <c r="B12" s="2946" t="s">
        <v>2762</v>
      </c>
      <c r="C12" s="909" t="s">
        <v>3042</v>
      </c>
      <c r="D12" s="254">
        <v>100</v>
      </c>
      <c r="E12" s="909" t="s">
        <v>3077</v>
      </c>
      <c r="F12" s="254">
        <f>ROUND(100/'数据-取费表'!G16,0)</f>
        <v>100</v>
      </c>
      <c r="G12" s="909" t="s">
        <v>3077</v>
      </c>
      <c r="H12" s="254">
        <f>ROUND(100/'数据-取费表'!G16,0)</f>
        <v>100</v>
      </c>
      <c r="I12" s="909" t="s">
        <v>3042</v>
      </c>
      <c r="J12" s="254">
        <f>ROUND(100/'数据-取费表'!G16,0)</f>
        <v>100</v>
      </c>
      <c r="K12" s="531"/>
      <c r="L12" s="2138"/>
      <c r="M12" s="2132"/>
      <c r="N12" s="2132"/>
      <c r="O12" s="2139"/>
      <c r="P12" s="3368"/>
      <c r="Q12" s="1150" t="str">
        <f t="shared" si="6"/>
        <v>土地使用年限（年）</v>
      </c>
      <c r="R12" s="1567" t="s">
        <v>8</v>
      </c>
      <c r="S12" s="1568">
        <f t="shared" si="0"/>
        <v>100</v>
      </c>
      <c r="T12" s="1567" t="s">
        <v>8</v>
      </c>
      <c r="U12" s="1568">
        <f t="shared" si="1"/>
        <v>100</v>
      </c>
      <c r="V12" s="1567" t="s">
        <v>8</v>
      </c>
      <c r="W12" s="1568">
        <f t="shared" si="2"/>
        <v>100</v>
      </c>
      <c r="X12" s="1569"/>
      <c r="Y12" s="3325"/>
      <c r="Z12" s="1149" t="str">
        <f t="shared" si="7"/>
        <v>土地使用年限（年）</v>
      </c>
      <c r="AA12" s="1570">
        <f t="shared" si="3"/>
        <v>1</v>
      </c>
      <c r="AB12" s="1570">
        <f t="shared" si="4"/>
        <v>1</v>
      </c>
      <c r="AC12" s="1570">
        <f t="shared" si="5"/>
        <v>1</v>
      </c>
    </row>
    <row r="13" spans="1:30" ht="20.25">
      <c r="A13" s="2942"/>
      <c r="B13" s="2946" t="s">
        <v>2763</v>
      </c>
      <c r="C13" s="534">
        <f>'数据-汇总表'!I7</f>
        <v>2.2000000000000002</v>
      </c>
      <c r="D13" s="254">
        <v>100</v>
      </c>
      <c r="E13" s="533">
        <v>2.5</v>
      </c>
      <c r="F13" s="254">
        <f>LOOKUP(E13,82:82,83:83)-LOOKUP(C13,82:82,83:83)+100</f>
        <v>100</v>
      </c>
      <c r="G13" s="534">
        <v>2.2000000000000002</v>
      </c>
      <c r="H13" s="254">
        <f>LOOKUP(G13,82:82,83:83)-LOOKUP(C13,82:82,83:83)+100</f>
        <v>100</v>
      </c>
      <c r="I13" s="533">
        <v>3</v>
      </c>
      <c r="J13" s="254">
        <f>LOOKUP(I13,82:82,83:83)-LOOKUP(C13,82:82,83:83)+100</f>
        <v>98</v>
      </c>
      <c r="K13" s="535">
        <v>2</v>
      </c>
      <c r="L13" s="2140"/>
      <c r="M13" s="2132"/>
      <c r="N13" s="2132"/>
      <c r="O13" s="2141"/>
      <c r="P13" s="3368"/>
      <c r="Q13" s="1150" t="str">
        <f t="shared" si="6"/>
        <v>容积率</v>
      </c>
      <c r="R13" s="1567" t="s">
        <v>8</v>
      </c>
      <c r="S13" s="1568">
        <f t="shared" si="0"/>
        <v>100</v>
      </c>
      <c r="T13" s="1567" t="s">
        <v>8</v>
      </c>
      <c r="U13" s="1568">
        <f t="shared" si="1"/>
        <v>100</v>
      </c>
      <c r="V13" s="1567" t="s">
        <v>8</v>
      </c>
      <c r="W13" s="1568">
        <f t="shared" si="2"/>
        <v>98</v>
      </c>
      <c r="X13" s="1569"/>
      <c r="Y13" s="3325"/>
      <c r="Z13" s="1149" t="str">
        <f t="shared" si="7"/>
        <v>容积率</v>
      </c>
      <c r="AA13" s="1570">
        <f t="shared" si="3"/>
        <v>1</v>
      </c>
      <c r="AB13" s="1570">
        <f t="shared" si="4"/>
        <v>1</v>
      </c>
      <c r="AC13" s="1570">
        <f t="shared" si="5"/>
        <v>1.0204081632653061</v>
      </c>
    </row>
    <row r="14" spans="1:30" s="1219" customFormat="1" ht="21" thickBot="1">
      <c r="A14" s="2939"/>
      <c r="B14" s="2948" t="s">
        <v>2764</v>
      </c>
      <c r="C14" s="2935"/>
      <c r="D14" s="538">
        <v>100</v>
      </c>
      <c r="E14" s="1373"/>
      <c r="F14" s="254">
        <f>SUMIF(84:84,E14,85:85)-SUMIF(84:84,C14,85:85)+100</f>
        <v>100</v>
      </c>
      <c r="G14" s="1373"/>
      <c r="H14" s="254">
        <f>SUMIF(84:84,G14,85:85)-SUMIF(84:84,C14,85:85)+100</f>
        <v>100</v>
      </c>
      <c r="I14" s="1373"/>
      <c r="J14" s="254">
        <f>SUMIF(84:84,I14,85:85)-SUMIF(84:84,C14,85:85)+100</f>
        <v>100</v>
      </c>
      <c r="K14" s="531"/>
      <c r="L14" s="2135"/>
      <c r="M14" s="2132"/>
      <c r="N14" s="2132"/>
      <c r="O14" s="2137"/>
      <c r="P14" s="3368"/>
      <c r="Q14" s="1150" t="str">
        <f t="shared" si="6"/>
        <v>配建</v>
      </c>
      <c r="R14" s="1567" t="s">
        <v>8</v>
      </c>
      <c r="S14" s="1568">
        <f t="shared" si="0"/>
        <v>100</v>
      </c>
      <c r="T14" s="1567" t="s">
        <v>8</v>
      </c>
      <c r="U14" s="1568">
        <f t="shared" si="1"/>
        <v>100</v>
      </c>
      <c r="V14" s="1567" t="s">
        <v>8</v>
      </c>
      <c r="W14" s="1568">
        <f t="shared" si="2"/>
        <v>100</v>
      </c>
      <c r="X14" s="1569"/>
      <c r="Y14" s="3325"/>
      <c r="Z14" s="1149" t="str">
        <f t="shared" si="7"/>
        <v>配建</v>
      </c>
      <c r="AA14" s="1570">
        <f>D14/F14</f>
        <v>1</v>
      </c>
      <c r="AB14" s="1570">
        <f>D14/H14</f>
        <v>1</v>
      </c>
      <c r="AC14" s="1570">
        <f>D14/J14</f>
        <v>1</v>
      </c>
    </row>
    <row r="15" spans="1:30" ht="20.25" hidden="1">
      <c r="A15" s="2943"/>
      <c r="B15" s="2949"/>
      <c r="C15" s="911"/>
      <c r="D15" s="540">
        <v>100</v>
      </c>
      <c r="E15" s="541"/>
      <c r="F15" s="254">
        <f>SUMIF(86:86,E15,87:87)-SUMIF(86:86,C15,87:87)+100</f>
        <v>100</v>
      </c>
      <c r="G15" s="542"/>
      <c r="H15" s="540">
        <f>SUMIF(86:86,G15,87:87)-SUMIF(86:86,C15,87:87)+100</f>
        <v>100</v>
      </c>
      <c r="I15" s="542"/>
      <c r="J15" s="540">
        <f>SUMIF(86:86,I15,87:87)-SUMIF(86:86,C15,87:87)+100</f>
        <v>100</v>
      </c>
      <c r="K15" s="531"/>
      <c r="L15" s="2142"/>
      <c r="M15" s="2132"/>
      <c r="N15" s="2132"/>
      <c r="O15" s="2141"/>
      <c r="P15" s="3368"/>
      <c r="Q15" s="1150">
        <f t="shared" si="6"/>
        <v>0</v>
      </c>
      <c r="R15" s="1567" t="s">
        <v>8</v>
      </c>
      <c r="S15" s="1568">
        <f t="shared" si="0"/>
        <v>100</v>
      </c>
      <c r="T15" s="1567" t="s">
        <v>8</v>
      </c>
      <c r="U15" s="1568">
        <f t="shared" si="1"/>
        <v>100</v>
      </c>
      <c r="V15" s="1567" t="s">
        <v>8</v>
      </c>
      <c r="W15" s="1568">
        <f t="shared" si="2"/>
        <v>100</v>
      </c>
      <c r="X15" s="1569"/>
      <c r="Y15" s="3325"/>
      <c r="Z15" s="1149">
        <f t="shared" si="7"/>
        <v>0</v>
      </c>
      <c r="AA15" s="1570">
        <f>D15/F15</f>
        <v>1</v>
      </c>
      <c r="AB15" s="1570">
        <f>D15/H15</f>
        <v>1</v>
      </c>
      <c r="AC15" s="1570">
        <f>D15/J15</f>
        <v>1</v>
      </c>
    </row>
    <row r="16" spans="1:30" ht="21" hidden="1" thickBot="1">
      <c r="A16" s="2944"/>
      <c r="B16" s="2950"/>
      <c r="C16" s="914"/>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8"/>
      <c r="Q16" s="1150">
        <f t="shared" si="6"/>
        <v>0</v>
      </c>
      <c r="R16" s="1567" t="s">
        <v>8</v>
      </c>
      <c r="S16" s="1568">
        <f t="shared" si="0"/>
        <v>100</v>
      </c>
      <c r="T16" s="1567" t="s">
        <v>8</v>
      </c>
      <c r="U16" s="1568">
        <f t="shared" si="1"/>
        <v>100</v>
      </c>
      <c r="V16" s="1567" t="s">
        <v>8</v>
      </c>
      <c r="W16" s="1568">
        <f t="shared" si="2"/>
        <v>100</v>
      </c>
      <c r="X16" s="1569"/>
      <c r="Y16" s="3325"/>
      <c r="Z16" s="1149">
        <f t="shared" si="7"/>
        <v>0</v>
      </c>
      <c r="AA16" s="1570">
        <f>D16/F16</f>
        <v>1</v>
      </c>
      <c r="AB16" s="1570">
        <f>D16/H16</f>
        <v>1</v>
      </c>
      <c r="AC16" s="1570">
        <f>D16/J16</f>
        <v>1</v>
      </c>
    </row>
    <row r="17" spans="1:29" ht="126" customHeight="1">
      <c r="A17" s="2936" t="s">
        <v>2759</v>
      </c>
      <c r="B17" s="578" t="s">
        <v>294</v>
      </c>
      <c r="C17" s="548" t="str">
        <f>估价对象房地状况!C15</f>
        <v>估价对象周边居住用地比例较低、周边1公里有大汉汉园等项目、综合评价居住社区成熟度较差</v>
      </c>
      <c r="D17" s="551">
        <v>100</v>
      </c>
      <c r="E17" s="3172" t="s">
        <v>3134</v>
      </c>
      <c r="F17" s="549">
        <f>SUMIF(90:90,E18,91:91)-SUMIF(90:90,C18,91:91)+100</f>
        <v>104</v>
      </c>
      <c r="G17" s="3172" t="s">
        <v>3137</v>
      </c>
      <c r="H17" s="549">
        <f>SUMIF(90:90,G18,91:91)-SUMIF(90:90,C18,91:91)+100</f>
        <v>104</v>
      </c>
      <c r="I17" s="3172" t="s">
        <v>3118</v>
      </c>
      <c r="J17" s="549">
        <f>SUMIF(90:90,I18,91:91)-SUMIF(90:90,C18,91:91)+100</f>
        <v>104</v>
      </c>
      <c r="K17" s="535">
        <v>2</v>
      </c>
      <c r="L17" s="2142"/>
      <c r="M17" s="2132"/>
      <c r="N17" s="2132"/>
      <c r="O17" s="2141"/>
      <c r="P17" s="3370" t="s">
        <v>540</v>
      </c>
      <c r="Q17" s="1571" t="str">
        <f t="shared" si="6"/>
        <v>居住社区成熟度</v>
      </c>
      <c r="R17" s="1572" t="s">
        <v>8</v>
      </c>
      <c r="S17" s="1573">
        <f t="shared" si="0"/>
        <v>104</v>
      </c>
      <c r="T17" s="1572" t="s">
        <v>8</v>
      </c>
      <c r="U17" s="1573">
        <f t="shared" si="1"/>
        <v>104</v>
      </c>
      <c r="V17" s="1572" t="s">
        <v>8</v>
      </c>
      <c r="W17" s="1573">
        <f t="shared" si="2"/>
        <v>104</v>
      </c>
      <c r="X17" s="1566"/>
      <c r="Y17" s="3370" t="s">
        <v>540</v>
      </c>
      <c r="Z17" s="1574" t="str">
        <f t="shared" si="7"/>
        <v>居住社区成熟度</v>
      </c>
      <c r="AA17" s="1575">
        <f t="shared" si="3"/>
        <v>0.96153846153846156</v>
      </c>
      <c r="AB17" s="1575">
        <f t="shared" si="4"/>
        <v>0.96153846153846156</v>
      </c>
      <c r="AC17" s="1575">
        <f t="shared" si="5"/>
        <v>0.96153846153846156</v>
      </c>
    </row>
    <row r="18" spans="1:29" ht="21" thickBot="1">
      <c r="A18" s="532"/>
      <c r="B18" s="553"/>
      <c r="C18" s="554" t="s">
        <v>3114</v>
      </c>
      <c r="D18" s="557"/>
      <c r="E18" s="558" t="s">
        <v>3044</v>
      </c>
      <c r="F18" s="555"/>
      <c r="G18" s="556" t="s">
        <v>3044</v>
      </c>
      <c r="H18" s="559"/>
      <c r="I18" s="558" t="s">
        <v>3044</v>
      </c>
      <c r="J18" s="555"/>
      <c r="K18" s="531"/>
      <c r="L18" s="2142"/>
      <c r="M18" s="2132"/>
      <c r="N18" s="2132"/>
      <c r="O18" s="2141"/>
      <c r="P18" s="3371"/>
      <c r="Q18" s="1571"/>
      <c r="R18" s="1572"/>
      <c r="S18" s="1573"/>
      <c r="T18" s="1572"/>
      <c r="U18" s="1573"/>
      <c r="V18" s="1572"/>
      <c r="W18" s="1573"/>
      <c r="X18" s="1566"/>
      <c r="Y18" s="3371"/>
      <c r="Z18" s="1574"/>
      <c r="AA18" s="1575">
        <v>1</v>
      </c>
      <c r="AB18" s="1575">
        <v>1</v>
      </c>
      <c r="AC18" s="1575">
        <v>1</v>
      </c>
    </row>
    <row r="19" spans="1:29" ht="42.75">
      <c r="A19" s="532"/>
      <c r="B19" s="560" t="s">
        <v>541</v>
      </c>
      <c r="C19" s="561" t="str">
        <f>估价对象房地状况!C16</f>
        <v>估价对象周边商业氛围成熟度较差，人流量一般，，商业繁华度较差</v>
      </c>
      <c r="D19" s="563">
        <v>100</v>
      </c>
      <c r="E19" s="3172" t="s">
        <v>3078</v>
      </c>
      <c r="F19" s="559">
        <f>SUMIF(92:92,E20,93:93)-SUMIF(92:92,C20,93:93)+100</f>
        <v>102</v>
      </c>
      <c r="G19" s="3172" t="s">
        <v>3078</v>
      </c>
      <c r="H19" s="565">
        <f>SUMIF(92:92,G20,93:93)-SUMIF(92:92,C20,93:93)+100</f>
        <v>102</v>
      </c>
      <c r="I19" s="3172" t="s">
        <v>3078</v>
      </c>
      <c r="J19" s="565">
        <f>SUMIF(92:92,I20,93:93)-SUMIF(92:92,C20,93:93)+100</f>
        <v>102</v>
      </c>
      <c r="K19" s="535">
        <v>2</v>
      </c>
      <c r="L19" s="2142"/>
      <c r="M19" s="2132"/>
      <c r="N19" s="2132"/>
      <c r="O19" s="2141"/>
      <c r="P19" s="3371"/>
      <c r="Q19" s="1571" t="str">
        <f>B19</f>
        <v>商业繁华度</v>
      </c>
      <c r="R19" s="1572" t="s">
        <v>8</v>
      </c>
      <c r="S19" s="1573">
        <f>F19</f>
        <v>102</v>
      </c>
      <c r="T19" s="1572" t="s">
        <v>8</v>
      </c>
      <c r="U19" s="1573">
        <f>H19</f>
        <v>102</v>
      </c>
      <c r="V19" s="1572" t="s">
        <v>8</v>
      </c>
      <c r="W19" s="1573">
        <f>J19</f>
        <v>102</v>
      </c>
      <c r="X19" s="1566"/>
      <c r="Y19" s="3371"/>
      <c r="Z19" s="1574" t="str">
        <f>Q19</f>
        <v>商业繁华度</v>
      </c>
      <c r="AA19" s="1575">
        <f t="shared" si="3"/>
        <v>0.98039215686274506</v>
      </c>
      <c r="AB19" s="1575">
        <f t="shared" si="4"/>
        <v>0.98039215686274506</v>
      </c>
      <c r="AC19" s="1575">
        <f t="shared" si="5"/>
        <v>0.98039215686274506</v>
      </c>
    </row>
    <row r="20" spans="1:29" ht="20.25">
      <c r="A20" s="532"/>
      <c r="B20" s="566"/>
      <c r="C20" s="567" t="s">
        <v>3114</v>
      </c>
      <c r="D20" s="563"/>
      <c r="E20" s="569" t="s">
        <v>3043</v>
      </c>
      <c r="F20" s="559"/>
      <c r="G20" s="569" t="s">
        <v>3043</v>
      </c>
      <c r="H20" s="555"/>
      <c r="I20" s="569" t="s">
        <v>3043</v>
      </c>
      <c r="J20" s="555"/>
      <c r="K20" s="531"/>
      <c r="L20" s="2142"/>
      <c r="M20" s="2132"/>
      <c r="N20" s="2132"/>
      <c r="O20" s="2141"/>
      <c r="P20" s="3371"/>
      <c r="Q20" s="1571"/>
      <c r="R20" s="1572"/>
      <c r="S20" s="1573"/>
      <c r="T20" s="1572"/>
      <c r="U20" s="1573"/>
      <c r="V20" s="1572"/>
      <c r="W20" s="1573"/>
      <c r="X20" s="1566"/>
      <c r="Y20" s="3371"/>
      <c r="Z20" s="1574"/>
      <c r="AA20" s="1575">
        <v>1</v>
      </c>
      <c r="AB20" s="1575">
        <v>1</v>
      </c>
      <c r="AC20" s="1575">
        <v>1</v>
      </c>
    </row>
    <row r="21" spans="1:29" ht="20.25" hidden="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371"/>
      <c r="Q21" s="1571" t="str">
        <f>B21</f>
        <v>办公集聚程度</v>
      </c>
      <c r="R21" s="1572" t="s">
        <v>8</v>
      </c>
      <c r="S21" s="1573">
        <f>F21</f>
        <v>100</v>
      </c>
      <c r="T21" s="1572" t="s">
        <v>8</v>
      </c>
      <c r="U21" s="1573">
        <f>H21</f>
        <v>100</v>
      </c>
      <c r="V21" s="1572" t="s">
        <v>8</v>
      </c>
      <c r="W21" s="1573">
        <f>J21</f>
        <v>100</v>
      </c>
      <c r="X21" s="1566"/>
      <c r="Y21" s="3371"/>
      <c r="Z21" s="1574" t="str">
        <f>Q21</f>
        <v>办公集聚程度</v>
      </c>
      <c r="AA21" s="1575">
        <f t="shared" si="3"/>
        <v>1</v>
      </c>
      <c r="AB21" s="1575">
        <f t="shared" si="4"/>
        <v>1</v>
      </c>
      <c r="AC21" s="1575">
        <f t="shared" si="5"/>
        <v>1</v>
      </c>
    </row>
    <row r="22" spans="1:29" ht="20.25" hidden="1">
      <c r="A22" s="532"/>
      <c r="B22" s="566"/>
      <c r="C22" s="554"/>
      <c r="D22" s="557"/>
      <c r="E22" s="558"/>
      <c r="F22" s="555"/>
      <c r="G22" s="556"/>
      <c r="H22" s="555"/>
      <c r="I22" s="558"/>
      <c r="J22" s="555"/>
      <c r="K22" s="531"/>
      <c r="L22" s="2142"/>
      <c r="M22" s="2132"/>
      <c r="N22" s="2132"/>
      <c r="O22" s="2141"/>
      <c r="P22" s="3371"/>
      <c r="Q22" s="1571"/>
      <c r="R22" s="1572"/>
      <c r="S22" s="1573"/>
      <c r="T22" s="1572"/>
      <c r="U22" s="1573"/>
      <c r="V22" s="1572"/>
      <c r="W22" s="1573"/>
      <c r="X22" s="1566"/>
      <c r="Y22" s="3371"/>
      <c r="Z22" s="1574"/>
      <c r="AA22" s="1575">
        <v>1</v>
      </c>
      <c r="AB22" s="1575">
        <v>1</v>
      </c>
      <c r="AC22" s="1575">
        <v>1</v>
      </c>
    </row>
    <row r="23" spans="1:29" ht="96">
      <c r="A23" s="532"/>
      <c r="B23" s="560" t="s">
        <v>543</v>
      </c>
      <c r="C23" s="573" t="str">
        <f>估价对象房地状况!C18</f>
        <v>估价对象周边1公里有357、355路等公交车经过，公共交通通达情况一般、停车便捷程度较好，综合评价交通便捷度较差</v>
      </c>
      <c r="D23" s="563">
        <v>100</v>
      </c>
      <c r="E23" s="564" t="s">
        <v>3135</v>
      </c>
      <c r="F23" s="565">
        <f>SUMIF(96:96,E24,97:97)-SUMIF(96:96,C24,97:97)+100</f>
        <v>101</v>
      </c>
      <c r="G23" s="564" t="s">
        <v>3138</v>
      </c>
      <c r="H23" s="559">
        <f>SUMIF(96:96,G24,97:97)-SUMIF(96:96,C24,97:97)+100</f>
        <v>101</v>
      </c>
      <c r="I23" s="564" t="s">
        <v>3119</v>
      </c>
      <c r="J23" s="559">
        <f>SUMIF(96:96,I24,97:97)-SUMIF(96:96,C24,97:97)+100</f>
        <v>101</v>
      </c>
      <c r="K23" s="535">
        <v>1</v>
      </c>
      <c r="L23" s="2142"/>
      <c r="M23" s="2132"/>
      <c r="N23" s="2132"/>
      <c r="O23" s="2141"/>
      <c r="P23" s="3371"/>
      <c r="Q23" s="1571" t="str">
        <f>B23</f>
        <v>交通便捷度</v>
      </c>
      <c r="R23" s="1572" t="s">
        <v>8</v>
      </c>
      <c r="S23" s="1573">
        <f>F23</f>
        <v>101</v>
      </c>
      <c r="T23" s="1572" t="s">
        <v>8</v>
      </c>
      <c r="U23" s="1573">
        <f>H23</f>
        <v>101</v>
      </c>
      <c r="V23" s="1572" t="s">
        <v>8</v>
      </c>
      <c r="W23" s="1573">
        <f>J23</f>
        <v>101</v>
      </c>
      <c r="X23" s="1566"/>
      <c r="Y23" s="3371"/>
      <c r="Z23" s="1574" t="str">
        <f>Q23</f>
        <v>交通便捷度</v>
      </c>
      <c r="AA23" s="1575">
        <f t="shared" si="3"/>
        <v>0.99009900990099009</v>
      </c>
      <c r="AB23" s="1575">
        <f t="shared" si="4"/>
        <v>0.99009900990099009</v>
      </c>
      <c r="AC23" s="1575">
        <f t="shared" si="5"/>
        <v>0.99009900990099009</v>
      </c>
    </row>
    <row r="24" spans="1:29" ht="20.25">
      <c r="A24" s="532"/>
      <c r="B24" s="578"/>
      <c r="C24" s="554" t="s">
        <v>3114</v>
      </c>
      <c r="D24" s="557"/>
      <c r="E24" s="558" t="s">
        <v>3043</v>
      </c>
      <c r="F24" s="555"/>
      <c r="G24" s="556" t="s">
        <v>3043</v>
      </c>
      <c r="H24" s="555"/>
      <c r="I24" s="558" t="s">
        <v>3043</v>
      </c>
      <c r="J24" s="555"/>
      <c r="K24" s="531"/>
      <c r="L24" s="2142"/>
      <c r="M24" s="2132"/>
      <c r="N24" s="2132"/>
      <c r="O24" s="2141"/>
      <c r="P24" s="3371"/>
      <c r="Q24" s="1571"/>
      <c r="R24" s="1572"/>
      <c r="S24" s="1573"/>
      <c r="T24" s="1572"/>
      <c r="U24" s="1573"/>
      <c r="V24" s="1572"/>
      <c r="W24" s="1573"/>
      <c r="X24" s="1566"/>
      <c r="Y24" s="3371"/>
      <c r="Z24" s="1574"/>
      <c r="AA24" s="1575">
        <v>1</v>
      </c>
      <c r="AB24" s="1575">
        <v>1</v>
      </c>
      <c r="AC24" s="1575">
        <v>1</v>
      </c>
    </row>
    <row r="25" spans="1:29" ht="28.5">
      <c r="A25" s="517"/>
      <c r="B25" s="258" t="s">
        <v>544</v>
      </c>
      <c r="C25" s="573" t="str">
        <f>估价对象房地状况!C19</f>
        <v>零星有其他用地，基本不影响本宗地</v>
      </c>
      <c r="D25" s="563">
        <v>100</v>
      </c>
      <c r="E25" s="564" t="s">
        <v>3036</v>
      </c>
      <c r="F25" s="565">
        <f>SUMIF(98:98,E26,99:99)-SUMIF(98:98,C26,99:99)+100</f>
        <v>100</v>
      </c>
      <c r="G25" s="564" t="s">
        <v>3036</v>
      </c>
      <c r="H25" s="559">
        <f>SUMIF(98:98,G26,99:99)-SUMIF(98:98,C26,99:99)+100</f>
        <v>100</v>
      </c>
      <c r="I25" s="564" t="s">
        <v>3036</v>
      </c>
      <c r="J25" s="559">
        <f>SUMIF(98:98,I26,99:99)-SUMIF(98:98,C26,99:99)+100</f>
        <v>100</v>
      </c>
      <c r="K25" s="535">
        <v>1</v>
      </c>
      <c r="L25" s="2142"/>
      <c r="M25" s="2132"/>
      <c r="N25" s="2132"/>
      <c r="O25" s="2141"/>
      <c r="P25" s="3371"/>
      <c r="Q25" s="1571" t="str">
        <f t="shared" ref="Q25:Q39" si="8">B25</f>
        <v>区域土地利用方向</v>
      </c>
      <c r="R25" s="1572" t="s">
        <v>8</v>
      </c>
      <c r="S25" s="1573">
        <f>F25</f>
        <v>100</v>
      </c>
      <c r="T25" s="1572" t="s">
        <v>8</v>
      </c>
      <c r="U25" s="1573">
        <f>H25</f>
        <v>100</v>
      </c>
      <c r="V25" s="1572" t="s">
        <v>8</v>
      </c>
      <c r="W25" s="1573">
        <f>J25</f>
        <v>100</v>
      </c>
      <c r="X25" s="1566"/>
      <c r="Y25" s="3371"/>
      <c r="Z25" s="1574" t="str">
        <f>Q25</f>
        <v>区域土地利用方向</v>
      </c>
      <c r="AA25" s="1575">
        <f t="shared" si="3"/>
        <v>1</v>
      </c>
      <c r="AB25" s="1575">
        <f t="shared" si="4"/>
        <v>1</v>
      </c>
      <c r="AC25" s="1575">
        <f t="shared" si="5"/>
        <v>1</v>
      </c>
    </row>
    <row r="26" spans="1:29" ht="20.25">
      <c r="A26" s="517"/>
      <c r="B26" s="1006"/>
      <c r="C26" s="554" t="s">
        <v>3044</v>
      </c>
      <c r="D26" s="557"/>
      <c r="E26" s="558" t="s">
        <v>3044</v>
      </c>
      <c r="F26" s="555"/>
      <c r="G26" s="556" t="s">
        <v>3044</v>
      </c>
      <c r="H26" s="555"/>
      <c r="I26" s="558" t="s">
        <v>3044</v>
      </c>
      <c r="J26" s="555"/>
      <c r="K26" s="531"/>
      <c r="L26" s="2142"/>
      <c r="M26" s="2132"/>
      <c r="N26" s="2132"/>
      <c r="O26" s="2141"/>
      <c r="P26" s="3371"/>
      <c r="Q26" s="1571"/>
      <c r="R26" s="1572"/>
      <c r="S26" s="1573"/>
      <c r="T26" s="1572"/>
      <c r="U26" s="1573"/>
      <c r="V26" s="1572"/>
      <c r="W26" s="1573"/>
      <c r="X26" s="1566"/>
      <c r="Y26" s="3371"/>
      <c r="Z26" s="1574"/>
      <c r="AA26" s="1575"/>
      <c r="AB26" s="1575"/>
      <c r="AC26" s="1575"/>
    </row>
    <row r="27" spans="1:29" ht="48" customHeight="1">
      <c r="A27" s="517"/>
      <c r="B27" s="578" t="s">
        <v>545</v>
      </c>
      <c r="C27" s="561" t="str">
        <f>估价对象房地状况!C20</f>
        <v>周边2公里内有长沙医学院、观音岩水库，区域自然环境较好</v>
      </c>
      <c r="D27" s="563">
        <v>100</v>
      </c>
      <c r="E27" s="3173" t="s">
        <v>3117</v>
      </c>
      <c r="F27" s="559">
        <f>SUMIF(100:100,E28,101:101)-SUMIF(100:100,C28,101:101)+100</f>
        <v>100</v>
      </c>
      <c r="G27" s="3173" t="s">
        <v>3139</v>
      </c>
      <c r="H27" s="559">
        <f>SUMIF(100:100,G28,101:101)-SUMIF(100:100,C28,101:101)+100</f>
        <v>100</v>
      </c>
      <c r="I27" s="3173" t="s">
        <v>3121</v>
      </c>
      <c r="J27" s="559">
        <f>SUMIF(100:100,I28,101:101)-SUMIF(100:100,C28,101:101)+100</f>
        <v>100</v>
      </c>
      <c r="K27" s="535">
        <v>5</v>
      </c>
      <c r="L27" s="2142"/>
      <c r="M27" s="2132"/>
      <c r="N27" s="2132"/>
      <c r="O27" s="2141"/>
      <c r="P27" s="3371"/>
      <c r="Q27" s="1571" t="str">
        <f t="shared" si="8"/>
        <v>自然及人文环境状况</v>
      </c>
      <c r="R27" s="1572" t="s">
        <v>8</v>
      </c>
      <c r="S27" s="1573">
        <f>F27</f>
        <v>100</v>
      </c>
      <c r="T27" s="1572" t="s">
        <v>8</v>
      </c>
      <c r="U27" s="1573">
        <f>H27</f>
        <v>100</v>
      </c>
      <c r="V27" s="1572" t="s">
        <v>8</v>
      </c>
      <c r="W27" s="1573">
        <f>J27</f>
        <v>100</v>
      </c>
      <c r="X27" s="1566"/>
      <c r="Y27" s="3371"/>
      <c r="Z27" s="1574" t="str">
        <f>Q27</f>
        <v>自然及人文环境状况</v>
      </c>
      <c r="AA27" s="1575">
        <f t="shared" si="3"/>
        <v>1</v>
      </c>
      <c r="AB27" s="1575">
        <f t="shared" si="4"/>
        <v>1</v>
      </c>
      <c r="AC27" s="1575">
        <f t="shared" si="5"/>
        <v>1</v>
      </c>
    </row>
    <row r="28" spans="1:29" ht="20.25">
      <c r="A28" s="517"/>
      <c r="B28" s="566"/>
      <c r="C28" s="554" t="s">
        <v>3044</v>
      </c>
      <c r="D28" s="557"/>
      <c r="E28" s="576" t="s">
        <v>3044</v>
      </c>
      <c r="F28" s="555"/>
      <c r="G28" s="576" t="s">
        <v>3044</v>
      </c>
      <c r="H28" s="555"/>
      <c r="I28" s="576" t="s">
        <v>3044</v>
      </c>
      <c r="J28" s="555"/>
      <c r="K28" s="531"/>
      <c r="L28" s="2142"/>
      <c r="M28" s="2132"/>
      <c r="N28" s="2132"/>
      <c r="O28" s="2141"/>
      <c r="P28" s="3371"/>
      <c r="Q28" s="1571"/>
      <c r="R28" s="1572"/>
      <c r="S28" s="1573"/>
      <c r="T28" s="1572"/>
      <c r="U28" s="1573"/>
      <c r="V28" s="1572"/>
      <c r="W28" s="1573"/>
      <c r="X28" s="1566"/>
      <c r="Y28" s="3371"/>
      <c r="Z28" s="1574"/>
      <c r="AA28" s="1575">
        <v>1</v>
      </c>
      <c r="AB28" s="1575">
        <v>1</v>
      </c>
      <c r="AC28" s="1575">
        <v>1</v>
      </c>
    </row>
    <row r="29" spans="1:29" s="1219" customFormat="1" ht="40.5">
      <c r="A29" s="577"/>
      <c r="B29" s="2615" t="s">
        <v>2551</v>
      </c>
      <c r="C29" s="573" t="str">
        <f>估价对象房地状况!C21</f>
        <v>估价对象所在区域公共配套设施齐备情况一般</v>
      </c>
      <c r="D29" s="563">
        <v>100</v>
      </c>
      <c r="E29" s="3173" t="s">
        <v>3151</v>
      </c>
      <c r="F29" s="559">
        <f>SUMIF(102:102,E30,103:103)-SUMIF(102:102,C30,103:103)+100</f>
        <v>101</v>
      </c>
      <c r="G29" s="3173" t="s">
        <v>3151</v>
      </c>
      <c r="H29" s="559">
        <f>SUMIF(102:102,G30,103:103)-SUMIF(102:102,C30,103:103)+100</f>
        <v>101</v>
      </c>
      <c r="I29" s="3173" t="s">
        <v>3082</v>
      </c>
      <c r="J29" s="559">
        <f>SUMIF(102:102,I30,103:103)-SUMIF(102:102,C30,103:103)+100</f>
        <v>100</v>
      </c>
      <c r="K29" s="535">
        <v>1</v>
      </c>
      <c r="L29" s="2135"/>
      <c r="M29" s="2132"/>
      <c r="N29" s="2132"/>
      <c r="O29" s="2137"/>
      <c r="P29" s="3371"/>
      <c r="Q29" s="1150" t="str">
        <f t="shared" si="8"/>
        <v>公共配套设施</v>
      </c>
      <c r="R29" s="1567" t="s">
        <v>8</v>
      </c>
      <c r="S29" s="1568">
        <f>F29</f>
        <v>101</v>
      </c>
      <c r="T29" s="1567" t="s">
        <v>8</v>
      </c>
      <c r="U29" s="1568">
        <f>H29</f>
        <v>101</v>
      </c>
      <c r="V29" s="1567" t="s">
        <v>8</v>
      </c>
      <c r="W29" s="1568">
        <f>J29</f>
        <v>100</v>
      </c>
      <c r="X29" s="1569"/>
      <c r="Y29" s="3371"/>
      <c r="Z29" s="1149" t="str">
        <f>Q29</f>
        <v>公共配套设施</v>
      </c>
      <c r="AA29" s="1575">
        <f>D29/F29</f>
        <v>0.99009900990099009</v>
      </c>
      <c r="AB29" s="1575">
        <f>D29/H29</f>
        <v>0.99009900990099009</v>
      </c>
      <c r="AC29" s="1575">
        <f>D29/J29</f>
        <v>1</v>
      </c>
    </row>
    <row r="30" spans="1:29" s="1219" customFormat="1" ht="20.25">
      <c r="A30" s="577"/>
      <c r="B30" s="566"/>
      <c r="C30" s="579" t="s">
        <v>3043</v>
      </c>
      <c r="D30" s="557"/>
      <c r="E30" s="576" t="s">
        <v>3044</v>
      </c>
      <c r="F30" s="555"/>
      <c r="G30" s="554" t="s">
        <v>3044</v>
      </c>
      <c r="H30" s="555"/>
      <c r="I30" s="576" t="s">
        <v>3043</v>
      </c>
      <c r="J30" s="555"/>
      <c r="K30" s="531"/>
      <c r="L30" s="2135"/>
      <c r="M30" s="2132"/>
      <c r="N30" s="2132"/>
      <c r="O30" s="2137"/>
      <c r="P30" s="3371"/>
      <c r="Q30" s="1150"/>
      <c r="R30" s="1567"/>
      <c r="S30" s="1568"/>
      <c r="T30" s="1567"/>
      <c r="U30" s="1568"/>
      <c r="V30" s="1567"/>
      <c r="W30" s="1568"/>
      <c r="X30" s="1569"/>
      <c r="Y30" s="3371"/>
      <c r="Z30" s="1149"/>
      <c r="AA30" s="1575">
        <v>1</v>
      </c>
      <c r="AB30" s="1575">
        <v>1</v>
      </c>
      <c r="AC30" s="1575">
        <v>1</v>
      </c>
    </row>
    <row r="31" spans="1:29" s="1219" customFormat="1" ht="28.5">
      <c r="A31" s="577"/>
      <c r="B31" s="2615" t="s">
        <v>2552</v>
      </c>
      <c r="C31" s="573" t="str">
        <f>估价对象房地状况!C22</f>
        <v>估价对象所在区域基础设施水平-六通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371"/>
      <c r="Q31" s="2602" t="str">
        <f t="shared" ref="Q31" si="9">B31</f>
        <v>基础设施水平</v>
      </c>
      <c r="R31" s="1567" t="s">
        <v>8</v>
      </c>
      <c r="S31" s="1568">
        <f>F31</f>
        <v>100</v>
      </c>
      <c r="T31" s="1567" t="s">
        <v>8</v>
      </c>
      <c r="U31" s="1568">
        <f>H31</f>
        <v>100</v>
      </c>
      <c r="V31" s="1567" t="s">
        <v>8</v>
      </c>
      <c r="W31" s="1568">
        <f>J31</f>
        <v>100</v>
      </c>
      <c r="X31" s="1569"/>
      <c r="Y31" s="3371"/>
      <c r="Z31" s="2599" t="str">
        <f>Q31</f>
        <v>基础设施水平</v>
      </c>
      <c r="AA31" s="1575">
        <f>D31/F31</f>
        <v>1</v>
      </c>
      <c r="AB31" s="1575">
        <f>D31/H31</f>
        <v>1</v>
      </c>
      <c r="AC31" s="1575">
        <f>D31/J31</f>
        <v>1</v>
      </c>
    </row>
    <row r="32" spans="1:29" s="1219" customFormat="1" ht="20.25">
      <c r="A32" s="577"/>
      <c r="B32" s="566"/>
      <c r="C32" s="579" t="s">
        <v>3045</v>
      </c>
      <c r="D32" s="557"/>
      <c r="E32" s="579" t="s">
        <v>3045</v>
      </c>
      <c r="F32" s="555"/>
      <c r="G32" s="579" t="s">
        <v>3045</v>
      </c>
      <c r="H32" s="555"/>
      <c r="I32" s="579" t="s">
        <v>3045</v>
      </c>
      <c r="J32" s="555"/>
      <c r="K32" s="531"/>
      <c r="L32" s="2135"/>
      <c r="M32" s="2132"/>
      <c r="N32" s="2132"/>
      <c r="O32" s="2137"/>
      <c r="P32" s="3371"/>
      <c r="Q32" s="2602"/>
      <c r="R32" s="1567"/>
      <c r="S32" s="1568"/>
      <c r="T32" s="1567"/>
      <c r="U32" s="1568"/>
      <c r="V32" s="1567"/>
      <c r="W32" s="1568"/>
      <c r="X32" s="1569"/>
      <c r="Y32" s="3371"/>
      <c r="Z32" s="2599"/>
      <c r="AA32" s="1575">
        <v>1</v>
      </c>
      <c r="AB32" s="1575">
        <v>1</v>
      </c>
      <c r="AC32" s="1575">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371"/>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371"/>
      <c r="Z33" s="1574" t="str">
        <f t="shared" ref="Z33:Z47" si="13">Q33</f>
        <v>临街状况</v>
      </c>
      <c r="AA33" s="1575">
        <f t="shared" si="3"/>
        <v>1</v>
      </c>
      <c r="AB33" s="1575">
        <f t="shared" si="4"/>
        <v>1</v>
      </c>
      <c r="AC33" s="1575">
        <f t="shared" si="5"/>
        <v>1</v>
      </c>
    </row>
    <row r="34" spans="1:29" ht="27">
      <c r="A34" s="532"/>
      <c r="B34" s="578" t="s">
        <v>548</v>
      </c>
      <c r="C34" s="3177" t="s">
        <v>3116</v>
      </c>
      <c r="D34" s="563">
        <v>100</v>
      </c>
      <c r="E34" s="3177" t="s">
        <v>3116</v>
      </c>
      <c r="F34" s="559">
        <f>SUMIF(108:108,E35,109:109)-SUMIF(108:108,C35,109:109)+100</f>
        <v>100</v>
      </c>
      <c r="G34" s="3177" t="s">
        <v>3116</v>
      </c>
      <c r="H34" s="559">
        <f>SUMIF(108:108,G35,109:109)-SUMIF(108:108,C35,109:109)+100</f>
        <v>100</v>
      </c>
      <c r="I34" s="3177" t="s">
        <v>3141</v>
      </c>
      <c r="J34" s="559">
        <f>SUMIF(108:108,I35,109:109)-SUMIF(108:108,C35,109:109)+100</f>
        <v>99</v>
      </c>
      <c r="K34" s="535">
        <v>1</v>
      </c>
      <c r="L34" s="2142"/>
      <c r="M34" s="2132"/>
      <c r="N34" s="2132"/>
      <c r="O34" s="2141"/>
      <c r="P34" s="3371"/>
      <c r="Q34" s="1571" t="str">
        <f t="shared" si="8"/>
        <v>毗邻道路的类型与等级</v>
      </c>
      <c r="R34" s="1572" t="s">
        <v>8</v>
      </c>
      <c r="S34" s="1573">
        <f t="shared" si="10"/>
        <v>100</v>
      </c>
      <c r="T34" s="1572" t="s">
        <v>8</v>
      </c>
      <c r="U34" s="1573">
        <f t="shared" si="11"/>
        <v>100</v>
      </c>
      <c r="V34" s="1572" t="s">
        <v>8</v>
      </c>
      <c r="W34" s="1573">
        <f t="shared" si="12"/>
        <v>99</v>
      </c>
      <c r="X34" s="1566"/>
      <c r="Y34" s="3371"/>
      <c r="Z34" s="1574" t="str">
        <f t="shared" si="13"/>
        <v>毗邻道路的类型与等级</v>
      </c>
      <c r="AA34" s="1575">
        <f t="shared" si="3"/>
        <v>1</v>
      </c>
      <c r="AB34" s="1575">
        <f t="shared" si="4"/>
        <v>1</v>
      </c>
      <c r="AC34" s="1575">
        <f t="shared" si="5"/>
        <v>1.0101010101010102</v>
      </c>
    </row>
    <row r="35" spans="1:29" ht="21" thickBot="1">
      <c r="A35" s="532"/>
      <c r="B35" s="566"/>
      <c r="C35" s="554" t="s">
        <v>3115</v>
      </c>
      <c r="D35" s="557"/>
      <c r="E35" s="554" t="s">
        <v>3115</v>
      </c>
      <c r="F35" s="555"/>
      <c r="G35" s="554" t="s">
        <v>3115</v>
      </c>
      <c r="H35" s="555"/>
      <c r="I35" s="554" t="s">
        <v>3132</v>
      </c>
      <c r="J35" s="555"/>
      <c r="K35" s="581"/>
      <c r="L35" s="2142"/>
      <c r="M35" s="2132"/>
      <c r="N35" s="2132"/>
      <c r="O35" s="2141"/>
      <c r="P35" s="3371"/>
      <c r="Q35" s="1571"/>
      <c r="R35" s="1572"/>
      <c r="S35" s="1573"/>
      <c r="T35" s="1572"/>
      <c r="U35" s="1573"/>
      <c r="V35" s="1572"/>
      <c r="W35" s="1573"/>
      <c r="X35" s="1566"/>
      <c r="Y35" s="3371"/>
      <c r="Z35" s="1574"/>
      <c r="AA35" s="1575">
        <v>1</v>
      </c>
      <c r="AB35" s="1575">
        <v>1</v>
      </c>
      <c r="AC35" s="1575">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371"/>
      <c r="Q36" s="1571" t="str">
        <f t="shared" si="8"/>
        <v>土地级别</v>
      </c>
      <c r="R36" s="1572" t="s">
        <v>8</v>
      </c>
      <c r="S36" s="1573">
        <f t="shared" si="10"/>
        <v>100</v>
      </c>
      <c r="T36" s="1572" t="s">
        <v>8</v>
      </c>
      <c r="U36" s="1573">
        <f t="shared" si="11"/>
        <v>100</v>
      </c>
      <c r="V36" s="1572" t="s">
        <v>8</v>
      </c>
      <c r="W36" s="1573">
        <f t="shared" si="12"/>
        <v>100</v>
      </c>
      <c r="X36" s="1566"/>
      <c r="Y36" s="3371"/>
      <c r="Z36" s="1574" t="str">
        <f t="shared" si="13"/>
        <v>土地级别</v>
      </c>
      <c r="AA36" s="1575">
        <f t="shared" si="3"/>
        <v>1</v>
      </c>
      <c r="AB36" s="1575">
        <f t="shared" si="4"/>
        <v>1</v>
      </c>
      <c r="AC36" s="1575">
        <f t="shared" si="5"/>
        <v>1</v>
      </c>
    </row>
    <row r="37" spans="1:29" ht="20.25" hidden="1">
      <c r="A37" s="517"/>
      <c r="B37" s="585"/>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371"/>
      <c r="Q37" s="1571">
        <f t="shared" si="8"/>
        <v>0</v>
      </c>
      <c r="R37" s="1572" t="s">
        <v>8</v>
      </c>
      <c r="S37" s="1573">
        <f t="shared" si="10"/>
        <v>100</v>
      </c>
      <c r="T37" s="1572" t="s">
        <v>8</v>
      </c>
      <c r="U37" s="1573">
        <f t="shared" si="11"/>
        <v>100</v>
      </c>
      <c r="V37" s="1572" t="s">
        <v>8</v>
      </c>
      <c r="W37" s="1573">
        <f t="shared" si="12"/>
        <v>100</v>
      </c>
      <c r="X37" s="1566"/>
      <c r="Y37" s="3371"/>
      <c r="Z37" s="1574">
        <f t="shared" si="13"/>
        <v>0</v>
      </c>
      <c r="AA37" s="1575">
        <f t="shared" si="3"/>
        <v>1</v>
      </c>
      <c r="AB37" s="1575">
        <f t="shared" si="4"/>
        <v>1</v>
      </c>
      <c r="AC37" s="1575">
        <f t="shared" si="5"/>
        <v>1</v>
      </c>
    </row>
    <row r="38" spans="1:29" ht="20.25" hidden="1">
      <c r="A38" s="587"/>
      <c r="B38" s="588"/>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372" t="s">
        <v>550</v>
      </c>
      <c r="Q38" s="1571">
        <f t="shared" si="8"/>
        <v>0</v>
      </c>
      <c r="R38" s="1572" t="s">
        <v>8</v>
      </c>
      <c r="S38" s="1573">
        <f t="shared" si="10"/>
        <v>100</v>
      </c>
      <c r="T38" s="1572" t="s">
        <v>8</v>
      </c>
      <c r="U38" s="1573">
        <f t="shared" si="11"/>
        <v>100</v>
      </c>
      <c r="V38" s="1572" t="s">
        <v>8</v>
      </c>
      <c r="W38" s="1573">
        <f t="shared" si="12"/>
        <v>100</v>
      </c>
      <c r="X38" s="1566"/>
      <c r="Y38" s="3373" t="s">
        <v>550</v>
      </c>
      <c r="Z38" s="1574">
        <f t="shared" si="13"/>
        <v>0</v>
      </c>
      <c r="AA38" s="1575">
        <f t="shared" si="3"/>
        <v>1</v>
      </c>
      <c r="AB38" s="1575">
        <f t="shared" si="4"/>
        <v>1</v>
      </c>
      <c r="AC38" s="1575">
        <f t="shared" si="5"/>
        <v>1</v>
      </c>
    </row>
    <row r="39" spans="1:29" s="1338" customFormat="1" ht="21" hidden="1" thickBot="1">
      <c r="A39" s="589"/>
      <c r="B39" s="590"/>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373"/>
      <c r="Q39" s="1571">
        <f t="shared" si="8"/>
        <v>0</v>
      </c>
      <c r="R39" s="1576" t="s">
        <v>8</v>
      </c>
      <c r="S39" s="1577">
        <f t="shared" si="10"/>
        <v>100</v>
      </c>
      <c r="T39" s="1576" t="s">
        <v>8</v>
      </c>
      <c r="U39" s="1577">
        <f t="shared" si="11"/>
        <v>100</v>
      </c>
      <c r="V39" s="1576" t="s">
        <v>8</v>
      </c>
      <c r="W39" s="1577">
        <f t="shared" si="12"/>
        <v>100</v>
      </c>
      <c r="X39" s="1578"/>
      <c r="Y39" s="3373"/>
      <c r="Z39" s="1579">
        <f t="shared" si="13"/>
        <v>0</v>
      </c>
      <c r="AA39" s="1575">
        <f t="shared" si="3"/>
        <v>1</v>
      </c>
      <c r="AB39" s="1575">
        <f t="shared" si="4"/>
        <v>1</v>
      </c>
      <c r="AC39" s="1575">
        <f t="shared" si="5"/>
        <v>1</v>
      </c>
    </row>
    <row r="40" spans="1:29" ht="20.25">
      <c r="A40" s="2933" t="s">
        <v>2760</v>
      </c>
      <c r="B40" s="595" t="s">
        <v>552</v>
      </c>
      <c r="C40" s="596">
        <f>'数据-基础表'!A3</f>
        <v>105421.08</v>
      </c>
      <c r="D40" s="597">
        <v>100</v>
      </c>
      <c r="E40" s="596">
        <f>土地案例!F2</f>
        <v>108220.7</v>
      </c>
      <c r="F40" s="597">
        <f>LOOKUP(E40,119:119,120:120)-LOOKUP(C40,119:119,120:120)+100</f>
        <v>100</v>
      </c>
      <c r="G40" s="596">
        <f>土地案例!F3</f>
        <v>42186.86</v>
      </c>
      <c r="H40" s="597">
        <f>LOOKUP(G40,119:119,120:120)-LOOKUP(C40,119:119,120:120)+100</f>
        <v>96</v>
      </c>
      <c r="I40" s="598">
        <f>土地案例!F4</f>
        <v>48017.08</v>
      </c>
      <c r="J40" s="597">
        <f>LOOKUP(I40,119:119,120:120)-LOOKUP(C40,119:119,120:120)+100</f>
        <v>96</v>
      </c>
      <c r="K40" s="581"/>
      <c r="L40" s="2142"/>
      <c r="M40" s="2132"/>
      <c r="N40" s="2132"/>
      <c r="O40" s="2141"/>
      <c r="P40" s="3373"/>
      <c r="Q40" s="1571" t="str">
        <f>B40</f>
        <v>宗地面积</v>
      </c>
      <c r="R40" s="1572" t="s">
        <v>8</v>
      </c>
      <c r="S40" s="1573">
        <f t="shared" si="10"/>
        <v>100</v>
      </c>
      <c r="T40" s="1572" t="s">
        <v>8</v>
      </c>
      <c r="U40" s="1573">
        <f t="shared" si="11"/>
        <v>96</v>
      </c>
      <c r="V40" s="1572" t="s">
        <v>8</v>
      </c>
      <c r="W40" s="1573">
        <f t="shared" si="12"/>
        <v>96</v>
      </c>
      <c r="X40" s="1566"/>
      <c r="Y40" s="3373"/>
      <c r="Z40" s="1574" t="str">
        <f t="shared" si="13"/>
        <v>宗地面积</v>
      </c>
      <c r="AA40" s="1575">
        <f t="shared" si="3"/>
        <v>1</v>
      </c>
      <c r="AB40" s="1575">
        <f t="shared" si="4"/>
        <v>1.0416666666666667</v>
      </c>
      <c r="AC40" s="1575">
        <f t="shared" si="5"/>
        <v>1.0416666666666667</v>
      </c>
    </row>
    <row r="41" spans="1:29" ht="20.25" hidden="1">
      <c r="A41" s="594"/>
      <c r="B41" s="529" t="s">
        <v>553</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373"/>
      <c r="Q41" s="1571" t="str">
        <f t="shared" ref="Q41:Q47" si="14">B41</f>
        <v>宗地形状</v>
      </c>
      <c r="R41" s="1572" t="s">
        <v>8</v>
      </c>
      <c r="S41" s="1573">
        <f t="shared" si="10"/>
        <v>100</v>
      </c>
      <c r="T41" s="1572" t="s">
        <v>8</v>
      </c>
      <c r="U41" s="1573">
        <f t="shared" si="11"/>
        <v>100</v>
      </c>
      <c r="V41" s="1572" t="s">
        <v>8</v>
      </c>
      <c r="W41" s="1573">
        <f t="shared" si="12"/>
        <v>100</v>
      </c>
      <c r="X41" s="1566"/>
      <c r="Y41" s="3373"/>
      <c r="Z41" s="1574" t="str">
        <f t="shared" si="13"/>
        <v>宗地形状</v>
      </c>
      <c r="AA41" s="1575">
        <f t="shared" si="3"/>
        <v>1</v>
      </c>
      <c r="AB41" s="1575">
        <f t="shared" si="4"/>
        <v>1</v>
      </c>
      <c r="AC41" s="1575">
        <f t="shared" si="5"/>
        <v>1</v>
      </c>
    </row>
    <row r="42" spans="1:29" ht="20.25" hidden="1">
      <c r="A42" s="594"/>
      <c r="B42" s="529"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373"/>
      <c r="Q42" s="1571" t="str">
        <f t="shared" si="14"/>
        <v>临街宽度及深度</v>
      </c>
      <c r="R42" s="1572" t="s">
        <v>8</v>
      </c>
      <c r="S42" s="1573">
        <f t="shared" si="10"/>
        <v>100</v>
      </c>
      <c r="T42" s="1572" t="s">
        <v>8</v>
      </c>
      <c r="U42" s="1573">
        <f t="shared" si="11"/>
        <v>100</v>
      </c>
      <c r="V42" s="1572" t="s">
        <v>8</v>
      </c>
      <c r="W42" s="1573">
        <f t="shared" si="12"/>
        <v>100</v>
      </c>
      <c r="X42" s="1566"/>
      <c r="Y42" s="3373"/>
      <c r="Z42" s="1574" t="str">
        <f t="shared" si="13"/>
        <v>临街宽度及深度</v>
      </c>
      <c r="AA42" s="1575">
        <f t="shared" si="3"/>
        <v>1</v>
      </c>
      <c r="AB42" s="1575">
        <f t="shared" si="4"/>
        <v>1</v>
      </c>
      <c r="AC42" s="1575">
        <f t="shared" si="5"/>
        <v>1</v>
      </c>
    </row>
    <row r="43" spans="1:29" s="1219" customFormat="1" ht="20.25">
      <c r="A43" s="600"/>
      <c r="B43" s="1895" t="s">
        <v>2425</v>
      </c>
      <c r="C43" s="601" t="s">
        <v>3079</v>
      </c>
      <c r="D43" s="254">
        <v>100</v>
      </c>
      <c r="E43" s="601" t="s">
        <v>3079</v>
      </c>
      <c r="F43" s="540">
        <f>SUMIF(125:125,E43,126:126)-SUMIF(125:125,C43,126:126)+100</f>
        <v>100</v>
      </c>
      <c r="G43" s="601" t="s">
        <v>3079</v>
      </c>
      <c r="H43" s="540">
        <f>SUMIF(125:125,G43,126:126)-SUMIF(125:125,C43,126:126)+100</f>
        <v>100</v>
      </c>
      <c r="I43" s="601" t="s">
        <v>3079</v>
      </c>
      <c r="J43" s="540">
        <f>SUMIF(125:125,I43,126:126)-SUMIF(125:125,C43,126:126)+100</f>
        <v>100</v>
      </c>
      <c r="K43" s="584">
        <v>1</v>
      </c>
      <c r="L43" s="2135"/>
      <c r="M43" s="2132"/>
      <c r="N43" s="2132"/>
      <c r="O43" s="2137"/>
      <c r="P43" s="3373"/>
      <c r="Q43" s="1571" t="str">
        <f t="shared" si="14"/>
        <v>宗地开发程度</v>
      </c>
      <c r="R43" s="1567" t="s">
        <v>8</v>
      </c>
      <c r="S43" s="1568">
        <f t="shared" si="10"/>
        <v>100</v>
      </c>
      <c r="T43" s="1567" t="s">
        <v>8</v>
      </c>
      <c r="U43" s="1568">
        <f t="shared" si="11"/>
        <v>100</v>
      </c>
      <c r="V43" s="1567" t="s">
        <v>8</v>
      </c>
      <c r="W43" s="1568">
        <f t="shared" si="12"/>
        <v>100</v>
      </c>
      <c r="X43" s="1569"/>
      <c r="Y43" s="3373"/>
      <c r="Z43" s="1149" t="str">
        <f t="shared" si="13"/>
        <v>宗地开发程度</v>
      </c>
      <c r="AA43" s="1570">
        <f t="shared" si="3"/>
        <v>1</v>
      </c>
      <c r="AB43" s="1570">
        <f t="shared" si="4"/>
        <v>1</v>
      </c>
      <c r="AC43" s="1570">
        <f t="shared" si="5"/>
        <v>1</v>
      </c>
    </row>
    <row r="44" spans="1:29" ht="21" thickBot="1">
      <c r="A44" s="594"/>
      <c r="B44" s="529" t="s">
        <v>555</v>
      </c>
      <c r="C44" s="599" t="s">
        <v>3044</v>
      </c>
      <c r="D44" s="540">
        <v>100</v>
      </c>
      <c r="E44" s="599" t="s">
        <v>3044</v>
      </c>
      <c r="F44" s="540">
        <f>SUMIF(127:127,E44,128:128)-SUMIF(127:127,C44,128:128)+100</f>
        <v>100</v>
      </c>
      <c r="G44" s="599" t="s">
        <v>3044</v>
      </c>
      <c r="H44" s="540">
        <f>SUMIF(127:127,G44,128:128)-SUMIF(127:127,C44,128:128)+100</f>
        <v>100</v>
      </c>
      <c r="I44" s="599" t="s">
        <v>3044</v>
      </c>
      <c r="J44" s="540">
        <f>SUMIF(127:127,I44,128:128)-SUMIF(127:127,C44,128:128)+100</f>
        <v>100</v>
      </c>
      <c r="K44" s="584">
        <v>2</v>
      </c>
      <c r="L44" s="2142"/>
      <c r="M44" s="2132"/>
      <c r="N44" s="2132"/>
      <c r="O44" s="2141"/>
      <c r="P44" s="3373" t="s">
        <v>550</v>
      </c>
      <c r="Q44" s="1571" t="str">
        <f t="shared" si="14"/>
        <v>工程地质条件</v>
      </c>
      <c r="R44" s="1572" t="s">
        <v>8</v>
      </c>
      <c r="S44" s="1573">
        <f t="shared" si="10"/>
        <v>100</v>
      </c>
      <c r="T44" s="1572" t="s">
        <v>8</v>
      </c>
      <c r="U44" s="1573">
        <f t="shared" si="11"/>
        <v>100</v>
      </c>
      <c r="V44" s="1572" t="s">
        <v>8</v>
      </c>
      <c r="W44" s="1573">
        <f t="shared" si="12"/>
        <v>100</v>
      </c>
      <c r="X44" s="1566"/>
      <c r="Y44" s="3373" t="s">
        <v>550</v>
      </c>
      <c r="Z44" s="1574" t="str">
        <f t="shared" si="13"/>
        <v>工程地质条件</v>
      </c>
      <c r="AA44" s="1575">
        <f t="shared" si="3"/>
        <v>1</v>
      </c>
      <c r="AB44" s="1575">
        <f t="shared" si="4"/>
        <v>1</v>
      </c>
      <c r="AC44" s="1575">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373"/>
      <c r="Q45" s="1571">
        <f t="shared" si="14"/>
        <v>111</v>
      </c>
      <c r="R45" s="1572" t="s">
        <v>8</v>
      </c>
      <c r="S45" s="1573">
        <f t="shared" si="10"/>
        <v>100</v>
      </c>
      <c r="T45" s="1572" t="s">
        <v>8</v>
      </c>
      <c r="U45" s="1573">
        <f t="shared" si="11"/>
        <v>100</v>
      </c>
      <c r="V45" s="1572" t="s">
        <v>8</v>
      </c>
      <c r="W45" s="1573">
        <f t="shared" si="12"/>
        <v>100</v>
      </c>
      <c r="X45" s="1566"/>
      <c r="Y45" s="3373"/>
      <c r="Z45" s="1574">
        <f t="shared" si="13"/>
        <v>111</v>
      </c>
      <c r="AA45" s="1575">
        <f t="shared" si="3"/>
        <v>1</v>
      </c>
      <c r="AB45" s="1575">
        <f t="shared" si="4"/>
        <v>1</v>
      </c>
      <c r="AC45" s="1575">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373"/>
      <c r="Q46" s="1571">
        <f t="shared" si="14"/>
        <v>111</v>
      </c>
      <c r="R46" s="1572" t="s">
        <v>8</v>
      </c>
      <c r="S46" s="1573">
        <f t="shared" si="10"/>
        <v>100</v>
      </c>
      <c r="T46" s="1572" t="s">
        <v>8</v>
      </c>
      <c r="U46" s="1573">
        <f t="shared" si="11"/>
        <v>100</v>
      </c>
      <c r="V46" s="1572" t="s">
        <v>8</v>
      </c>
      <c r="W46" s="1573">
        <f t="shared" si="12"/>
        <v>100</v>
      </c>
      <c r="X46" s="1566"/>
      <c r="Y46" s="3373"/>
      <c r="Z46" s="1574">
        <f t="shared" si="13"/>
        <v>111</v>
      </c>
      <c r="AA46" s="1575">
        <f t="shared" si="3"/>
        <v>1</v>
      </c>
      <c r="AB46" s="1575">
        <f t="shared" si="4"/>
        <v>1</v>
      </c>
      <c r="AC46" s="1575">
        <f t="shared" si="5"/>
        <v>1</v>
      </c>
    </row>
    <row r="47" spans="1:29" s="1338"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373"/>
      <c r="Q47" s="1571">
        <f t="shared" si="14"/>
        <v>111</v>
      </c>
      <c r="R47" s="1576" t="s">
        <v>8</v>
      </c>
      <c r="S47" s="1577">
        <f t="shared" si="10"/>
        <v>100</v>
      </c>
      <c r="T47" s="1576" t="s">
        <v>8</v>
      </c>
      <c r="U47" s="1577">
        <f t="shared" si="11"/>
        <v>100</v>
      </c>
      <c r="V47" s="1576" t="s">
        <v>8</v>
      </c>
      <c r="W47" s="1577">
        <f t="shared" si="12"/>
        <v>100</v>
      </c>
      <c r="X47" s="1578"/>
      <c r="Y47" s="3373"/>
      <c r="Z47" s="1579">
        <f t="shared" si="13"/>
        <v>111</v>
      </c>
      <c r="AA47" s="1575">
        <f t="shared" si="3"/>
        <v>1</v>
      </c>
      <c r="AB47" s="1575">
        <f t="shared" si="4"/>
        <v>1</v>
      </c>
      <c r="AC47" s="1575">
        <f t="shared" si="5"/>
        <v>1</v>
      </c>
    </row>
    <row r="48" spans="1:29" ht="20.25">
      <c r="A48" s="607" t="s">
        <v>556</v>
      </c>
      <c r="B48" s="608" t="s">
        <v>3046</v>
      </c>
      <c r="C48" s="609" t="s">
        <v>1</v>
      </c>
      <c r="D48" s="610"/>
      <c r="E48" s="611">
        <f>ROUND(土地案例!M2,0)</f>
        <v>4147</v>
      </c>
      <c r="F48" s="612"/>
      <c r="G48" s="611">
        <f>ROUND(土地案例!M3,0)</f>
        <v>4422</v>
      </c>
      <c r="H48" s="614"/>
      <c r="I48" s="611">
        <f>ROUND(土地案例!M4,0)</f>
        <v>4010</v>
      </c>
      <c r="J48" s="614"/>
      <c r="K48" s="1339"/>
      <c r="L48" s="2144"/>
      <c r="M48" s="2132"/>
      <c r="N48" s="2132"/>
      <c r="O48" s="2145"/>
      <c r="P48" s="3368" t="str">
        <f>A48</f>
        <v>成交单价</v>
      </c>
      <c r="Q48" s="3368"/>
      <c r="R48" s="3382">
        <f>E48</f>
        <v>4147</v>
      </c>
      <c r="S48" s="3382"/>
      <c r="T48" s="3382">
        <f>G48</f>
        <v>4422</v>
      </c>
      <c r="U48" s="3382"/>
      <c r="V48" s="3382">
        <f>I48</f>
        <v>4010</v>
      </c>
      <c r="W48" s="3382"/>
      <c r="X48" s="1558"/>
      <c r="Y48" s="1580"/>
      <c r="Z48" s="1558"/>
      <c r="AA48" s="1558"/>
      <c r="AB48" s="1558"/>
      <c r="AC48" s="1558"/>
    </row>
    <row r="49" spans="1:29" ht="21" thickBot="1">
      <c r="A49" s="615" t="s">
        <v>2698</v>
      </c>
      <c r="B49" s="616"/>
      <c r="C49" s="617">
        <f>R50</f>
        <v>4117</v>
      </c>
      <c r="D49" s="618"/>
      <c r="E49" s="617">
        <f>R49</f>
        <v>3991</v>
      </c>
      <c r="F49" s="619"/>
      <c r="G49" s="620">
        <f>T49</f>
        <v>4300</v>
      </c>
      <c r="H49" s="618"/>
      <c r="I49" s="617">
        <f>V49</f>
        <v>4059</v>
      </c>
      <c r="J49" s="618"/>
      <c r="K49" s="1340"/>
      <c r="L49" s="2144"/>
      <c r="M49" s="2132"/>
      <c r="N49" s="2132"/>
      <c r="O49" s="2145"/>
      <c r="P49" s="3368" t="str">
        <f>A49</f>
        <v>比较价格（元/平方米）</v>
      </c>
      <c r="Q49" s="3368"/>
      <c r="R49" s="3392">
        <f>ROUND(PRODUCT(R48,AA9:AA47),0)</f>
        <v>3991</v>
      </c>
      <c r="S49" s="3392"/>
      <c r="T49" s="3392">
        <f>ROUND(PRODUCT(T48,AB9:AB47),0)</f>
        <v>4300</v>
      </c>
      <c r="U49" s="3392"/>
      <c r="V49" s="3392">
        <f>ROUND(PRODUCT(V48,AC9:AC47),0)</f>
        <v>4059</v>
      </c>
      <c r="W49" s="3392"/>
      <c r="X49" s="1558"/>
      <c r="Y49" s="1558"/>
      <c r="Z49" s="1558"/>
      <c r="AA49" s="1558"/>
      <c r="AB49" s="1558"/>
      <c r="AC49" s="1558"/>
    </row>
    <row r="50" spans="1:29" ht="21" thickBot="1">
      <c r="A50" s="621" t="s">
        <v>2935</v>
      </c>
      <c r="B50" s="622"/>
      <c r="C50" s="623">
        <f>R50</f>
        <v>4117</v>
      </c>
      <c r="D50" s="623"/>
      <c r="E50" s="623"/>
      <c r="F50" s="623"/>
      <c r="G50" s="623"/>
      <c r="H50" s="623"/>
      <c r="I50" s="623"/>
      <c r="J50" s="623"/>
      <c r="K50" s="1341"/>
      <c r="L50" s="2144"/>
      <c r="M50" s="2132"/>
      <c r="N50" s="2132"/>
      <c r="O50" s="2145"/>
      <c r="P50" s="3389" t="str">
        <f>A50</f>
        <v>估价对象XX用房的比较价格（楼面单价，元/平方米）</v>
      </c>
      <c r="Q50" s="3390"/>
      <c r="R50" s="3391">
        <f>ROUND(AVERAGE(R49:V49),0)</f>
        <v>4117</v>
      </c>
      <c r="S50" s="3391"/>
      <c r="T50" s="3391"/>
      <c r="U50" s="3391"/>
      <c r="V50" s="3391"/>
      <c r="W50" s="3391"/>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3.9087947882736174E-2</v>
      </c>
      <c r="F53" s="627" t="str">
        <f>IF(OR(E53&gt;=0.3,E53&lt;=-0.3),"超过30%","")</f>
        <v/>
      </c>
      <c r="G53" s="626">
        <f>IF(G48&lt;G49,G49/G48-1,G48/G49-1)</f>
        <v>2.8372093023255829E-2</v>
      </c>
      <c r="H53" s="627" t="str">
        <f>IF(OR(G53&gt;=0.3,G53&lt;=-0.3),"超过30%","")</f>
        <v/>
      </c>
      <c r="I53" s="626">
        <f>IF(I48&lt;I49,I49/I48-1,I48/I49-1)</f>
        <v>1.2219451371570988E-2</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7.7424204460035062E-2</v>
      </c>
      <c r="F54" s="627" t="str">
        <f>IF(OR(E54&gt;=0.2,E54&lt;=-0.2),"超过20%","")</f>
        <v/>
      </c>
      <c r="G54" s="626">
        <f>IF(G49&lt;I49,I49/G49-1,G49/I49-1)</f>
        <v>5.9374230105937453E-2</v>
      </c>
      <c r="H54" s="627" t="str">
        <f>IF(OR(G54&gt;=0.2,G54&lt;=-0.2),"超过20%","")</f>
        <v/>
      </c>
      <c r="I54" s="626">
        <f>IF(I49&lt;E49,E49/I49-1,I49/E49-1)</f>
        <v>1.7038336256577358E-2</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f>IF(E48&lt;G48,G48/E48-1,E48/G48-1)</f>
        <v>6.6312997347480085E-2</v>
      </c>
      <c r="F55" s="627" t="str">
        <f>IF(OR(E55&gt;=0.3,E55&lt;=-0.3),"超过30%","")</f>
        <v/>
      </c>
      <c r="G55" s="626">
        <f>IF(G48&lt;I48,I48/G48-1,G48/I48-1)</f>
        <v>0.10274314214463831</v>
      </c>
      <c r="H55" s="627" t="str">
        <f>IF(OR(G55&gt;=0.3,G55&lt;=-0.3),"超过30%","")</f>
        <v/>
      </c>
      <c r="I55" s="626">
        <f>IF(I48&lt;E48,E48/I48-1,I48/E48-1)</f>
        <v>3.4164588528678319E-2</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560</v>
      </c>
      <c r="B57" s="630" t="s">
        <v>561</v>
      </c>
      <c r="C57" s="1559" t="s">
        <v>1724</v>
      </c>
      <c r="D57" s="2227" t="s">
        <v>2294</v>
      </c>
      <c r="E57" s="631" t="s">
        <v>562</v>
      </c>
      <c r="F57" s="632" t="s">
        <v>563</v>
      </c>
      <c r="G57" s="3352" t="s">
        <v>2282</v>
      </c>
      <c r="H57" s="3353"/>
      <c r="I57" s="1554" t="s">
        <v>1722</v>
      </c>
      <c r="J57" s="1554" t="str">
        <f>项目基本情况!F41</f>
        <v>湖南省</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564</v>
      </c>
      <c r="B58" s="634">
        <f>C50</f>
        <v>4117</v>
      </c>
      <c r="C58" s="635">
        <v>1</v>
      </c>
      <c r="D58" s="2228">
        <v>1</v>
      </c>
      <c r="E58" s="635">
        <f>'数据-汇总表'!E8+'数据-汇总表'!E9</f>
        <v>231926.37</v>
      </c>
      <c r="F58" s="636">
        <f t="shared" ref="F58:F67" si="15">ROUND(B58*E58/10000,0)</f>
        <v>95484</v>
      </c>
      <c r="G58" s="3354"/>
      <c r="H58" s="3355"/>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565</v>
      </c>
      <c r="B59" s="638">
        <f>ROUND($C$50*C59*D59,0)</f>
        <v>0</v>
      </c>
      <c r="C59" s="380">
        <f t="shared" ref="C59:C67" si="16">IF($C$57="北京市系数",I59,J59)</f>
        <v>0</v>
      </c>
      <c r="D59" s="2229">
        <v>0.25</v>
      </c>
      <c r="E59" s="639">
        <v>0</v>
      </c>
      <c r="F59" s="636">
        <f t="shared" si="15"/>
        <v>0</v>
      </c>
      <c r="G59" s="3356" t="s">
        <v>2283</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566</v>
      </c>
      <c r="B60" s="638">
        <f t="shared" ref="B60:B67" si="17">ROUND($C$50*C60*D60,0)</f>
        <v>0</v>
      </c>
      <c r="C60" s="380">
        <f t="shared" si="16"/>
        <v>0</v>
      </c>
      <c r="D60" s="2229">
        <v>0.25</v>
      </c>
      <c r="E60" s="639">
        <v>0</v>
      </c>
      <c r="F60" s="636">
        <f t="shared" si="15"/>
        <v>0</v>
      </c>
      <c r="G60" s="3356"/>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567</v>
      </c>
      <c r="B61" s="638">
        <f t="shared" si="17"/>
        <v>0</v>
      </c>
      <c r="C61" s="380">
        <f t="shared" si="16"/>
        <v>0</v>
      </c>
      <c r="D61" s="2229">
        <v>0.25</v>
      </c>
      <c r="E61" s="639">
        <v>0</v>
      </c>
      <c r="F61" s="636">
        <f t="shared" si="15"/>
        <v>0</v>
      </c>
      <c r="G61" s="3356"/>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568</v>
      </c>
      <c r="B62" s="638">
        <f t="shared" si="17"/>
        <v>0</v>
      </c>
      <c r="C62" s="380">
        <f t="shared" si="16"/>
        <v>0</v>
      </c>
      <c r="D62" s="2229">
        <v>0.25</v>
      </c>
      <c r="E62" s="639">
        <v>0</v>
      </c>
      <c r="F62" s="636">
        <f t="shared" si="15"/>
        <v>0</v>
      </c>
      <c r="G62" s="3356"/>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2328</v>
      </c>
      <c r="B63" s="638">
        <f t="shared" si="17"/>
        <v>0</v>
      </c>
      <c r="C63" s="380">
        <f t="shared" si="16"/>
        <v>0</v>
      </c>
      <c r="D63" s="2229">
        <v>0.25</v>
      </c>
      <c r="E63" s="641">
        <f>'数据-汇总表'!E11</f>
        <v>0</v>
      </c>
      <c r="F63" s="636">
        <f t="shared" si="15"/>
        <v>0</v>
      </c>
      <c r="G63" s="1945" t="s">
        <v>2284</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569</v>
      </c>
      <c r="B64" s="638">
        <f t="shared" si="17"/>
        <v>0</v>
      </c>
      <c r="C64" s="380">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570</v>
      </c>
      <c r="B65" s="638">
        <f t="shared" si="17"/>
        <v>0</v>
      </c>
      <c r="C65" s="380">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571</v>
      </c>
      <c r="B66" s="638">
        <f t="shared" si="17"/>
        <v>0</v>
      </c>
      <c r="C66" s="380">
        <f t="shared" si="16"/>
        <v>0</v>
      </c>
      <c r="D66" s="2229">
        <v>0.25</v>
      </c>
      <c r="E66" s="641">
        <f>'数据-汇总表'!E14</f>
        <v>0</v>
      </c>
      <c r="F66" s="636">
        <f t="shared" si="15"/>
        <v>0</v>
      </c>
      <c r="G66" s="1945" t="s">
        <v>2283</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572</v>
      </c>
      <c r="B67" s="638">
        <f t="shared" si="17"/>
        <v>0</v>
      </c>
      <c r="C67" s="380">
        <f t="shared" si="16"/>
        <v>0</v>
      </c>
      <c r="D67" s="2229">
        <v>0.25</v>
      </c>
      <c r="E67" s="641">
        <f>'数据-汇总表'!E15</f>
        <v>0</v>
      </c>
      <c r="F67" s="636">
        <f t="shared" si="15"/>
        <v>0</v>
      </c>
      <c r="G67" s="1947" t="s">
        <v>2284</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573</v>
      </c>
      <c r="B68" s="643" t="s">
        <v>17</v>
      </c>
      <c r="C68" s="643" t="s">
        <v>18</v>
      </c>
      <c r="D68" s="643" t="s">
        <v>2295</v>
      </c>
      <c r="E68" s="643">
        <f>IF(B48="楼面地价",SUM(E58:E67),'数据-汇总表'!D3)</f>
        <v>231926.37</v>
      </c>
      <c r="F68" s="644">
        <f>IF(B48="楼面地价",SUM(F58:F67),ROUND(C50*E68/10000,0))</f>
        <v>95484</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574</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2535</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2652</v>
      </c>
      <c r="B73" s="481" t="str">
        <f>"北京市平均增长率"&amp;TEXT(SUMIF(基准地价!N21:N25,A73,基准地价!P21:P25),"0.00%")</f>
        <v>北京市平均增长率2.49%</v>
      </c>
      <c r="C73" s="893">
        <v>100</v>
      </c>
      <c r="D73" s="730">
        <v>99.5</v>
      </c>
      <c r="E73" s="730">
        <v>99</v>
      </c>
      <c r="F73" s="730">
        <v>98.5</v>
      </c>
      <c r="G73" s="730">
        <v>98</v>
      </c>
      <c r="H73" s="730">
        <v>97.5</v>
      </c>
      <c r="I73" s="730">
        <v>97</v>
      </c>
      <c r="J73" s="730">
        <v>98.6</v>
      </c>
      <c r="K73" s="730">
        <v>98.4</v>
      </c>
      <c r="L73" s="730">
        <v>98.2</v>
      </c>
      <c r="M73" s="2818">
        <v>98</v>
      </c>
      <c r="N73" s="2819"/>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2651</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598" t="s">
        <v>3011</v>
      </c>
      <c r="D77" s="3164" t="s">
        <v>3012</v>
      </c>
      <c r="E77" s="3165" t="s">
        <v>3013</v>
      </c>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101</v>
      </c>
      <c r="E78" s="671">
        <v>102</v>
      </c>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v>
      </c>
      <c r="I81" s="682" t="str">
        <f t="shared" si="20"/>
        <v>（含）-</v>
      </c>
      <c r="J81" s="682" t="str">
        <f t="shared" si="20"/>
        <v>（含）-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2</v>
      </c>
      <c r="F82" s="541">
        <v>3</v>
      </c>
      <c r="G82" s="541">
        <v>4</v>
      </c>
      <c r="H82" s="541">
        <v>5</v>
      </c>
      <c r="I82" s="541"/>
      <c r="J82" s="541"/>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3175" t="s">
        <v>3056</v>
      </c>
      <c r="D84" s="1374" t="s">
        <v>3055</v>
      </c>
      <c r="E84" s="1375"/>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v>95</v>
      </c>
      <c r="D85" s="671">
        <v>100</v>
      </c>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0</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0</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98</v>
      </c>
      <c r="E91" s="679">
        <f>D91-$K17</f>
        <v>96</v>
      </c>
      <c r="F91" s="679">
        <f>E91-$K17</f>
        <v>94</v>
      </c>
      <c r="G91" s="679">
        <f>F91-$K17</f>
        <v>92</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98</v>
      </c>
      <c r="E93" s="679">
        <f>D93-$K19</f>
        <v>96</v>
      </c>
      <c r="F93" s="679">
        <f>E93-$K19</f>
        <v>94</v>
      </c>
      <c r="G93" s="679">
        <f>F93-$K19</f>
        <v>92</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99</v>
      </c>
      <c r="E97" s="679">
        <f>D97-$K23</f>
        <v>98</v>
      </c>
      <c r="F97" s="679">
        <f>E97-$K23</f>
        <v>97</v>
      </c>
      <c r="G97" s="679">
        <f>F97-$K23</f>
        <v>96</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99</v>
      </c>
      <c r="E99" s="679">
        <f>D99-$K25</f>
        <v>98</v>
      </c>
      <c r="F99" s="679">
        <f>E99-$K25</f>
        <v>97</v>
      </c>
      <c r="G99" s="679">
        <f>F99-$K25</f>
        <v>96</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99</v>
      </c>
      <c r="E103" s="679">
        <f>D103-$K29</f>
        <v>98</v>
      </c>
      <c r="F103" s="679">
        <f>E103-$K29</f>
        <v>97</v>
      </c>
      <c r="G103" s="679">
        <f>F103-$K29</f>
        <v>96</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621" t="s">
        <v>2553</v>
      </c>
      <c r="C104" s="2622" t="s">
        <v>2554</v>
      </c>
      <c r="D104" s="2622" t="s">
        <v>2555</v>
      </c>
      <c r="E104" s="2622" t="s">
        <v>2556</v>
      </c>
      <c r="F104" s="2622" t="s">
        <v>2557</v>
      </c>
      <c r="G104" s="2622"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688" t="s">
        <v>3014</v>
      </c>
      <c r="D108" s="688" t="s">
        <v>3015</v>
      </c>
      <c r="E108" s="688" t="s">
        <v>3016</v>
      </c>
      <c r="F108" s="688" t="s">
        <v>3017</v>
      </c>
      <c r="G108" s="688" t="s">
        <v>3018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0</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0</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0</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5">C119&amp;"(含)"&amp;"-"&amp;D119</f>
        <v>0(含)-50000</v>
      </c>
      <c r="D118" s="704" t="str">
        <f t="shared" si="25"/>
        <v>50000(含)-100000</v>
      </c>
      <c r="E118" s="704" t="str">
        <f t="shared" si="25"/>
        <v>100000(含)-150000</v>
      </c>
      <c r="F118" s="704" t="str">
        <f t="shared" si="25"/>
        <v>150000(含)-200000</v>
      </c>
      <c r="G118" s="704" t="str">
        <f t="shared" si="25"/>
        <v>200000(含)-</v>
      </c>
      <c r="H118" s="704" t="str">
        <f t="shared" si="25"/>
        <v>(含)-</v>
      </c>
      <c r="I118" s="704"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50000</v>
      </c>
      <c r="E119" s="730">
        <v>100000</v>
      </c>
      <c r="F119" s="730">
        <v>150000</v>
      </c>
      <c r="G119" s="730">
        <v>200000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v>102</v>
      </c>
      <c r="E120" s="726">
        <v>104</v>
      </c>
      <c r="F120" s="726">
        <v>106</v>
      </c>
      <c r="G120" s="726">
        <v>108</v>
      </c>
      <c r="H120" s="726"/>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718" t="s">
        <v>3019</v>
      </c>
      <c r="D121" s="718" t="s">
        <v>3020</v>
      </c>
      <c r="E121" s="718" t="s">
        <v>3021</v>
      </c>
      <c r="F121" s="718" t="s">
        <v>3022</v>
      </c>
      <c r="G121" s="718"/>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688" t="s">
        <v>3023</v>
      </c>
      <c r="D123" s="688" t="s">
        <v>3024</v>
      </c>
      <c r="E123" s="688" t="s">
        <v>3025</v>
      </c>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2426</v>
      </c>
      <c r="C125" s="1374" t="s">
        <v>3026</v>
      </c>
      <c r="D125" s="1374" t="s">
        <v>3027</v>
      </c>
      <c r="E125" s="1374" t="s">
        <v>3028</v>
      </c>
      <c r="F125" s="1374" t="s">
        <v>3029</v>
      </c>
      <c r="G125" s="1374" t="s">
        <v>3030</v>
      </c>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t="s">
        <v>3031</v>
      </c>
      <c r="D127" s="688" t="s">
        <v>3032</v>
      </c>
      <c r="E127" s="718" t="s">
        <v>3033</v>
      </c>
      <c r="F127" s="718" t="s">
        <v>3034</v>
      </c>
      <c r="G127" s="718" t="s">
        <v>3035</v>
      </c>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9"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32" sqref="C32"/>
    </sheetView>
  </sheetViews>
  <sheetFormatPr defaultColWidth="6.625" defaultRowHeight="12.75"/>
  <cols>
    <col min="1" max="1" width="9.75" style="2124" customWidth="1"/>
    <col min="2" max="2" width="32.2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465</v>
      </c>
      <c r="B1" s="2835"/>
      <c r="C1" s="2104"/>
      <c r="D1" s="2104"/>
      <c r="E1" s="2104"/>
      <c r="F1" s="2104"/>
      <c r="G1" s="2104"/>
      <c r="H1" s="2104"/>
      <c r="I1" s="2104"/>
      <c r="J1" s="2104"/>
      <c r="K1" s="424">
        <f>MATCH(B1,'数据-取费表'!A6:A16,0)+5</f>
        <v>8</v>
      </c>
    </row>
    <row r="2" spans="1:31" s="2041" customFormat="1" ht="18" customHeight="1">
      <c r="A2" s="2101" t="s">
        <v>466</v>
      </c>
      <c r="B2" s="2105">
        <f ca="1">C36</f>
        <v>89778</v>
      </c>
      <c r="C2" s="2104"/>
      <c r="D2" s="2104"/>
      <c r="E2" s="2104"/>
      <c r="F2" s="2104"/>
      <c r="G2" s="2104"/>
      <c r="H2" s="2104"/>
      <c r="I2" s="2104"/>
      <c r="J2" s="2104"/>
      <c r="K2" s="2104"/>
    </row>
    <row r="3" spans="1:31" s="2041" customFormat="1" ht="18" customHeight="1">
      <c r="A3" s="2106" t="s">
        <v>1684</v>
      </c>
      <c r="B3" s="2107">
        <f ca="1">ROUND(B2*10000/IF(B1="",'数据-汇总表'!E3,INDIRECT("'数据-取费表'!K"&amp;$K$1)),0)</f>
        <v>3871</v>
      </c>
      <c r="C3" s="2104"/>
      <c r="D3" s="2104"/>
      <c r="E3" s="2104"/>
      <c r="F3" s="2104"/>
      <c r="G3" s="2104"/>
      <c r="H3" s="2104"/>
      <c r="I3" s="2104"/>
      <c r="J3" s="2104"/>
      <c r="K3" s="2104"/>
    </row>
    <row r="4" spans="1:31" s="2041" customFormat="1" ht="18" customHeight="1">
      <c r="A4" s="428" t="s">
        <v>467</v>
      </c>
      <c r="B4" s="429">
        <f ca="1">ROUND(B2*10000/IF(B1="",'数据-汇总表'!D3,INDIRECT("'数据-取费表'!R"&amp;$K$1)),0)</f>
        <v>8516</v>
      </c>
      <c r="C4" s="430"/>
      <c r="D4" s="424"/>
      <c r="E4" s="424"/>
      <c r="F4" s="424"/>
      <c r="G4" s="424"/>
      <c r="H4" s="424"/>
      <c r="I4" s="424"/>
      <c r="J4" s="424"/>
      <c r="K4" s="424"/>
    </row>
    <row r="5" spans="1:31" s="2041" customFormat="1" ht="18" customHeight="1" thickBot="1">
      <c r="A5" s="431"/>
      <c r="B5" s="432">
        <f ca="1">ROUND(B2/(IF(B1="",'数据-汇总表'!D3,INDIRECT("'数据-取费表'!R"&amp;$K$1))/666.67),0)</f>
        <v>568</v>
      </c>
      <c r="C5" s="433" t="s">
        <v>468</v>
      </c>
      <c r="D5" s="424"/>
      <c r="E5" s="424"/>
      <c r="F5" s="424"/>
      <c r="G5" s="424"/>
      <c r="H5" s="424"/>
      <c r="I5" s="424"/>
      <c r="J5" s="424"/>
      <c r="K5" s="424"/>
    </row>
    <row r="6" spans="1:31" s="2111" customFormat="1" ht="16.5" customHeight="1">
      <c r="A6" s="2854" t="s">
        <v>1842</v>
      </c>
      <c r="B6" s="2855"/>
      <c r="C6" s="2856">
        <f ca="1">SUM(C10:K10)</f>
        <v>165664</v>
      </c>
      <c r="D6" s="2855"/>
      <c r="E6" s="2855"/>
      <c r="F6" s="2855"/>
      <c r="G6" s="2855"/>
      <c r="H6" s="2855"/>
      <c r="I6" s="2855"/>
      <c r="J6" s="2855"/>
      <c r="K6" s="2857"/>
    </row>
    <row r="7" spans="1:31" s="2113" customFormat="1" ht="15">
      <c r="A7" s="2858" t="s">
        <v>469</v>
      </c>
      <c r="B7" s="2859" t="s">
        <v>470</v>
      </c>
      <c r="C7" s="438" t="s">
        <v>3004</v>
      </c>
      <c r="D7" s="438" t="s">
        <v>3006</v>
      </c>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0" t="s">
        <v>471</v>
      </c>
      <c r="C8" s="2860">
        <f>'不动产比较法-住宅'!C48</f>
        <v>7031</v>
      </c>
      <c r="D8" s="2860"/>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0" t="s">
        <v>472</v>
      </c>
      <c r="C9" s="443">
        <f>SUMIF('数据-汇总表'!$C19:$C33,'剩余法-待开发'!C7,'数据-汇总表'!$E19:$E33)</f>
        <v>224968.58</v>
      </c>
      <c r="D9" s="443">
        <f>SUMIF('数据-汇总表'!$C19:$C33,'剩余法-待开发'!D7,'数据-汇总表'!$E19:$E33)</f>
        <v>6957.79</v>
      </c>
      <c r="E9" s="443">
        <f>SUMIF('数据-汇总表'!$C19:$C33,'剩余法-待开发'!E7,'数据-汇总表'!$E19:$E33)</f>
        <v>0</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1847</v>
      </c>
      <c r="B10" s="2848" t="s">
        <v>473</v>
      </c>
      <c r="C10" s="3055">
        <f>ROUND(C8*C9/10000,0)</f>
        <v>158175</v>
      </c>
      <c r="D10" s="3055">
        <f ca="1">不动产收益法!C40</f>
        <v>7489</v>
      </c>
      <c r="E10" s="3055"/>
      <c r="F10" s="3055"/>
      <c r="G10" s="2863"/>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1843</v>
      </c>
      <c r="B11" s="2855"/>
      <c r="C11" s="2855"/>
      <c r="D11" s="2855"/>
      <c r="E11" s="2855"/>
      <c r="F11" s="2855"/>
      <c r="G11" s="2855"/>
      <c r="H11" s="2855"/>
      <c r="I11" s="2855"/>
      <c r="J11" s="2855"/>
      <c r="K11" s="2857"/>
    </row>
    <row r="12" spans="1:31" s="2085" customFormat="1" ht="13.5" customHeight="1">
      <c r="A12" s="2866" t="s">
        <v>469</v>
      </c>
      <c r="B12" s="2838" t="s">
        <v>470</v>
      </c>
      <c r="C12" s="2867" t="s">
        <v>474</v>
      </c>
      <c r="D12" s="2834" t="s">
        <v>475</v>
      </c>
      <c r="E12" s="2834" t="s">
        <v>476</v>
      </c>
      <c r="F12" s="2834" t="s">
        <v>477</v>
      </c>
      <c r="G12" s="2838"/>
      <c r="H12" s="2839"/>
      <c r="I12" s="2839"/>
      <c r="J12" s="2839"/>
      <c r="K12" s="2840"/>
    </row>
    <row r="13" spans="1:31" s="2116" customFormat="1" ht="13.5" customHeight="1">
      <c r="A13" s="2868" t="s">
        <v>1848</v>
      </c>
      <c r="B13" s="2869" t="s">
        <v>478</v>
      </c>
      <c r="C13" s="452">
        <f ca="1">IF(B1="",'数据-取费表'!P16,INDIRECT("'数据-取费表'!p"&amp;$K$1)+INDIRECT("'数据-取费表'!t"&amp;$K$1))</f>
        <v>34928</v>
      </c>
      <c r="D13" s="2870"/>
      <c r="E13" s="2871"/>
      <c r="F13" s="2872"/>
      <c r="G13" s="2838"/>
      <c r="H13" s="2839"/>
      <c r="I13" s="2839"/>
      <c r="J13" s="2839"/>
      <c r="K13" s="2840"/>
    </row>
    <row r="14" spans="1:31" s="2116" customFormat="1" ht="13.5" customHeight="1">
      <c r="A14" s="2868" t="s">
        <v>1849</v>
      </c>
      <c r="B14" s="2869" t="s">
        <v>479</v>
      </c>
      <c r="C14" s="53">
        <f ca="1">ROUND(C13*F14,0)</f>
        <v>1048</v>
      </c>
      <c r="D14" s="2870"/>
      <c r="E14" s="2871"/>
      <c r="F14" s="2873">
        <f>'数据-取费表'!B33</f>
        <v>0.03</v>
      </c>
      <c r="G14" s="2838" t="s">
        <v>480</v>
      </c>
      <c r="H14" s="2839"/>
      <c r="I14" s="2839"/>
      <c r="J14" s="2839"/>
      <c r="K14" s="2840"/>
    </row>
    <row r="15" spans="1:31" s="2116" customFormat="1" ht="13.5" customHeight="1">
      <c r="A15" s="2868" t="s">
        <v>1850</v>
      </c>
      <c r="B15" s="2869" t="s">
        <v>481</v>
      </c>
      <c r="C15" s="53">
        <f ca="1">ROUND(IF(B1="",SUMIF('数据-取费表'!C:C,"住宅",'数据-取费表'!P:P)*F15,IF(INDIRECT("'数据-取费表'!c"&amp;$K$1)="住宅",INDIRECT("'数据-取费表'!P"&amp;$K$1)*F15,0)),0)</f>
        <v>1012</v>
      </c>
      <c r="D15" s="2870"/>
      <c r="E15" s="2871"/>
      <c r="F15" s="2873">
        <f>'数据-取费表'!B34</f>
        <v>0.03</v>
      </c>
      <c r="G15" s="2838" t="s">
        <v>482</v>
      </c>
      <c r="H15" s="2839"/>
      <c r="I15" s="2839"/>
      <c r="J15" s="2839"/>
      <c r="K15" s="2840"/>
    </row>
    <row r="16" spans="1:31" s="2117" customFormat="1" ht="13.5" customHeight="1">
      <c r="A16" s="2868" t="s">
        <v>1851</v>
      </c>
      <c r="B16" s="2869" t="s">
        <v>483</v>
      </c>
      <c r="C16" s="53">
        <f ca="1">ROUND(D16*E16/10000,0)</f>
        <v>3479</v>
      </c>
      <c r="D16" s="2870">
        <f ca="1">IF(B1="",'数据-汇总表'!E3,INDIRECT("'数据-取费表'!K"&amp;$K$1)+INDIRECT("'数据-取费表'!S"&amp;$K$1))</f>
        <v>231926.37</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1852</v>
      </c>
      <c r="B17" s="2869" t="s">
        <v>484</v>
      </c>
      <c r="C17" s="2874">
        <f ca="1">ROUND(C13*F17,0)</f>
        <v>524</v>
      </c>
      <c r="D17" s="477"/>
      <c r="E17" s="2874"/>
      <c r="F17" s="2875">
        <f>'数据-取费表'!B36</f>
        <v>1.4999999999999999E-2</v>
      </c>
      <c r="G17" s="260" t="s">
        <v>485</v>
      </c>
      <c r="H17" s="2841"/>
      <c r="I17" s="2841"/>
      <c r="J17" s="2841"/>
      <c r="K17" s="278"/>
    </row>
    <row r="18" spans="1:14" s="2116" customFormat="1" ht="13.5" customHeight="1">
      <c r="A18" s="2876" t="s">
        <v>1853</v>
      </c>
      <c r="B18" s="2877" t="s">
        <v>486</v>
      </c>
      <c r="C18" s="2878">
        <f ca="1">SUM(C13:C17)</f>
        <v>40991</v>
      </c>
      <c r="D18" s="2879"/>
      <c r="E18" s="470"/>
      <c r="F18" s="470"/>
      <c r="G18" s="2842" t="s">
        <v>2431</v>
      </c>
      <c r="H18" s="2843"/>
      <c r="I18" s="2843"/>
      <c r="J18" s="2843"/>
      <c r="K18" s="2844"/>
    </row>
    <row r="19" spans="1:14" s="2116" customFormat="1" ht="13.5" customHeight="1">
      <c r="A19" s="2876" t="s">
        <v>1854</v>
      </c>
      <c r="B19" s="2877" t="s">
        <v>487</v>
      </c>
      <c r="C19" s="2834">
        <f ca="1">ROUND(D19*E19/10000,0)</f>
        <v>1855</v>
      </c>
      <c r="D19" s="2880">
        <f ca="1">D16</f>
        <v>231926.37</v>
      </c>
      <c r="E19" s="2834">
        <f>'数据-取费表'!B32</f>
        <v>80</v>
      </c>
      <c r="F19" s="470"/>
      <c r="G19" s="2838" t="s">
        <v>488</v>
      </c>
      <c r="H19" s="2839"/>
      <c r="I19" s="2843"/>
      <c r="J19" s="2843"/>
      <c r="K19" s="2844"/>
    </row>
    <row r="20" spans="1:14" s="2116" customFormat="1" ht="13.5" customHeight="1">
      <c r="A20" s="2876" t="s">
        <v>1855</v>
      </c>
      <c r="B20" s="2877" t="s">
        <v>489</v>
      </c>
      <c r="C20" s="2834">
        <f ca="1">C21+C22-IF(B1="",'数据-取费表'!B29,IF(G20="已全部缴纳",C21+C22,H20))</f>
        <v>3131</v>
      </c>
      <c r="D20" s="2880"/>
      <c r="E20" s="2834"/>
      <c r="F20" s="2881"/>
      <c r="G20" s="3112"/>
      <c r="H20" s="2836"/>
      <c r="I20" s="2837" t="s">
        <v>2656</v>
      </c>
      <c r="J20" s="2843"/>
      <c r="K20" s="2844"/>
    </row>
    <row r="21" spans="1:14" s="2116" customFormat="1" ht="13.5" customHeight="1">
      <c r="A21" s="2868" t="s">
        <v>1856</v>
      </c>
      <c r="B21" s="2869" t="s">
        <v>490</v>
      </c>
      <c r="C21" s="53">
        <f ca="1">ROUND(D21*E21/10000,0)</f>
        <v>3037</v>
      </c>
      <c r="D21" s="2870">
        <f ca="1">IF(B1="",'数据-汇总表'!E5,IF(INDIRECT("'数据-取费表'!c"&amp;$K$1)="住宅",INDIRECT("'数据-取费表'!k"&amp;$K$1),0))</f>
        <v>224968.58</v>
      </c>
      <c r="E21" s="53">
        <f>'数据-取费表'!B27</f>
        <v>135</v>
      </c>
      <c r="F21" s="2873"/>
      <c r="G21" s="26"/>
      <c r="H21" s="51"/>
      <c r="I21" s="51"/>
      <c r="J21" s="51"/>
      <c r="K21" s="2845"/>
    </row>
    <row r="22" spans="1:14" s="2116" customFormat="1" ht="13.5" customHeight="1">
      <c r="A22" s="2868" t="s">
        <v>1857</v>
      </c>
      <c r="B22" s="2869" t="s">
        <v>491</v>
      </c>
      <c r="C22" s="53">
        <f ca="1">ROUND(D22*E22/10000,0)</f>
        <v>94</v>
      </c>
      <c r="D22" s="2870">
        <f ca="1">IF(B1="",'数据-汇总表'!E6,IF(INDIRECT("'数据-取费表'!c"&amp;$K$1)="住宅",INDIRECT("'数据-取费表'!s"&amp;$K$1),INDIRECT("'数据-取费表'!k"&amp;$K$1)+INDIRECT("'数据-取费表'!s"&amp;$K$1)))</f>
        <v>6957.7900000000081</v>
      </c>
      <c r="E22" s="53">
        <f>'数据-取费表'!B28</f>
        <v>135</v>
      </c>
      <c r="F22" s="2873"/>
      <c r="G22" s="26"/>
      <c r="H22" s="51"/>
      <c r="I22" s="51"/>
      <c r="J22" s="51"/>
      <c r="K22" s="2845"/>
    </row>
    <row r="23" spans="1:14" s="2116" customFormat="1" ht="13.5" customHeight="1">
      <c r="A23" s="2876" t="s">
        <v>1858</v>
      </c>
      <c r="B23" s="3061" t="s">
        <v>2839</v>
      </c>
      <c r="C23" s="2878">
        <f ca="1">ROUND((C18+C19+C20)*F23,0)</f>
        <v>460</v>
      </c>
      <c r="D23" s="470"/>
      <c r="E23" s="470"/>
      <c r="F23" s="2882">
        <f>'数据-取费表'!B37</f>
        <v>0.01</v>
      </c>
      <c r="G23" s="2838" t="s">
        <v>2432</v>
      </c>
      <c r="H23" s="2839"/>
      <c r="I23" s="2839"/>
      <c r="J23" s="2839"/>
      <c r="K23" s="2840"/>
      <c r="L23" s="2118"/>
      <c r="M23" s="2118"/>
      <c r="N23" s="2118"/>
    </row>
    <row r="24" spans="1:14" s="2116" customFormat="1" ht="13.5" customHeight="1">
      <c r="A24" s="2876" t="s">
        <v>1859</v>
      </c>
      <c r="B24" s="3061" t="s">
        <v>2842</v>
      </c>
      <c r="C24" s="2878">
        <f ca="1">ROUND(C6*F24,0)</f>
        <v>1657</v>
      </c>
      <c r="D24" s="477"/>
      <c r="E24" s="475"/>
      <c r="F24" s="2882">
        <f>'数据-取费表'!B38</f>
        <v>0.01</v>
      </c>
      <c r="G24" s="2847" t="s">
        <v>498</v>
      </c>
      <c r="H24" s="2841"/>
      <c r="I24" s="2841"/>
      <c r="J24" s="2841"/>
      <c r="K24" s="278"/>
      <c r="L24" s="2118"/>
      <c r="M24" s="2118"/>
      <c r="N24" s="2118"/>
    </row>
    <row r="25" spans="1:14" s="2119" customFormat="1" ht="13.5" customHeight="1">
      <c r="A25" s="2876" t="s">
        <v>1860</v>
      </c>
      <c r="B25" s="3061" t="s">
        <v>2840</v>
      </c>
      <c r="C25" s="469">
        <f>ROUND(F25/(1+'数据-取费表'!C42),4)</f>
        <v>3.8600000000000002E-2</v>
      </c>
      <c r="D25" s="464" t="s">
        <v>2834</v>
      </c>
      <c r="E25" s="471"/>
      <c r="F25" s="2882">
        <f>'数据-取费表'!B48+'数据-取费表'!B49</f>
        <v>4.0500000000000001E-2</v>
      </c>
      <c r="G25" s="2846" t="s">
        <v>2290</v>
      </c>
      <c r="H25" s="2839"/>
      <c r="I25" s="2839"/>
      <c r="J25" s="2839"/>
      <c r="K25" s="2840"/>
    </row>
    <row r="26" spans="1:14" s="2118" customFormat="1" ht="13.5" customHeight="1">
      <c r="A26" s="2876" t="s">
        <v>1861</v>
      </c>
      <c r="B26" s="3062" t="s">
        <v>2841</v>
      </c>
      <c r="C26" s="2883">
        <f ca="1">C28</f>
        <v>1703</v>
      </c>
      <c r="D26" s="469">
        <f ca="1">C27</f>
        <v>7.4899999999999994E-2</v>
      </c>
      <c r="E26" s="471" t="s">
        <v>494</v>
      </c>
      <c r="F26" s="473">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3" t="s">
        <v>1856</v>
      </c>
      <c r="B27" s="2884" t="s">
        <v>495</v>
      </c>
      <c r="C27" s="2885">
        <f ca="1">ROUND(IF('数据-取费表'!B22&lt;=1,(1+C25)*F26*'数据-取费表'!B24,(1+C25)*(POWER((1+F26),'数据-取费表'!B24)-1)),4)</f>
        <v>7.4899999999999994E-2</v>
      </c>
      <c r="D27" s="474"/>
      <c r="E27" s="475"/>
      <c r="F27" s="476"/>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3" t="s">
        <v>1857</v>
      </c>
      <c r="B28" s="2884" t="s">
        <v>2843</v>
      </c>
      <c r="C28" s="2886">
        <f ca="1">ROUND(IF('数据-取费表'!B22&lt;=1,(C18+C19+C20+C23+C24)*F26*'数据-取费表'!B24/2,(C18+C19+C20+C23+C24)*(POWER((1+F26),'数据-取费表'!B24/2)-1)),0)</f>
        <v>1703</v>
      </c>
      <c r="D28" s="474"/>
      <c r="E28" s="475"/>
      <c r="F28" s="476"/>
      <c r="G28" s="2596" t="str">
        <f>IF('数据-取费表'!B22&lt;=1,"（1）-（4）项×年利率×建设期÷2","（1）-（4）项×((1+年利率)^(建设期÷2)-1)")</f>
        <v>（1）-（4）项×((1+年利率)^(建设期÷2)-1)</v>
      </c>
      <c r="H28" s="2841"/>
      <c r="I28" s="2841"/>
      <c r="J28" s="2841"/>
      <c r="K28" s="278"/>
    </row>
    <row r="29" spans="1:14" s="2120" customFormat="1" ht="13.5" customHeight="1">
      <c r="A29" s="2887" t="s">
        <v>1862</v>
      </c>
      <c r="B29" s="2877" t="s">
        <v>496</v>
      </c>
      <c r="C29" s="2878">
        <f ca="1">ROUND(C6*F29/(1+'数据-取费表'!C42),0)</f>
        <v>8835</v>
      </c>
      <c r="D29" s="470"/>
      <c r="E29" s="470"/>
      <c r="F29" s="3063">
        <f>'数据-取费表'!B41</f>
        <v>5.6000000000000001E-2</v>
      </c>
      <c r="G29" s="2847" t="s">
        <v>497</v>
      </c>
      <c r="H29" s="2839"/>
      <c r="I29" s="2839"/>
      <c r="J29" s="2839"/>
      <c r="K29" s="2840"/>
    </row>
    <row r="30" spans="1:14" s="2121" customFormat="1" ht="13.5" customHeight="1">
      <c r="A30" s="1634" t="s">
        <v>1863</v>
      </c>
      <c r="B30" s="2888" t="s">
        <v>499</v>
      </c>
      <c r="C30" s="2883">
        <f ca="1">C31</f>
        <v>58632</v>
      </c>
      <c r="D30" s="479">
        <f ca="1">C32</f>
        <v>0.1135</v>
      </c>
      <c r="E30" s="471" t="s">
        <v>494</v>
      </c>
      <c r="F30" s="473"/>
      <c r="G30" s="2838" t="s">
        <v>500</v>
      </c>
      <c r="H30" s="2839"/>
      <c r="I30" s="2839"/>
      <c r="J30" s="2839"/>
      <c r="K30" s="2840"/>
    </row>
    <row r="31" spans="1:14" s="2120" customFormat="1" ht="13.5" customHeight="1">
      <c r="A31" s="803" t="s">
        <v>1856</v>
      </c>
      <c r="B31" s="2884"/>
      <c r="C31" s="452">
        <f ca="1">C18+C19+C20+C23+C24+C26+C29</f>
        <v>58632</v>
      </c>
      <c r="D31" s="474"/>
      <c r="E31" s="475"/>
      <c r="F31" s="476"/>
      <c r="G31" s="260"/>
      <c r="H31" s="2841"/>
      <c r="I31" s="2841"/>
      <c r="J31" s="2841"/>
      <c r="K31" s="278"/>
    </row>
    <row r="32" spans="1:14" s="2120" customFormat="1" ht="13.5" customHeight="1">
      <c r="A32" s="803" t="s">
        <v>1857</v>
      </c>
      <c r="B32" s="2884"/>
      <c r="C32" s="53">
        <f ca="1">ROUND(C25+D26,4)</f>
        <v>0.1135</v>
      </c>
      <c r="D32" s="474"/>
      <c r="E32" s="475"/>
      <c r="F32" s="476"/>
      <c r="G32" s="260"/>
      <c r="H32" s="2841"/>
      <c r="I32" s="2841"/>
      <c r="J32" s="2841"/>
      <c r="K32" s="278"/>
    </row>
    <row r="33" spans="1:11" s="2122" customFormat="1" ht="13.5" customHeight="1">
      <c r="A33" s="3060" t="s">
        <v>2838</v>
      </c>
      <c r="B33" s="3058" t="s">
        <v>2836</v>
      </c>
      <c r="C33" s="480">
        <f ca="1">C35</f>
        <v>2405</v>
      </c>
      <c r="D33" s="469">
        <f ca="1">C34</f>
        <v>5.1900000000000002E-2</v>
      </c>
      <c r="E33" s="471" t="s">
        <v>494</v>
      </c>
      <c r="F33" s="481">
        <f ca="1">IF(B1="",'数据-取费表'!Q16,INDIRECT("'数据-取费表'!q"&amp;$K$1))</f>
        <v>0.05</v>
      </c>
      <c r="G33" s="2842"/>
      <c r="H33" s="2843"/>
      <c r="I33" s="2843"/>
      <c r="J33" s="2843"/>
      <c r="K33" s="2844"/>
    </row>
    <row r="34" spans="1:11" s="2123" customFormat="1" ht="13.5" customHeight="1">
      <c r="A34" s="377" t="s">
        <v>1856</v>
      </c>
      <c r="B34" s="2889" t="s">
        <v>501</v>
      </c>
      <c r="C34" s="474">
        <f ca="1">ROUND((1+C25)*F33,4)</f>
        <v>5.1900000000000002E-2</v>
      </c>
      <c r="D34" s="474"/>
      <c r="E34" s="475"/>
      <c r="F34" s="482"/>
      <c r="G34" s="260" t="s">
        <v>2291</v>
      </c>
      <c r="H34" s="2841"/>
      <c r="I34" s="2841"/>
      <c r="J34" s="2841"/>
      <c r="K34" s="278"/>
    </row>
    <row r="35" spans="1:11" s="2123" customFormat="1" ht="13.5" customHeight="1" thickBot="1">
      <c r="A35" s="1635" t="s">
        <v>1857</v>
      </c>
      <c r="B35" s="3059" t="s">
        <v>2844</v>
      </c>
      <c r="C35" s="1627">
        <f ca="1">ROUND((C18+C19+C20+C23+C24)*F33,0)</f>
        <v>2405</v>
      </c>
      <c r="D35" s="1628"/>
      <c r="E35" s="2890"/>
      <c r="F35" s="1629"/>
      <c r="G35" s="2848"/>
      <c r="H35" s="2849"/>
      <c r="I35" s="2849"/>
      <c r="J35" s="2849"/>
      <c r="K35" s="2850"/>
    </row>
    <row r="36" spans="1:11" s="2085" customFormat="1" ht="13.5" customHeight="1" thickBot="1">
      <c r="A36" s="283" t="s">
        <v>1844</v>
      </c>
      <c r="B36" s="2852"/>
      <c r="C36" s="2891">
        <f ca="1">ROUND((C6-C30-C33)/(1+D30+D33),0)</f>
        <v>89778</v>
      </c>
      <c r="D36" s="2852"/>
      <c r="E36" s="2852"/>
      <c r="F36" s="2852"/>
      <c r="G36" s="2851" t="s">
        <v>2845</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187" t="str">
        <f>项目基本情况!B1</f>
        <v>湖南省长沙市望城区金山桥街道出让国有建设用地使用权市场价格预评估</v>
      </c>
      <c r="C37" s="3187"/>
      <c r="D37" s="3187"/>
      <c r="E37" s="3187"/>
      <c r="F37" s="3187"/>
      <c r="G37" s="3187"/>
      <c r="H37" s="3187"/>
      <c r="I37" s="3187"/>
    </row>
    <row r="38" spans="1:9">
      <c r="A38" s="1655"/>
      <c r="B38" s="1655"/>
    </row>
    <row r="39" spans="1:9">
      <c r="A39" s="1653" t="s">
        <v>1901</v>
      </c>
      <c r="B39" s="1653" t="s">
        <v>2047</v>
      </c>
    </row>
    <row r="40" spans="1:9">
      <c r="A40" s="1653"/>
      <c r="B40" s="1653">
        <f>项目基本情况!B5</f>
        <v>0</v>
      </c>
    </row>
    <row r="41" spans="1:9">
      <c r="A41" s="1653"/>
      <c r="B41" s="1653"/>
    </row>
    <row r="42" spans="1:9">
      <c r="A42" s="1653" t="s">
        <v>1901</v>
      </c>
      <c r="B42" s="1653" t="s">
        <v>2048</v>
      </c>
    </row>
    <row r="43" spans="1:9">
      <c r="A43" s="1653"/>
      <c r="B43" s="1653" t="s">
        <v>1903</v>
      </c>
    </row>
    <row r="44" spans="1:9">
      <c r="A44" s="1653"/>
      <c r="B44" s="1653"/>
    </row>
    <row r="45" spans="1:9">
      <c r="A45" s="1653" t="s">
        <v>1901</v>
      </c>
      <c r="B45" s="1653" t="s">
        <v>2046</v>
      </c>
    </row>
    <row r="46" spans="1:9" s="1653" customFormat="1" ht="12.75">
      <c r="B46" s="1653" t="str">
        <f>项目基本情况!K4</f>
        <v>欧红伟、梁津</v>
      </c>
    </row>
    <row r="47" spans="1:9">
      <c r="A47" s="1653"/>
      <c r="B47" s="1653"/>
    </row>
    <row r="48" spans="1:9">
      <c r="A48" s="1653" t="s">
        <v>1901</v>
      </c>
      <c r="B48" s="1653" t="s">
        <v>2049</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3" t="s">
        <v>465</v>
      </c>
      <c r="B1" s="2835"/>
      <c r="C1" s="2104"/>
      <c r="D1" s="2104"/>
      <c r="E1" s="2104"/>
      <c r="F1" s="2104"/>
      <c r="G1" s="2104"/>
      <c r="H1" s="2104"/>
      <c r="I1" s="2104"/>
      <c r="J1" s="2104"/>
      <c r="K1" s="424">
        <f>MATCH(B1,'数据-取费表'!A6:A16,0)+5</f>
        <v>8</v>
      </c>
    </row>
    <row r="2" spans="1:41" s="2041" customFormat="1" ht="18" customHeight="1">
      <c r="A2" s="425" t="s">
        <v>466</v>
      </c>
      <c r="B2" s="426">
        <f ca="1">C32</f>
        <v>0</v>
      </c>
      <c r="C2" s="2104"/>
      <c r="D2" s="2104"/>
      <c r="E2" s="2104"/>
      <c r="F2" s="2104"/>
      <c r="G2" s="2104"/>
      <c r="H2" s="2104"/>
      <c r="I2" s="2104"/>
      <c r="J2" s="2104"/>
      <c r="K2" s="2104"/>
    </row>
    <row r="3" spans="1:41" s="2041" customFormat="1" ht="18" customHeight="1">
      <c r="A3" s="1378" t="s">
        <v>1684</v>
      </c>
      <c r="B3" s="427">
        <f ca="1">ROUND(B2*10000/IF(B1="",'数据-汇总表'!E3,INDIRECT("'数据-取费表'!K"&amp;$K$1)),0)</f>
        <v>0</v>
      </c>
      <c r="C3" s="2104"/>
      <c r="D3" s="2104"/>
      <c r="E3" s="2104"/>
      <c r="F3" s="2104"/>
      <c r="G3" s="2104"/>
      <c r="H3" s="2104"/>
      <c r="I3" s="2104"/>
      <c r="J3" s="2104"/>
      <c r="K3" s="2104"/>
    </row>
    <row r="4" spans="1:41" s="2041" customFormat="1" ht="18" customHeight="1">
      <c r="A4" s="428" t="s">
        <v>467</v>
      </c>
      <c r="B4" s="429">
        <f ca="1">ROUND(B2*10000/IF(B1="",'数据-汇总表'!D3,INDIRECT("'数据-取费表'!R"&amp;$K$1)),0)</f>
        <v>0</v>
      </c>
      <c r="C4" s="2061"/>
      <c r="D4" s="2104"/>
      <c r="E4" s="2104"/>
      <c r="F4" s="2104"/>
      <c r="G4" s="2104"/>
      <c r="H4" s="2104"/>
      <c r="I4" s="2104"/>
      <c r="J4" s="2104"/>
      <c r="K4" s="2104"/>
    </row>
    <row r="5" spans="1:41" s="2041" customFormat="1" ht="18" customHeight="1" thickBot="1">
      <c r="A5" s="431"/>
      <c r="B5" s="432">
        <f ca="1">ROUND(B2/(IF(B1="",'数据-汇总表'!D3,INDIRECT("'数据-取费表'!R"&amp;$K$1))/666.67),0)</f>
        <v>0</v>
      </c>
      <c r="C5" s="433" t="s">
        <v>468</v>
      </c>
      <c r="D5" s="2104"/>
      <c r="E5" s="2104"/>
      <c r="F5" s="2104"/>
      <c r="G5" s="2104"/>
      <c r="H5" s="2104"/>
      <c r="I5" s="2104"/>
      <c r="J5" s="2104"/>
      <c r="K5" s="2104"/>
    </row>
    <row r="6" spans="1:41" s="2111" customFormat="1" ht="16.5" customHeight="1">
      <c r="A6" s="434" t="s">
        <v>2657</v>
      </c>
      <c r="B6" s="435"/>
      <c r="C6" s="1622">
        <f>SUM(C10:K10)</f>
        <v>0</v>
      </c>
      <c r="D6" s="2109"/>
      <c r="E6" s="2109"/>
      <c r="F6" s="2109"/>
      <c r="G6" s="2109"/>
      <c r="H6" s="2109"/>
      <c r="I6" s="2109"/>
      <c r="J6" s="2109"/>
      <c r="K6" s="2110"/>
    </row>
    <row r="7" spans="1:41" s="2113" customFormat="1" ht="15">
      <c r="A7" s="436" t="s">
        <v>469</v>
      </c>
      <c r="B7" s="437" t="s">
        <v>470</v>
      </c>
      <c r="C7" s="438"/>
      <c r="D7" s="438"/>
      <c r="E7" s="438"/>
      <c r="F7" s="438"/>
      <c r="G7" s="438"/>
      <c r="H7" s="438"/>
      <c r="I7" s="438"/>
      <c r="J7" s="438"/>
      <c r="K7" s="439"/>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40" t="s">
        <v>471</v>
      </c>
      <c r="C8" s="441"/>
      <c r="D8" s="441"/>
      <c r="E8" s="441"/>
      <c r="F8" s="441"/>
      <c r="G8" s="441"/>
      <c r="H8" s="441"/>
      <c r="I8" s="441"/>
      <c r="J8" s="441"/>
      <c r="K8" s="442"/>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40" t="s">
        <v>472</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6" t="s">
        <v>469</v>
      </c>
      <c r="B12" s="446" t="s">
        <v>470</v>
      </c>
      <c r="C12" s="447" t="s">
        <v>474</v>
      </c>
      <c r="D12" s="448" t="s">
        <v>475</v>
      </c>
      <c r="E12" s="448" t="s">
        <v>476</v>
      </c>
      <c r="F12" s="448" t="s">
        <v>477</v>
      </c>
      <c r="G12" s="446"/>
      <c r="H12" s="449"/>
      <c r="I12" s="449"/>
      <c r="J12" s="449"/>
      <c r="K12" s="450"/>
    </row>
    <row r="13" spans="1:41" s="2116" customFormat="1" ht="13.5" customHeight="1">
      <c r="A13" s="1632" t="s">
        <v>1848</v>
      </c>
      <c r="B13" s="451" t="s">
        <v>478</v>
      </c>
      <c r="C13" s="452">
        <f ca="1">IF(B1="",'数据-取费表'!M16,INDIRECT("'数据-取费表'!M"&amp;$K$1)+INDIRECT("'数据-取费表'!t"&amp;$K$1))</f>
        <v>34928</v>
      </c>
      <c r="D13" s="453"/>
      <c r="E13" s="367"/>
      <c r="F13" s="454"/>
      <c r="G13" s="446"/>
      <c r="H13" s="449"/>
      <c r="I13" s="449"/>
      <c r="J13" s="449"/>
      <c r="K13" s="450"/>
    </row>
    <row r="14" spans="1:41" s="2116" customFormat="1" ht="13.5" customHeight="1">
      <c r="A14" s="1632" t="s">
        <v>1849</v>
      </c>
      <c r="B14" s="451" t="s">
        <v>479</v>
      </c>
      <c r="C14" s="53">
        <f ca="1">ROUND(C13*F14,0)</f>
        <v>1048</v>
      </c>
      <c r="D14" s="453"/>
      <c r="E14" s="367"/>
      <c r="F14" s="455">
        <f>'数据-取费表'!B33</f>
        <v>0.03</v>
      </c>
      <c r="G14" s="446" t="s">
        <v>502</v>
      </c>
      <c r="H14" s="449"/>
      <c r="I14" s="449"/>
      <c r="J14" s="449"/>
      <c r="K14" s="450"/>
    </row>
    <row r="15" spans="1:41" s="2116" customFormat="1" ht="13.5" customHeight="1">
      <c r="A15" s="1632" t="s">
        <v>1850</v>
      </c>
      <c r="B15" s="451" t="s">
        <v>481</v>
      </c>
      <c r="C15" s="53">
        <f ca="1">ROUND(IF(B1="",SUMIF('数据-取费表'!C:C,"住宅",'数据-取费表'!M:M)*F15,IF(INDIRECT("'数据-取费表'!c"&amp;$K$1)="住宅",INDIRECT("'数据-取费表'!M"&amp;$K$1)*F15,0)),0)</f>
        <v>1012</v>
      </c>
      <c r="D15" s="453"/>
      <c r="E15" s="367"/>
      <c r="F15" s="455">
        <f>'数据-取费表'!B34</f>
        <v>0.03</v>
      </c>
      <c r="G15" s="446" t="s">
        <v>502</v>
      </c>
      <c r="H15" s="449"/>
      <c r="I15" s="449"/>
      <c r="J15" s="449"/>
      <c r="K15" s="450"/>
    </row>
    <row r="16" spans="1:41" s="2117" customFormat="1" ht="13.5" customHeight="1">
      <c r="A16" s="1632" t="s">
        <v>1851</v>
      </c>
      <c r="B16" s="451" t="s">
        <v>483</v>
      </c>
      <c r="C16" s="53">
        <f ca="1">ROUND(D16*E16/10000,0)</f>
        <v>3479</v>
      </c>
      <c r="D16" s="453">
        <f ca="1">IF(B1="",'数据-汇总表'!E3,INDIRECT("'数据-取费表'!K"&amp;$K$1)+INDIRECT("'数据-取费表'!S"&amp;$K$1))</f>
        <v>231926.37</v>
      </c>
      <c r="E16" s="53">
        <f>'数据-取费表'!B35</f>
        <v>150</v>
      </c>
      <c r="F16" s="455"/>
      <c r="G16" s="446"/>
      <c r="H16" s="449"/>
      <c r="I16" s="449"/>
      <c r="J16" s="449"/>
      <c r="K16" s="450"/>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51" t="s">
        <v>484</v>
      </c>
      <c r="C17" s="456">
        <f ca="1">ROUND(C13*F17,0)</f>
        <v>524</v>
      </c>
      <c r="D17" s="457"/>
      <c r="E17" s="456"/>
      <c r="F17" s="458">
        <f>'数据-取费表'!B36</f>
        <v>1.4999999999999999E-2</v>
      </c>
      <c r="G17" s="446" t="s">
        <v>502</v>
      </c>
      <c r="H17" s="459"/>
      <c r="I17" s="459"/>
      <c r="J17" s="459"/>
      <c r="K17" s="460"/>
    </row>
    <row r="18" spans="1:14" s="2119" customFormat="1" ht="13.5" customHeight="1">
      <c r="A18" s="1633" t="s">
        <v>1853</v>
      </c>
      <c r="B18" s="461" t="s">
        <v>486</v>
      </c>
      <c r="C18" s="462">
        <f ca="1">SUM(C13:C17)</f>
        <v>40991</v>
      </c>
      <c r="D18" s="463"/>
      <c r="E18" s="464"/>
      <c r="F18" s="464"/>
      <c r="G18" s="1326" t="s">
        <v>2433</v>
      </c>
      <c r="H18" s="449"/>
      <c r="I18" s="449"/>
      <c r="J18" s="449"/>
      <c r="K18" s="450"/>
    </row>
    <row r="19" spans="1:14" s="2119" customFormat="1" ht="13.5" customHeight="1">
      <c r="A19" s="1633" t="s">
        <v>1854</v>
      </c>
      <c r="B19" s="461" t="s">
        <v>492</v>
      </c>
      <c r="C19" s="462">
        <f ca="1">ROUND(C18*F19,0)</f>
        <v>410</v>
      </c>
      <c r="D19" s="464"/>
      <c r="E19" s="464"/>
      <c r="F19" s="468">
        <f>'数据-取费表'!B37</f>
        <v>0.01</v>
      </c>
      <c r="G19" s="446" t="s">
        <v>503</v>
      </c>
      <c r="H19" s="449"/>
      <c r="I19" s="449"/>
      <c r="J19" s="449"/>
      <c r="K19" s="450"/>
      <c r="L19" s="2121"/>
      <c r="M19" s="2121"/>
      <c r="N19" s="2121"/>
    </row>
    <row r="20" spans="1:14" s="2119" customFormat="1" ht="13.5" customHeight="1">
      <c r="A20" s="1633" t="s">
        <v>1855</v>
      </c>
      <c r="B20" s="461" t="s">
        <v>504</v>
      </c>
      <c r="C20" s="3056">
        <f>F20</f>
        <v>0.01</v>
      </c>
      <c r="D20" s="471" t="s">
        <v>505</v>
      </c>
      <c r="E20" s="471"/>
      <c r="F20" s="488">
        <f>'数据-取费表'!B38</f>
        <v>0.01</v>
      </c>
      <c r="G20" s="1326" t="s">
        <v>506</v>
      </c>
      <c r="H20" s="449"/>
      <c r="I20" s="449"/>
      <c r="J20" s="449"/>
      <c r="K20" s="450"/>
      <c r="L20" s="2121"/>
      <c r="M20" s="2121"/>
      <c r="N20" s="2121"/>
    </row>
    <row r="21" spans="1:14" s="2121" customFormat="1" ht="13.5" customHeight="1">
      <c r="A21" s="1633" t="s">
        <v>1858</v>
      </c>
      <c r="B21" s="463" t="s">
        <v>493</v>
      </c>
      <c r="C21" s="472">
        <f ca="1">C22</f>
        <v>1466</v>
      </c>
      <c r="D21" s="469">
        <f ca="1">C23</f>
        <v>4.0000000000000002E-4</v>
      </c>
      <c r="E21" s="471" t="s">
        <v>507</v>
      </c>
      <c r="F21" s="473">
        <f ca="1">'数据-取费表'!B40</f>
        <v>4.7500000000000001E-2</v>
      </c>
      <c r="G21" s="1326" t="str">
        <f>IF('数据-取费表'!B22&lt;=1,"单利计息。","复利计息。")&amp;"建造成本、管理费用及销售费用产生的利息。"</f>
        <v>复利计息。建造成本、管理费用及销售费用产生的利息。</v>
      </c>
      <c r="H21" s="449"/>
      <c r="I21" s="449"/>
      <c r="J21" s="449"/>
      <c r="K21" s="450"/>
      <c r="L21" s="2118" t="s">
        <v>2455</v>
      </c>
    </row>
    <row r="22" spans="1:14" s="2120" customFormat="1" ht="13.5" customHeight="1">
      <c r="A22" s="1632" t="s">
        <v>1848</v>
      </c>
      <c r="B22" s="1327" t="s">
        <v>2436</v>
      </c>
      <c r="C22" s="489">
        <f ca="1">ROUND(IF('数据-取费表'!B22&lt;=1,(C18+C19)*F21*'数据-取费表'!B20/2,(C18+C19)*(POWER((1+F21),'数据-取费表'!B20/2)-1)),0)</f>
        <v>1466</v>
      </c>
      <c r="D22" s="474"/>
      <c r="E22" s="475"/>
      <c r="F22" s="476"/>
      <c r="G22" s="2591" t="str">
        <f>IF('数据-取费表'!B22&lt;=1,"((1)+(2))×年利率×建设期÷2","((1)+(2))×((1+年利率)^(建设期÷2)-1)")</f>
        <v>((1)+(2))×((1+年利率)^(建设期÷2)-1)</v>
      </c>
      <c r="H22" s="459"/>
      <c r="I22" s="459"/>
      <c r="J22" s="459"/>
      <c r="K22" s="460"/>
    </row>
    <row r="23" spans="1:14" s="2120" customFormat="1" ht="13.5" customHeight="1">
      <c r="A23" s="1632" t="s">
        <v>1849</v>
      </c>
      <c r="B23" s="1327" t="s">
        <v>508</v>
      </c>
      <c r="C23" s="490">
        <f ca="1">ROUND(IF('数据-取费表'!B22&lt;=1,F20*F21*'数据-取费表'!B20/2,F20*(POWER((1+F21),'数据-取费表'!B20/2)-1)),4)</f>
        <v>4.0000000000000002E-4</v>
      </c>
      <c r="D23" s="474"/>
      <c r="E23" s="475"/>
      <c r="F23" s="476"/>
      <c r="G23" s="2591" t="str">
        <f>IF('数据-取费表'!B22&lt;=1,"销售费用率×年利率×建设期÷2","销售费用率×((1+年利率)^(建设期÷2)-1)")</f>
        <v>销售费用率×((1+年利率)^(建设期÷2)-1)</v>
      </c>
      <c r="H23" s="459"/>
      <c r="I23" s="459"/>
      <c r="J23" s="459"/>
      <c r="K23" s="460"/>
    </row>
    <row r="24" spans="1:14" s="2120" customFormat="1" ht="13.5" customHeight="1">
      <c r="A24" s="1633" t="s">
        <v>1859</v>
      </c>
      <c r="B24" s="3058" t="s">
        <v>2837</v>
      </c>
      <c r="C24" s="480">
        <f ca="1">C25</f>
        <v>2070</v>
      </c>
      <c r="D24" s="491">
        <f ca="1">C26</f>
        <v>5.0000000000000001E-4</v>
      </c>
      <c r="E24" s="471" t="s">
        <v>507</v>
      </c>
      <c r="F24" s="481">
        <f ca="1">IF(B1="",'数据-取费表'!Q16,INDIRECT("'数据-取费表'!q"&amp;$K$1))</f>
        <v>0.05</v>
      </c>
      <c r="G24" s="446"/>
      <c r="H24" s="449"/>
      <c r="I24" s="449"/>
      <c r="J24" s="449"/>
      <c r="K24" s="450"/>
    </row>
    <row r="25" spans="1:14" s="2120" customFormat="1" ht="13.5" customHeight="1">
      <c r="A25" s="1632" t="s">
        <v>1848</v>
      </c>
      <c r="B25" s="1327" t="s">
        <v>2437</v>
      </c>
      <c r="C25" s="492">
        <f ca="1">ROUND((C18+C19)*F24,0)</f>
        <v>2070</v>
      </c>
      <c r="D25" s="474"/>
      <c r="E25" s="475"/>
      <c r="F25" s="482"/>
      <c r="G25" s="1325" t="s">
        <v>2434</v>
      </c>
      <c r="H25" s="459"/>
      <c r="I25" s="459"/>
      <c r="J25" s="459"/>
      <c r="K25" s="460"/>
    </row>
    <row r="26" spans="1:14" s="2120" customFormat="1" ht="13.5" customHeight="1">
      <c r="A26" s="1632" t="s">
        <v>1849</v>
      </c>
      <c r="B26" s="1327" t="s">
        <v>509</v>
      </c>
      <c r="C26" s="493">
        <f ca="1">ROUND(F20*F24,4)</f>
        <v>5.0000000000000001E-4</v>
      </c>
      <c r="D26" s="474"/>
      <c r="E26" s="483"/>
      <c r="F26" s="482"/>
      <c r="G26" s="1325" t="s">
        <v>510</v>
      </c>
      <c r="H26" s="459"/>
      <c r="I26" s="459"/>
      <c r="J26" s="459"/>
      <c r="K26" s="460"/>
    </row>
    <row r="27" spans="1:14" s="2120" customFormat="1" ht="13.5" customHeight="1">
      <c r="A27" s="1636" t="s">
        <v>1867</v>
      </c>
      <c r="B27" s="461" t="s">
        <v>511</v>
      </c>
      <c r="C27" s="3057">
        <f>ROUND(F27/(1+'数据-取费表'!C42),4)</f>
        <v>5.33E-2</v>
      </c>
      <c r="D27" s="464" t="s">
        <v>2835</v>
      </c>
      <c r="E27" s="464"/>
      <c r="F27" s="468">
        <f>'数据-取费表'!B41</f>
        <v>5.6000000000000001E-2</v>
      </c>
      <c r="G27" s="1960" t="s">
        <v>2292</v>
      </c>
      <c r="H27" s="449"/>
      <c r="I27" s="449"/>
      <c r="J27" s="449"/>
      <c r="K27" s="450"/>
    </row>
    <row r="28" spans="1:14" s="2121" customFormat="1" ht="13.5" customHeight="1">
      <c r="A28" s="1636" t="s">
        <v>1868</v>
      </c>
      <c r="B28" s="478" t="s">
        <v>512</v>
      </c>
      <c r="C28" s="472">
        <f ca="1">ROUND((C18+C19+C21+C24)/(1-C20-D21-D24-C27),0)</f>
        <v>48020</v>
      </c>
      <c r="D28" s="479"/>
      <c r="E28" s="471"/>
      <c r="F28" s="473"/>
      <c r="G28" s="1326" t="s">
        <v>2435</v>
      </c>
      <c r="H28" s="449"/>
      <c r="I28" s="449"/>
      <c r="J28" s="449"/>
      <c r="K28" s="450"/>
    </row>
    <row r="29" spans="1:14" s="2121" customFormat="1" ht="13.5" customHeight="1">
      <c r="A29" s="1636" t="s">
        <v>1869</v>
      </c>
      <c r="B29" s="478" t="s">
        <v>513</v>
      </c>
      <c r="C29" s="494">
        <f ca="1">IF(B1="",'数据-取费表'!N16,INDIRECT("'数据-取费表'!N"&amp;$K$1))</f>
        <v>0</v>
      </c>
      <c r="D29" s="495"/>
      <c r="E29" s="496"/>
      <c r="F29" s="497"/>
      <c r="G29" s="446"/>
      <c r="H29" s="449"/>
      <c r="I29" s="449"/>
      <c r="J29" s="449"/>
      <c r="K29" s="450"/>
    </row>
    <row r="30" spans="1:14" s="2121" customFormat="1" ht="13.5" customHeight="1">
      <c r="A30" s="445">
        <v>2</v>
      </c>
      <c r="B30" s="478" t="s">
        <v>514</v>
      </c>
      <c r="C30" s="499">
        <f ca="1">ROUND(C28*C29,0)</f>
        <v>0</v>
      </c>
      <c r="D30" s="495"/>
      <c r="E30" s="500"/>
      <c r="F30" s="501"/>
      <c r="G30" s="1328" t="s">
        <v>515</v>
      </c>
      <c r="H30" s="498"/>
      <c r="I30" s="498"/>
      <c r="J30" s="449"/>
      <c r="K30" s="450"/>
    </row>
    <row r="31" spans="1:14" s="2126" customFormat="1" ht="13.5" customHeight="1">
      <c r="A31" s="2506" t="s">
        <v>1865</v>
      </c>
      <c r="B31" s="1329"/>
      <c r="C31" s="502">
        <f>ROUND(C6*F31/(1+'数据-取费表'!C42),0)</f>
        <v>0</v>
      </c>
      <c r="D31" s="1330"/>
      <c r="E31" s="1330"/>
      <c r="F31" s="503">
        <f>'数据-取费表'!B41</f>
        <v>5.6000000000000001E-2</v>
      </c>
      <c r="G31" s="1331"/>
      <c r="H31" s="1331"/>
      <c r="I31" s="1331"/>
      <c r="J31" s="1332"/>
      <c r="K31" s="1333"/>
    </row>
    <row r="32" spans="1:14" s="2085" customFormat="1" ht="13.5" customHeight="1" thickBot="1">
      <c r="A32" s="484" t="s">
        <v>1866</v>
      </c>
      <c r="B32" s="485"/>
      <c r="C32" s="486">
        <f ca="1">IF('数据-取费表'!B20&lt;=1,(C6-C30-C31)/(1+F21*'数据-取费表'!B20+F24)/(1+'数据-取费表'!B48+'数据-取费表'!B49),(C6-C30-C31)/(1+(POWER((1+F21),'数据-取费表'!B20)-1)+F24)/(1+'数据-取费表'!B48+'数据-取费表'!B49))</f>
        <v>0</v>
      </c>
      <c r="D32" s="485"/>
      <c r="E32" s="485"/>
      <c r="F32" s="485"/>
      <c r="G32" s="2507" t="s">
        <v>2456</v>
      </c>
      <c r="H32" s="485"/>
      <c r="I32" s="485"/>
      <c r="J32" s="485"/>
      <c r="K32" s="487"/>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516</v>
      </c>
      <c r="B1" s="505"/>
      <c r="C1" s="506" t="s">
        <v>597</v>
      </c>
      <c r="D1" s="507" t="s">
        <v>518</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510"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2"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30"/>
      <c r="AC3" s="430"/>
    </row>
    <row r="4" spans="1:29" s="1335" customFormat="1" ht="28.5" customHeight="1">
      <c r="A4" s="513" t="s">
        <v>520</v>
      </c>
      <c r="B4" s="429"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30"/>
    </row>
    <row r="5" spans="1:29" s="1335" customFormat="1" ht="28.5" customHeight="1" thickBot="1">
      <c r="A5" s="431"/>
      <c r="B5" s="432" t="e">
        <f>ROUND(B2/('数据-汇总表'!D3/666.67),0)</f>
        <v>#DIV/0!</v>
      </c>
      <c r="C5" s="433"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30"/>
    </row>
    <row r="6" spans="1:29" ht="15">
      <c r="A6" s="514" t="s">
        <v>521</v>
      </c>
      <c r="B6" s="515"/>
      <c r="C6" s="3374" t="s">
        <v>522</v>
      </c>
      <c r="D6" s="3375"/>
      <c r="E6" s="3398" t="s">
        <v>523</v>
      </c>
      <c r="F6" s="3399"/>
      <c r="G6" s="3374" t="s">
        <v>524</v>
      </c>
      <c r="H6" s="3375"/>
      <c r="I6" s="3374" t="s">
        <v>525</v>
      </c>
      <c r="J6" s="3375"/>
      <c r="K6" s="516" t="s">
        <v>526</v>
      </c>
      <c r="L6" s="2133"/>
      <c r="M6" s="2134"/>
      <c r="N6" s="2134"/>
      <c r="O6" s="2134"/>
      <c r="P6" s="3376" t="s">
        <v>527</v>
      </c>
      <c r="Q6" s="3377"/>
      <c r="R6" s="3362" t="s">
        <v>523</v>
      </c>
      <c r="S6" s="3363"/>
      <c r="T6" s="3362" t="s">
        <v>524</v>
      </c>
      <c r="U6" s="3363"/>
      <c r="V6" s="3382" t="s">
        <v>525</v>
      </c>
      <c r="W6" s="3382"/>
      <c r="X6" s="1566"/>
      <c r="Y6" s="3362" t="s">
        <v>527</v>
      </c>
      <c r="Z6" s="3363"/>
      <c r="AA6" s="3357" t="s">
        <v>523</v>
      </c>
      <c r="AB6" s="3358" t="s">
        <v>524</v>
      </c>
      <c r="AC6" s="3357" t="s">
        <v>525</v>
      </c>
    </row>
    <row r="7" spans="1:29" ht="15">
      <c r="A7" s="517"/>
      <c r="B7" s="518"/>
      <c r="C7" s="3385" t="s">
        <v>2929</v>
      </c>
      <c r="D7" s="3386"/>
      <c r="E7" s="3400" t="s">
        <v>2930</v>
      </c>
      <c r="F7" s="3401"/>
      <c r="G7" s="3385" t="s">
        <v>2931</v>
      </c>
      <c r="H7" s="3386"/>
      <c r="I7" s="3385" t="s">
        <v>2932</v>
      </c>
      <c r="J7" s="3386"/>
      <c r="K7" s="516"/>
      <c r="L7" s="2133"/>
      <c r="M7" s="2134"/>
      <c r="N7" s="2134"/>
      <c r="O7" s="2134"/>
      <c r="P7" s="3378"/>
      <c r="Q7" s="3379"/>
      <c r="R7" s="3364"/>
      <c r="S7" s="3365"/>
      <c r="T7" s="3364"/>
      <c r="U7" s="3365"/>
      <c r="V7" s="3382"/>
      <c r="W7" s="3382"/>
      <c r="X7" s="1566"/>
      <c r="Y7" s="3364"/>
      <c r="Z7" s="3365"/>
      <c r="AA7" s="3358"/>
      <c r="AB7" s="3358"/>
      <c r="AC7" s="3358"/>
    </row>
    <row r="8" spans="1:29" ht="15.75" thickBot="1">
      <c r="A8" s="519"/>
      <c r="B8" s="520"/>
      <c r="C8" s="3383" t="s">
        <v>2933</v>
      </c>
      <c r="D8" s="3384"/>
      <c r="E8" s="3402" t="s">
        <v>2933</v>
      </c>
      <c r="F8" s="3403"/>
      <c r="G8" s="3383" t="s">
        <v>2933</v>
      </c>
      <c r="H8" s="3384"/>
      <c r="I8" s="3383" t="s">
        <v>2933</v>
      </c>
      <c r="J8" s="3384"/>
      <c r="K8" s="516" t="s">
        <v>528</v>
      </c>
      <c r="L8" s="2133"/>
      <c r="M8" s="2134"/>
      <c r="N8" s="2134"/>
      <c r="O8" s="2134"/>
      <c r="P8" s="3380"/>
      <c r="Q8" s="3381"/>
      <c r="R8" s="3364"/>
      <c r="S8" s="3365"/>
      <c r="T8" s="3366"/>
      <c r="U8" s="3367"/>
      <c r="V8" s="3382"/>
      <c r="W8" s="3382"/>
      <c r="X8" s="1566"/>
      <c r="Y8" s="3366"/>
      <c r="Z8" s="3367"/>
      <c r="AA8" s="3359"/>
      <c r="AB8" s="3359"/>
      <c r="AC8" s="3359"/>
    </row>
    <row r="9" spans="1:29" s="1219" customFormat="1" ht="15.75" thickBot="1">
      <c r="A9" s="2938"/>
      <c r="B9" s="2945" t="s">
        <v>529</v>
      </c>
      <c r="C9" s="521">
        <f>'数据-取费表'!B2</f>
        <v>43083</v>
      </c>
      <c r="D9" s="522">
        <v>100</v>
      </c>
      <c r="E9" s="523"/>
      <c r="F9" s="524">
        <f>SUMIF(67:67,YEAR(E9)&amp;"-"&amp;INT((MONTH(E9)+2)/3),68:68)</f>
        <v>0</v>
      </c>
      <c r="G9" s="525"/>
      <c r="H9" s="522">
        <f>SUMIF(67:67,YEAR(G9)&amp;"-"&amp;INT((MONTH(G9)+2)/3),68:68)</f>
        <v>0</v>
      </c>
      <c r="I9" s="525"/>
      <c r="J9" s="522">
        <f>SUMIF(67:67,YEAR(I9)&amp;"-"&amp;INT((MONTH(I9)+2)/3),68:68)</f>
        <v>0</v>
      </c>
      <c r="K9" s="526"/>
      <c r="L9" s="2135"/>
      <c r="M9" s="2136"/>
      <c r="N9" s="2136"/>
      <c r="O9" s="2136"/>
      <c r="P9" s="3360" t="s">
        <v>530</v>
      </c>
      <c r="Q9" s="3369"/>
      <c r="R9" s="1567" t="s">
        <v>8</v>
      </c>
      <c r="S9" s="1568">
        <f t="shared" ref="S9:S17" si="0">F9</f>
        <v>0</v>
      </c>
      <c r="T9" s="1567" t="s">
        <v>8</v>
      </c>
      <c r="U9" s="1568">
        <f t="shared" ref="U9:U17" si="1">H9</f>
        <v>0</v>
      </c>
      <c r="V9" s="1567" t="s">
        <v>8</v>
      </c>
      <c r="W9" s="1568">
        <f t="shared" ref="W9:W17" si="2">J9</f>
        <v>0</v>
      </c>
      <c r="X9" s="1569"/>
      <c r="Y9" s="3360" t="s">
        <v>530</v>
      </c>
      <c r="Z9" s="3361"/>
      <c r="AA9" s="1570" t="e">
        <f>D9/F9</f>
        <v>#DIV/0!</v>
      </c>
      <c r="AB9" s="1570" t="e">
        <f>D9/H9</f>
        <v>#DIV/0!</v>
      </c>
      <c r="AC9" s="1570" t="e">
        <f>D9/J9</f>
        <v>#DIV/0!</v>
      </c>
    </row>
    <row r="10" spans="1:29" s="1219" customFormat="1" ht="15.75" thickBot="1">
      <c r="A10" s="2939"/>
      <c r="B10" s="2946" t="s">
        <v>531</v>
      </c>
      <c r="C10" s="527" t="s">
        <v>532</v>
      </c>
      <c r="D10" s="522">
        <v>100</v>
      </c>
      <c r="E10" s="527"/>
      <c r="F10" s="524">
        <f>SUMIF(70:70,E10,71:71)-SUMIF(70:70,C10,71:71)+100</f>
        <v>0</v>
      </c>
      <c r="G10" s="527"/>
      <c r="H10" s="522">
        <f>SUMIF(70:70,G10,71:71)-SUMIF(70:70,C10,71:71)+100</f>
        <v>0</v>
      </c>
      <c r="I10" s="527"/>
      <c r="J10" s="522">
        <f>SUMIF(70:70,I10,71:71)-SUMIF(70:70,C10,71:71)+100</f>
        <v>0</v>
      </c>
      <c r="K10" s="526"/>
      <c r="L10" s="2135"/>
      <c r="M10" s="2136"/>
      <c r="N10" s="2136"/>
      <c r="O10" s="2136"/>
      <c r="P10" s="3360" t="s">
        <v>533</v>
      </c>
      <c r="Q10" s="3361"/>
      <c r="R10" s="1567" t="s">
        <v>8</v>
      </c>
      <c r="S10" s="1568">
        <f t="shared" si="0"/>
        <v>0</v>
      </c>
      <c r="T10" s="1567" t="s">
        <v>8</v>
      </c>
      <c r="U10" s="1568">
        <f t="shared" si="1"/>
        <v>0</v>
      </c>
      <c r="V10" s="1567" t="s">
        <v>8</v>
      </c>
      <c r="W10" s="1568">
        <f t="shared" si="2"/>
        <v>0</v>
      </c>
      <c r="X10" s="1569"/>
      <c r="Y10" s="3360" t="s">
        <v>533</v>
      </c>
      <c r="Z10" s="3361"/>
      <c r="AA10" s="1570" t="e">
        <f t="shared" ref="AA10:AA42" si="3">D10/F10</f>
        <v>#DIV/0!</v>
      </c>
      <c r="AB10" s="1570" t="e">
        <f t="shared" ref="AB10:AB42" si="4">D10/H10</f>
        <v>#DIV/0!</v>
      </c>
      <c r="AC10" s="1570" t="e">
        <f t="shared" ref="AC10:AC42" si="5">D10/J10</f>
        <v>#DIV/0!</v>
      </c>
    </row>
    <row r="11" spans="1:29" s="1219" customFormat="1" ht="15">
      <c r="A11" s="2940"/>
      <c r="B11" s="2947" t="s">
        <v>2761</v>
      </c>
      <c r="C11" s="528"/>
      <c r="D11" s="253">
        <v>100</v>
      </c>
      <c r="E11" s="528"/>
      <c r="F11" s="253">
        <f>SUMIF(72:72,E11,73:73)-SUMIF(72:72,C11,73:73)+100</f>
        <v>100</v>
      </c>
      <c r="G11" s="528"/>
      <c r="H11" s="253">
        <f>SUMIF(72:72,G11,73:73)-SUMIF(72:72,C11,73:73)+100</f>
        <v>100</v>
      </c>
      <c r="I11" s="528"/>
      <c r="J11" s="253">
        <f>SUMIF(72:72,I11,73:73)-SUMIF(72:72,C11,73:73)+100</f>
        <v>100</v>
      </c>
      <c r="K11" s="526"/>
      <c r="L11" s="2135"/>
      <c r="M11" s="2136"/>
      <c r="N11" s="2136"/>
      <c r="O11" s="2137"/>
      <c r="P11" s="3368" t="s">
        <v>535</v>
      </c>
      <c r="Q11" s="1150" t="str">
        <f t="shared" ref="Q11:Q17" si="6">B11</f>
        <v>用途</v>
      </c>
      <c r="R11" s="1567" t="s">
        <v>8</v>
      </c>
      <c r="S11" s="1568">
        <f t="shared" si="0"/>
        <v>100</v>
      </c>
      <c r="T11" s="1567" t="s">
        <v>8</v>
      </c>
      <c r="U11" s="1568">
        <f t="shared" si="1"/>
        <v>100</v>
      </c>
      <c r="V11" s="1567" t="s">
        <v>8</v>
      </c>
      <c r="W11" s="1568">
        <f t="shared" si="2"/>
        <v>100</v>
      </c>
      <c r="X11" s="1569"/>
      <c r="Y11" s="3325" t="s">
        <v>536</v>
      </c>
      <c r="Z11" s="1149" t="str">
        <f t="shared" ref="Z11:Z17" si="7">Q11</f>
        <v>用途</v>
      </c>
      <c r="AA11" s="1570">
        <f t="shared" si="3"/>
        <v>1</v>
      </c>
      <c r="AB11" s="1570">
        <f t="shared" si="4"/>
        <v>1</v>
      </c>
      <c r="AC11" s="1570">
        <f t="shared" si="5"/>
        <v>1</v>
      </c>
    </row>
    <row r="12" spans="1:29" s="1337" customFormat="1" ht="27">
      <c r="A12" s="2941"/>
      <c r="B12" s="2946" t="s">
        <v>2762</v>
      </c>
      <c r="C12" s="530"/>
      <c r="D12" s="254">
        <v>100</v>
      </c>
      <c r="E12" s="530"/>
      <c r="F12" s="254">
        <f>ROUND(100/'数据-取费表'!G16,0)</f>
        <v>100</v>
      </c>
      <c r="G12" s="530"/>
      <c r="H12" s="254">
        <f>ROUND(100/'数据-取费表'!G16,0)</f>
        <v>100</v>
      </c>
      <c r="I12" s="530"/>
      <c r="J12" s="254">
        <f>ROUND(100/'数据-取费表'!G16,0)</f>
        <v>100</v>
      </c>
      <c r="K12" s="531"/>
      <c r="L12" s="2138"/>
      <c r="M12" s="2178"/>
      <c r="N12" s="2178"/>
      <c r="O12" s="2139"/>
      <c r="P12" s="3368"/>
      <c r="Q12" s="1150" t="str">
        <f t="shared" si="6"/>
        <v>土地使用年限（年）</v>
      </c>
      <c r="R12" s="1567" t="s">
        <v>8</v>
      </c>
      <c r="S12" s="1568">
        <f t="shared" si="0"/>
        <v>100</v>
      </c>
      <c r="T12" s="1567" t="s">
        <v>8</v>
      </c>
      <c r="U12" s="1568">
        <f t="shared" si="1"/>
        <v>100</v>
      </c>
      <c r="V12" s="1567" t="s">
        <v>8</v>
      </c>
      <c r="W12" s="1568">
        <f t="shared" si="2"/>
        <v>100</v>
      </c>
      <c r="X12" s="1569"/>
      <c r="Y12" s="3325"/>
      <c r="Z12" s="1149" t="str">
        <f t="shared" si="7"/>
        <v>土地使用年限（年）</v>
      </c>
      <c r="AA12" s="1570">
        <f t="shared" si="3"/>
        <v>1</v>
      </c>
      <c r="AB12" s="1570">
        <f t="shared" si="4"/>
        <v>1</v>
      </c>
      <c r="AC12" s="1570">
        <f t="shared" si="5"/>
        <v>1</v>
      </c>
    </row>
    <row r="13" spans="1:29" ht="15">
      <c r="A13" s="2942"/>
      <c r="B13" s="2946" t="s">
        <v>2763</v>
      </c>
      <c r="C13" s="533"/>
      <c r="D13" s="254">
        <v>100</v>
      </c>
      <c r="E13" s="533"/>
      <c r="F13" s="254" t="e">
        <f>LOOKUP(E13,77:77,78:78)-LOOKUP(C13,77:77,78:78)+100</f>
        <v>#N/A</v>
      </c>
      <c r="G13" s="534"/>
      <c r="H13" s="254" t="e">
        <f>LOOKUP(G13,77:77,78:78)-LOOKUP(C13,77:77,78:78)+100</f>
        <v>#N/A</v>
      </c>
      <c r="I13" s="533"/>
      <c r="J13" s="254" t="e">
        <f>LOOKUP(I13,77:77,78:78)-LOOKUP(C13,77:77,78:78)+100</f>
        <v>#N/A</v>
      </c>
      <c r="K13" s="535"/>
      <c r="L13" s="2140"/>
      <c r="M13" s="2134"/>
      <c r="N13" s="2134"/>
      <c r="O13" s="2141"/>
      <c r="P13" s="3368"/>
      <c r="Q13" s="1150" t="str">
        <f t="shared" si="6"/>
        <v>容积率</v>
      </c>
      <c r="R13" s="1567" t="s">
        <v>8</v>
      </c>
      <c r="S13" s="1568" t="e">
        <f t="shared" si="0"/>
        <v>#N/A</v>
      </c>
      <c r="T13" s="1567" t="s">
        <v>8</v>
      </c>
      <c r="U13" s="1568" t="e">
        <f t="shared" si="1"/>
        <v>#N/A</v>
      </c>
      <c r="V13" s="1567" t="s">
        <v>8</v>
      </c>
      <c r="W13" s="1568" t="e">
        <f t="shared" si="2"/>
        <v>#N/A</v>
      </c>
      <c r="X13" s="1569"/>
      <c r="Y13" s="3325"/>
      <c r="Z13" s="1149" t="str">
        <f t="shared" si="7"/>
        <v>容积率</v>
      </c>
      <c r="AA13" s="1570" t="e">
        <f t="shared" si="3"/>
        <v>#N/A</v>
      </c>
      <c r="AB13" s="1570" t="e">
        <f t="shared" si="4"/>
        <v>#N/A</v>
      </c>
      <c r="AC13" s="1570" t="e">
        <f t="shared" si="5"/>
        <v>#N/A</v>
      </c>
    </row>
    <row r="14" spans="1:29" s="1219" customFormat="1" ht="15">
      <c r="A14" s="2943"/>
      <c r="B14" s="2949">
        <v>111</v>
      </c>
      <c r="C14" s="530"/>
      <c r="D14" s="538">
        <v>100</v>
      </c>
      <c r="E14" s="541"/>
      <c r="F14" s="254">
        <f>SUMIF(79:79,E14,80:80)-SUMIF(79:79,C14,80:80)+100</f>
        <v>100</v>
      </c>
      <c r="G14" s="542"/>
      <c r="H14" s="254">
        <f>SUMIF(79:79,G14,80:80)-SUMIF(79:79,C14,80:80)+100</f>
        <v>100</v>
      </c>
      <c r="I14" s="541"/>
      <c r="J14" s="254">
        <f>SUMIF(79:79,I14,80:80)-SUMIF(79:79,C14,80:80)+100</f>
        <v>100</v>
      </c>
      <c r="K14" s="531"/>
      <c r="L14" s="2135"/>
      <c r="M14" s="2136"/>
      <c r="N14" s="2136"/>
      <c r="O14" s="2137"/>
      <c r="P14" s="3368"/>
      <c r="Q14" s="1150">
        <f t="shared" si="6"/>
        <v>111</v>
      </c>
      <c r="R14" s="1567" t="s">
        <v>8</v>
      </c>
      <c r="S14" s="1568">
        <f t="shared" si="0"/>
        <v>100</v>
      </c>
      <c r="T14" s="1567" t="s">
        <v>8</v>
      </c>
      <c r="U14" s="1568">
        <f t="shared" si="1"/>
        <v>100</v>
      </c>
      <c r="V14" s="1567" t="s">
        <v>8</v>
      </c>
      <c r="W14" s="1568">
        <f t="shared" si="2"/>
        <v>100</v>
      </c>
      <c r="X14" s="1569"/>
      <c r="Y14" s="3325"/>
      <c r="Z14" s="1149">
        <f t="shared" si="7"/>
        <v>111</v>
      </c>
      <c r="AA14" s="1570">
        <f>D14/F14</f>
        <v>1</v>
      </c>
      <c r="AB14" s="1570">
        <f>D14/H14</f>
        <v>1</v>
      </c>
      <c r="AC14" s="1570">
        <f>D14/J14</f>
        <v>1</v>
      </c>
    </row>
    <row r="15" spans="1:29" ht="15">
      <c r="A15" s="2943"/>
      <c r="B15" s="2949">
        <v>111</v>
      </c>
      <c r="C15" s="539"/>
      <c r="D15" s="540">
        <v>100</v>
      </c>
      <c r="E15" s="541"/>
      <c r="F15" s="254">
        <f>SUMIF(81:81,E15,82:82)-SUMIF(81:81,C15,82:82)+100</f>
        <v>100</v>
      </c>
      <c r="G15" s="542"/>
      <c r="H15" s="540">
        <f>SUMIF(81:81,G15,82:82)-SUMIF(81:81,C15,82:82)+100</f>
        <v>100</v>
      </c>
      <c r="I15" s="541"/>
      <c r="J15" s="540">
        <f>SUMIF(81:81,I15,82:82)-SUMIF(81:81,C15,82:82)+100</f>
        <v>100</v>
      </c>
      <c r="K15" s="531"/>
      <c r="L15" s="2142"/>
      <c r="M15" s="2134"/>
      <c r="N15" s="2134"/>
      <c r="O15" s="2141"/>
      <c r="P15" s="3368"/>
      <c r="Q15" s="1150">
        <f t="shared" si="6"/>
        <v>111</v>
      </c>
      <c r="R15" s="1567" t="s">
        <v>8</v>
      </c>
      <c r="S15" s="1568">
        <f t="shared" si="0"/>
        <v>100</v>
      </c>
      <c r="T15" s="1567" t="s">
        <v>8</v>
      </c>
      <c r="U15" s="1568">
        <f t="shared" si="1"/>
        <v>100</v>
      </c>
      <c r="V15" s="1567" t="s">
        <v>8</v>
      </c>
      <c r="W15" s="1568">
        <f t="shared" si="2"/>
        <v>100</v>
      </c>
      <c r="X15" s="1569"/>
      <c r="Y15" s="3325"/>
      <c r="Z15" s="1149">
        <f t="shared" si="7"/>
        <v>111</v>
      </c>
      <c r="AA15" s="1570">
        <f t="shared" si="3"/>
        <v>1</v>
      </c>
      <c r="AB15" s="1570">
        <f t="shared" si="4"/>
        <v>1</v>
      </c>
      <c r="AC15" s="1570">
        <f t="shared" si="5"/>
        <v>1</v>
      </c>
    </row>
    <row r="16" spans="1:29" ht="15.75" thickBot="1">
      <c r="A16" s="2944"/>
      <c r="B16" s="2950">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8"/>
      <c r="Q16" s="1150">
        <f t="shared" si="6"/>
        <v>111</v>
      </c>
      <c r="R16" s="1567" t="s">
        <v>8</v>
      </c>
      <c r="S16" s="1568">
        <f t="shared" si="0"/>
        <v>100</v>
      </c>
      <c r="T16" s="1567" t="s">
        <v>8</v>
      </c>
      <c r="U16" s="1568">
        <f t="shared" si="1"/>
        <v>100</v>
      </c>
      <c r="V16" s="1567" t="s">
        <v>8</v>
      </c>
      <c r="W16" s="1568">
        <f t="shared" si="2"/>
        <v>100</v>
      </c>
      <c r="X16" s="1569"/>
      <c r="Y16" s="3325"/>
      <c r="Z16" s="1149">
        <f t="shared" si="7"/>
        <v>111</v>
      </c>
      <c r="AA16" s="1570">
        <f t="shared" si="3"/>
        <v>1</v>
      </c>
      <c r="AB16" s="1570">
        <f t="shared" si="4"/>
        <v>1</v>
      </c>
      <c r="AC16" s="1570">
        <f t="shared" si="5"/>
        <v>1</v>
      </c>
    </row>
    <row r="17" spans="1:29" ht="57">
      <c r="A17" s="2936" t="s">
        <v>2759</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70" t="s">
        <v>540</v>
      </c>
      <c r="Q17" s="1571" t="str">
        <f t="shared" si="6"/>
        <v>产业集聚程度</v>
      </c>
      <c r="R17" s="1572" t="s">
        <v>8</v>
      </c>
      <c r="S17" s="1573">
        <f t="shared" si="0"/>
        <v>100</v>
      </c>
      <c r="T17" s="1572" t="s">
        <v>8</v>
      </c>
      <c r="U17" s="1573">
        <f t="shared" si="1"/>
        <v>100</v>
      </c>
      <c r="V17" s="1572" t="s">
        <v>8</v>
      </c>
      <c r="W17" s="1573">
        <f t="shared" si="2"/>
        <v>100</v>
      </c>
      <c r="X17" s="1566"/>
      <c r="Y17" s="3370" t="s">
        <v>540</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371"/>
      <c r="Q18" s="1571"/>
      <c r="R18" s="1572"/>
      <c r="S18" s="1573"/>
      <c r="T18" s="1572"/>
      <c r="U18" s="1573"/>
      <c r="V18" s="1572"/>
      <c r="W18" s="1573"/>
      <c r="X18" s="1566"/>
      <c r="Y18" s="3371"/>
      <c r="Z18" s="1574"/>
      <c r="AA18" s="1575">
        <v>1</v>
      </c>
      <c r="AB18" s="1575">
        <v>1</v>
      </c>
      <c r="AC18" s="1575">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371"/>
      <c r="Q19" s="1571" t="str">
        <f>B19</f>
        <v>交通便捷度</v>
      </c>
      <c r="R19" s="1572" t="s">
        <v>8</v>
      </c>
      <c r="S19" s="1573">
        <f>F19</f>
        <v>100</v>
      </c>
      <c r="T19" s="1572" t="s">
        <v>8</v>
      </c>
      <c r="U19" s="1573">
        <f>H19</f>
        <v>100</v>
      </c>
      <c r="V19" s="1572" t="s">
        <v>8</v>
      </c>
      <c r="W19" s="1573">
        <f>J19</f>
        <v>100</v>
      </c>
      <c r="X19" s="1566"/>
      <c r="Y19" s="3371"/>
      <c r="Z19" s="1574" t="str">
        <f>Q19</f>
        <v>交通便捷度</v>
      </c>
      <c r="AA19" s="1575">
        <f t="shared" si="3"/>
        <v>1</v>
      </c>
      <c r="AB19" s="1575">
        <f t="shared" si="4"/>
        <v>1</v>
      </c>
      <c r="AC19" s="1575">
        <f t="shared" si="5"/>
        <v>1</v>
      </c>
    </row>
    <row r="20" spans="1:29" ht="15">
      <c r="A20" s="532"/>
      <c r="B20" s="921"/>
      <c r="C20" s="576"/>
      <c r="D20" s="555"/>
      <c r="E20" s="556"/>
      <c r="F20" s="555"/>
      <c r="G20" s="556"/>
      <c r="H20" s="555"/>
      <c r="I20" s="558"/>
      <c r="J20" s="555"/>
      <c r="K20" s="531"/>
      <c r="L20" s="2142"/>
      <c r="M20" s="2134"/>
      <c r="N20" s="2134"/>
      <c r="O20" s="2141"/>
      <c r="P20" s="3371"/>
      <c r="Q20" s="1571"/>
      <c r="R20" s="1572"/>
      <c r="S20" s="1573"/>
      <c r="T20" s="1572"/>
      <c r="U20" s="1573"/>
      <c r="V20" s="1572"/>
      <c r="W20" s="1573"/>
      <c r="X20" s="1566"/>
      <c r="Y20" s="3371"/>
      <c r="Z20" s="1574"/>
      <c r="AA20" s="1575">
        <v>1</v>
      </c>
      <c r="AB20" s="1575">
        <v>1</v>
      </c>
      <c r="AC20" s="1575">
        <v>1</v>
      </c>
    </row>
    <row r="21" spans="1:29" ht="27">
      <c r="A21" s="517"/>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371"/>
      <c r="Q21" s="1571" t="str">
        <f t="shared" ref="Q21:Q35" si="8">B21</f>
        <v>区域土地利用方向</v>
      </c>
      <c r="R21" s="1572" t="s">
        <v>8</v>
      </c>
      <c r="S21" s="1573">
        <f>F21</f>
        <v>100</v>
      </c>
      <c r="T21" s="1572" t="s">
        <v>8</v>
      </c>
      <c r="U21" s="1573">
        <f>H21</f>
        <v>100</v>
      </c>
      <c r="V21" s="1572" t="s">
        <v>8</v>
      </c>
      <c r="W21" s="1573">
        <f>J21</f>
        <v>100</v>
      </c>
      <c r="X21" s="1566"/>
      <c r="Y21" s="3371"/>
      <c r="Z21" s="1574" t="str">
        <f>Q21</f>
        <v>区域土地利用方向</v>
      </c>
      <c r="AA21" s="1575">
        <f t="shared" si="3"/>
        <v>1</v>
      </c>
      <c r="AB21" s="1575">
        <f t="shared" si="4"/>
        <v>1</v>
      </c>
      <c r="AC21" s="1575">
        <f t="shared" si="5"/>
        <v>1</v>
      </c>
    </row>
    <row r="22" spans="1:29" ht="15">
      <c r="A22" s="517"/>
      <c r="B22" s="595"/>
      <c r="C22" s="576"/>
      <c r="D22" s="555"/>
      <c r="E22" s="556"/>
      <c r="F22" s="557"/>
      <c r="G22" s="558"/>
      <c r="H22" s="557"/>
      <c r="I22" s="558"/>
      <c r="J22" s="557"/>
      <c r="K22" s="1347"/>
      <c r="L22" s="2142"/>
      <c r="M22" s="2134"/>
      <c r="N22" s="2134"/>
      <c r="O22" s="2141"/>
      <c r="P22" s="3371"/>
      <c r="Q22" s="1571"/>
      <c r="R22" s="1572"/>
      <c r="S22" s="1573"/>
      <c r="T22" s="1572"/>
      <c r="U22" s="1573"/>
      <c r="V22" s="1572"/>
      <c r="W22" s="1573"/>
      <c r="X22" s="1566"/>
      <c r="Y22" s="3371"/>
      <c r="Z22" s="1574"/>
      <c r="AA22" s="1575"/>
      <c r="AB22" s="1575"/>
      <c r="AC22" s="1575"/>
    </row>
    <row r="23" spans="1:29" ht="71.25">
      <c r="A23" s="517"/>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371"/>
      <c r="Q23" s="1571" t="str">
        <f t="shared" si="8"/>
        <v>环境状况</v>
      </c>
      <c r="R23" s="1572" t="s">
        <v>8</v>
      </c>
      <c r="S23" s="1573">
        <f>F23</f>
        <v>100</v>
      </c>
      <c r="T23" s="1572" t="s">
        <v>8</v>
      </c>
      <c r="U23" s="1573">
        <f>H23</f>
        <v>100</v>
      </c>
      <c r="V23" s="1572" t="s">
        <v>8</v>
      </c>
      <c r="W23" s="1573">
        <f>J23</f>
        <v>100</v>
      </c>
      <c r="X23" s="1566"/>
      <c r="Y23" s="3371"/>
      <c r="Z23" s="1574" t="str">
        <f>Q23</f>
        <v>环境状况</v>
      </c>
      <c r="AA23" s="1575">
        <f t="shared" si="3"/>
        <v>1</v>
      </c>
      <c r="AB23" s="1575">
        <f t="shared" si="4"/>
        <v>1</v>
      </c>
      <c r="AC23" s="1575">
        <f t="shared" si="5"/>
        <v>1</v>
      </c>
    </row>
    <row r="24" spans="1:29" ht="15">
      <c r="A24" s="517"/>
      <c r="B24" s="595"/>
      <c r="C24" s="576"/>
      <c r="D24" s="555"/>
      <c r="E24" s="554"/>
      <c r="F24" s="555"/>
      <c r="G24" s="554"/>
      <c r="H24" s="555"/>
      <c r="I24" s="576"/>
      <c r="J24" s="555"/>
      <c r="K24" s="531"/>
      <c r="L24" s="2142"/>
      <c r="M24" s="2134"/>
      <c r="N24" s="2134"/>
      <c r="O24" s="2141"/>
      <c r="P24" s="3371"/>
      <c r="Q24" s="1571"/>
      <c r="R24" s="1572"/>
      <c r="S24" s="1573"/>
      <c r="T24" s="1572"/>
      <c r="U24" s="1573"/>
      <c r="V24" s="1572"/>
      <c r="W24" s="1573"/>
      <c r="X24" s="1566"/>
      <c r="Y24" s="3371"/>
      <c r="Z24" s="1574"/>
      <c r="AA24" s="1575">
        <v>1</v>
      </c>
      <c r="AB24" s="1575">
        <v>1</v>
      </c>
      <c r="AC24" s="1575">
        <v>1</v>
      </c>
    </row>
    <row r="25" spans="1:29" s="1219" customFormat="1" ht="42.75">
      <c r="A25" s="577"/>
      <c r="B25" s="2617"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371"/>
      <c r="Q25" s="1150" t="str">
        <f t="shared" si="8"/>
        <v>公共配套设施</v>
      </c>
      <c r="R25" s="1567" t="s">
        <v>8</v>
      </c>
      <c r="S25" s="1568">
        <f>F25</f>
        <v>100</v>
      </c>
      <c r="T25" s="1567" t="s">
        <v>8</v>
      </c>
      <c r="U25" s="1568">
        <f>H25</f>
        <v>100</v>
      </c>
      <c r="V25" s="1567" t="s">
        <v>8</v>
      </c>
      <c r="W25" s="1568">
        <f>J25</f>
        <v>100</v>
      </c>
      <c r="X25" s="1569"/>
      <c r="Y25" s="3371"/>
      <c r="Z25" s="1149" t="str">
        <f>Q25</f>
        <v>公共配套设施</v>
      </c>
      <c r="AA25" s="1575">
        <f>D25/F25</f>
        <v>1</v>
      </c>
      <c r="AB25" s="1575">
        <f>D25/H25</f>
        <v>1</v>
      </c>
      <c r="AC25" s="1575">
        <f>D25/J25</f>
        <v>1</v>
      </c>
    </row>
    <row r="26" spans="1:29" s="1219" customFormat="1" ht="15">
      <c r="A26" s="577"/>
      <c r="B26" s="595"/>
      <c r="C26" s="2616"/>
      <c r="D26" s="555"/>
      <c r="E26" s="554"/>
      <c r="F26" s="555"/>
      <c r="G26" s="554"/>
      <c r="H26" s="555"/>
      <c r="I26" s="576"/>
      <c r="J26" s="555"/>
      <c r="K26" s="531"/>
      <c r="L26" s="2135"/>
      <c r="M26" s="2136"/>
      <c r="N26" s="2136"/>
      <c r="O26" s="2137"/>
      <c r="P26" s="3371"/>
      <c r="Q26" s="1150"/>
      <c r="R26" s="1567"/>
      <c r="S26" s="1568"/>
      <c r="T26" s="1567"/>
      <c r="U26" s="1568"/>
      <c r="V26" s="1567"/>
      <c r="W26" s="1568"/>
      <c r="X26" s="1569"/>
      <c r="Y26" s="3371"/>
      <c r="Z26" s="1149"/>
      <c r="AA26" s="1570">
        <v>1</v>
      </c>
      <c r="AB26" s="1570">
        <v>1</v>
      </c>
      <c r="AC26" s="1570">
        <v>1</v>
      </c>
    </row>
    <row r="27" spans="1:29" s="1219" customFormat="1" ht="28.5">
      <c r="A27" s="577"/>
      <c r="B27" s="2617"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371"/>
      <c r="Q27" s="2602" t="str">
        <f t="shared" ref="Q27" si="9">B27</f>
        <v>基础设施水平</v>
      </c>
      <c r="R27" s="1567" t="s">
        <v>8</v>
      </c>
      <c r="S27" s="1568">
        <f>F27</f>
        <v>100</v>
      </c>
      <c r="T27" s="1567" t="s">
        <v>8</v>
      </c>
      <c r="U27" s="1568">
        <f>H27</f>
        <v>100</v>
      </c>
      <c r="V27" s="1567" t="s">
        <v>8</v>
      </c>
      <c r="W27" s="1568">
        <f>J27</f>
        <v>100</v>
      </c>
      <c r="X27" s="1569"/>
      <c r="Y27" s="3371"/>
      <c r="Z27" s="2599" t="str">
        <f>Q27</f>
        <v>基础设施水平</v>
      </c>
      <c r="AA27" s="1575">
        <f>D27/F27</f>
        <v>1</v>
      </c>
      <c r="AB27" s="1575">
        <f>D27/H27</f>
        <v>1</v>
      </c>
      <c r="AC27" s="1575">
        <f>D27/J27</f>
        <v>1</v>
      </c>
    </row>
    <row r="28" spans="1:29" s="1219" customFormat="1" ht="15">
      <c r="A28" s="577"/>
      <c r="B28" s="595"/>
      <c r="C28" s="2616"/>
      <c r="D28" s="555"/>
      <c r="E28" s="579"/>
      <c r="F28" s="555"/>
      <c r="G28" s="579"/>
      <c r="H28" s="555"/>
      <c r="I28" s="579"/>
      <c r="J28" s="555"/>
      <c r="K28" s="531"/>
      <c r="L28" s="2135"/>
      <c r="M28" s="2136"/>
      <c r="N28" s="2136"/>
      <c r="O28" s="2137"/>
      <c r="P28" s="3371"/>
      <c r="Q28" s="2602"/>
      <c r="R28" s="1567"/>
      <c r="S28" s="1568"/>
      <c r="T28" s="1567"/>
      <c r="U28" s="1568"/>
      <c r="V28" s="1567"/>
      <c r="W28" s="1568"/>
      <c r="X28" s="1569"/>
      <c r="Y28" s="3371"/>
      <c r="Z28" s="2599"/>
      <c r="AA28" s="1570">
        <v>1</v>
      </c>
      <c r="AB28" s="1570">
        <v>1</v>
      </c>
      <c r="AC28" s="1570">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371"/>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371"/>
      <c r="Z29" s="1574" t="str">
        <f t="shared" ref="Z29:Z42" si="13">Q29</f>
        <v>临街状况</v>
      </c>
      <c r="AA29" s="1575">
        <f t="shared" si="3"/>
        <v>1</v>
      </c>
      <c r="AB29" s="1575">
        <f t="shared" si="4"/>
        <v>1</v>
      </c>
      <c r="AC29" s="1575">
        <f t="shared" si="5"/>
        <v>1</v>
      </c>
    </row>
    <row r="30" spans="1:29" ht="27">
      <c r="A30" s="532"/>
      <c r="B30" s="921" t="s">
        <v>548</v>
      </c>
      <c r="C30" s="2619">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371"/>
      <c r="Q30" s="1571" t="str">
        <f t="shared" si="8"/>
        <v>毗邻道路的类型与等级</v>
      </c>
      <c r="R30" s="1572" t="s">
        <v>8</v>
      </c>
      <c r="S30" s="1573">
        <f t="shared" si="10"/>
        <v>100</v>
      </c>
      <c r="T30" s="1572" t="s">
        <v>8</v>
      </c>
      <c r="U30" s="1573">
        <f t="shared" si="11"/>
        <v>100</v>
      </c>
      <c r="V30" s="1572" t="s">
        <v>8</v>
      </c>
      <c r="W30" s="1573">
        <f t="shared" si="12"/>
        <v>100</v>
      </c>
      <c r="X30" s="1566"/>
      <c r="Y30" s="3371"/>
      <c r="Z30" s="1574" t="str">
        <f t="shared" si="13"/>
        <v>毗邻道路的类型与等级</v>
      </c>
      <c r="AA30" s="1575">
        <f t="shared" si="3"/>
        <v>1</v>
      </c>
      <c r="AB30" s="1575">
        <f t="shared" si="4"/>
        <v>1</v>
      </c>
      <c r="AC30" s="1575">
        <f t="shared" si="5"/>
        <v>1</v>
      </c>
    </row>
    <row r="31" spans="1:29" ht="15">
      <c r="A31" s="532"/>
      <c r="B31" s="595"/>
      <c r="C31" s="576"/>
      <c r="D31" s="555"/>
      <c r="E31" s="554"/>
      <c r="F31" s="555"/>
      <c r="G31" s="554"/>
      <c r="H31" s="555"/>
      <c r="I31" s="576"/>
      <c r="J31" s="555"/>
      <c r="K31" s="581"/>
      <c r="L31" s="2142"/>
      <c r="M31" s="2134"/>
      <c r="N31" s="2134"/>
      <c r="O31" s="2141"/>
      <c r="P31" s="3371"/>
      <c r="Q31" s="1571"/>
      <c r="R31" s="1572"/>
      <c r="S31" s="1573"/>
      <c r="T31" s="1572"/>
      <c r="U31" s="1573"/>
      <c r="V31" s="1572"/>
      <c r="W31" s="1573"/>
      <c r="X31" s="1566"/>
      <c r="Y31" s="3371"/>
      <c r="Z31" s="1574"/>
      <c r="AA31" s="1575">
        <v>1</v>
      </c>
      <c r="AB31" s="1575">
        <v>1</v>
      </c>
      <c r="AC31" s="1575">
        <v>1</v>
      </c>
    </row>
    <row r="32" spans="1:29" ht="15">
      <c r="A32" s="532"/>
      <c r="B32" s="529" t="s">
        <v>549</v>
      </c>
      <c r="C32" s="2620">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371"/>
      <c r="Q32" s="1571" t="str">
        <f t="shared" si="8"/>
        <v>土地级别</v>
      </c>
      <c r="R32" s="1572" t="s">
        <v>8</v>
      </c>
      <c r="S32" s="1573">
        <f t="shared" si="10"/>
        <v>100</v>
      </c>
      <c r="T32" s="1572" t="s">
        <v>8</v>
      </c>
      <c r="U32" s="1573">
        <f t="shared" si="11"/>
        <v>100</v>
      </c>
      <c r="V32" s="1572" t="s">
        <v>8</v>
      </c>
      <c r="W32" s="1573">
        <f t="shared" si="12"/>
        <v>100</v>
      </c>
      <c r="X32" s="1566"/>
      <c r="Y32" s="3371"/>
      <c r="Z32" s="1574" t="str">
        <f t="shared" si="13"/>
        <v>土地级别</v>
      </c>
      <c r="AA32" s="1575">
        <f t="shared" si="3"/>
        <v>1</v>
      </c>
      <c r="AB32" s="1575">
        <f t="shared" si="4"/>
        <v>1</v>
      </c>
      <c r="AC32" s="1575">
        <f t="shared" si="5"/>
        <v>1</v>
      </c>
    </row>
    <row r="33" spans="1:29" ht="15">
      <c r="A33" s="517"/>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371"/>
      <c r="Q33" s="1571">
        <f t="shared" si="8"/>
        <v>111</v>
      </c>
      <c r="R33" s="1572" t="s">
        <v>8</v>
      </c>
      <c r="S33" s="1573">
        <f t="shared" si="10"/>
        <v>100</v>
      </c>
      <c r="T33" s="1572" t="s">
        <v>8</v>
      </c>
      <c r="U33" s="1573">
        <f t="shared" si="11"/>
        <v>100</v>
      </c>
      <c r="V33" s="1572" t="s">
        <v>8</v>
      </c>
      <c r="W33" s="1573">
        <f t="shared" si="12"/>
        <v>100</v>
      </c>
      <c r="X33" s="1566"/>
      <c r="Y33" s="3371"/>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372" t="s">
        <v>550</v>
      </c>
      <c r="Q34" s="1571">
        <f t="shared" si="8"/>
        <v>111</v>
      </c>
      <c r="R34" s="1572" t="s">
        <v>8</v>
      </c>
      <c r="S34" s="1573">
        <f t="shared" si="10"/>
        <v>100</v>
      </c>
      <c r="T34" s="1572" t="s">
        <v>8</v>
      </c>
      <c r="U34" s="1573">
        <f t="shared" si="11"/>
        <v>100</v>
      </c>
      <c r="V34" s="1572" t="s">
        <v>8</v>
      </c>
      <c r="W34" s="1573">
        <f t="shared" si="12"/>
        <v>100</v>
      </c>
      <c r="X34" s="1566"/>
      <c r="Y34" s="3373" t="s">
        <v>550</v>
      </c>
      <c r="Z34" s="1574">
        <f t="shared" si="13"/>
        <v>111</v>
      </c>
      <c r="AA34" s="1575">
        <f t="shared" si="3"/>
        <v>1</v>
      </c>
      <c r="AB34" s="1575">
        <f t="shared" si="4"/>
        <v>1</v>
      </c>
      <c r="AC34" s="1575">
        <f t="shared" si="5"/>
        <v>1</v>
      </c>
    </row>
    <row r="35" spans="1:29" s="1338" customFormat="1" ht="15.75" thickBot="1">
      <c r="A35" s="589"/>
      <c r="B35" s="2618">
        <v>111</v>
      </c>
      <c r="C35" s="593"/>
      <c r="D35" s="255">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373"/>
      <c r="Q35" s="1571">
        <f t="shared" si="8"/>
        <v>111</v>
      </c>
      <c r="R35" s="1576" t="s">
        <v>8</v>
      </c>
      <c r="S35" s="1577">
        <f t="shared" si="10"/>
        <v>100</v>
      </c>
      <c r="T35" s="1576" t="s">
        <v>8</v>
      </c>
      <c r="U35" s="1577">
        <f t="shared" si="11"/>
        <v>100</v>
      </c>
      <c r="V35" s="1576" t="s">
        <v>8</v>
      </c>
      <c r="W35" s="1577">
        <f t="shared" si="12"/>
        <v>100</v>
      </c>
      <c r="X35" s="1578"/>
      <c r="Y35" s="3373"/>
      <c r="Z35" s="1579">
        <f t="shared" si="13"/>
        <v>111</v>
      </c>
      <c r="AA35" s="1575">
        <f t="shared" si="3"/>
        <v>1</v>
      </c>
      <c r="AB35" s="1575">
        <f t="shared" si="4"/>
        <v>1</v>
      </c>
      <c r="AC35" s="1575">
        <f t="shared" si="5"/>
        <v>1</v>
      </c>
    </row>
    <row r="36" spans="1:29" ht="15">
      <c r="A36" s="2933" t="s">
        <v>2760</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373"/>
      <c r="Q36" s="1571" t="str">
        <f>B36</f>
        <v>宗地面积</v>
      </c>
      <c r="R36" s="1572" t="s">
        <v>8</v>
      </c>
      <c r="S36" s="1573" t="e">
        <f t="shared" si="10"/>
        <v>#N/A</v>
      </c>
      <c r="T36" s="1572" t="s">
        <v>8</v>
      </c>
      <c r="U36" s="1573" t="e">
        <f t="shared" si="11"/>
        <v>#N/A</v>
      </c>
      <c r="V36" s="1572" t="s">
        <v>8</v>
      </c>
      <c r="W36" s="1573" t="e">
        <f t="shared" si="12"/>
        <v>#N/A</v>
      </c>
      <c r="X36" s="1566"/>
      <c r="Y36" s="3373"/>
      <c r="Z36" s="1574" t="str">
        <f t="shared" si="13"/>
        <v>宗地面积</v>
      </c>
      <c r="AA36" s="1575" t="e">
        <f t="shared" si="3"/>
        <v>#N/A</v>
      </c>
      <c r="AB36" s="1575" t="e">
        <f t="shared" si="4"/>
        <v>#N/A</v>
      </c>
      <c r="AC36" s="1575" t="e">
        <f t="shared" si="5"/>
        <v>#N/A</v>
      </c>
    </row>
    <row r="37" spans="1:29" ht="15">
      <c r="A37" s="594"/>
      <c r="B37" s="529"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373"/>
      <c r="Q37" s="1571" t="str">
        <f t="shared" ref="Q37:Q42" si="14">B37</f>
        <v>宗地形状</v>
      </c>
      <c r="R37" s="1572" t="s">
        <v>8</v>
      </c>
      <c r="S37" s="1573">
        <f t="shared" si="10"/>
        <v>100</v>
      </c>
      <c r="T37" s="1572" t="s">
        <v>8</v>
      </c>
      <c r="U37" s="1573">
        <f t="shared" si="11"/>
        <v>100</v>
      </c>
      <c r="V37" s="1572" t="s">
        <v>8</v>
      </c>
      <c r="W37" s="1573">
        <f t="shared" si="12"/>
        <v>100</v>
      </c>
      <c r="X37" s="1566"/>
      <c r="Y37" s="3373"/>
      <c r="Z37" s="1574" t="str">
        <f t="shared" si="13"/>
        <v>宗地形状</v>
      </c>
      <c r="AA37" s="1575">
        <f t="shared" si="3"/>
        <v>1</v>
      </c>
      <c r="AB37" s="1575">
        <f t="shared" si="4"/>
        <v>1</v>
      </c>
      <c r="AC37" s="1575">
        <f t="shared" si="5"/>
        <v>1</v>
      </c>
    </row>
    <row r="38" spans="1:29" s="1219" customFormat="1" ht="15">
      <c r="A38" s="600"/>
      <c r="B38" s="1895" t="s">
        <v>2425</v>
      </c>
      <c r="C38" s="601"/>
      <c r="D38" s="254">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373"/>
      <c r="Q38" s="1571" t="str">
        <f t="shared" si="14"/>
        <v>宗地开发程度</v>
      </c>
      <c r="R38" s="1567" t="s">
        <v>8</v>
      </c>
      <c r="S38" s="1568">
        <f t="shared" si="10"/>
        <v>100</v>
      </c>
      <c r="T38" s="1567" t="s">
        <v>8</v>
      </c>
      <c r="U38" s="1568">
        <f t="shared" si="11"/>
        <v>100</v>
      </c>
      <c r="V38" s="1567" t="s">
        <v>8</v>
      </c>
      <c r="W38" s="1568">
        <f t="shared" si="12"/>
        <v>100</v>
      </c>
      <c r="X38" s="1569"/>
      <c r="Y38" s="3373"/>
      <c r="Z38" s="1149" t="str">
        <f t="shared" si="13"/>
        <v>宗地开发程度</v>
      </c>
      <c r="AA38" s="1570">
        <f t="shared" si="3"/>
        <v>1</v>
      </c>
      <c r="AB38" s="1570">
        <f t="shared" si="4"/>
        <v>1</v>
      </c>
      <c r="AC38" s="1570">
        <f t="shared" si="5"/>
        <v>1</v>
      </c>
    </row>
    <row r="39" spans="1:29" ht="15">
      <c r="A39" s="594"/>
      <c r="B39" s="529"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3" t="s">
        <v>601</v>
      </c>
      <c r="Q39" s="1571" t="str">
        <f t="shared" si="14"/>
        <v>工程地质条件</v>
      </c>
      <c r="R39" s="1572" t="s">
        <v>8</v>
      </c>
      <c r="S39" s="1573">
        <f t="shared" si="10"/>
        <v>100</v>
      </c>
      <c r="T39" s="1572" t="s">
        <v>8</v>
      </c>
      <c r="U39" s="1573">
        <f t="shared" si="11"/>
        <v>100</v>
      </c>
      <c r="V39" s="1572" t="s">
        <v>8</v>
      </c>
      <c r="W39" s="1573">
        <f t="shared" si="12"/>
        <v>100</v>
      </c>
      <c r="X39" s="1566"/>
      <c r="Y39" s="3373" t="s">
        <v>601</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373"/>
      <c r="Q40" s="1571">
        <f t="shared" si="14"/>
        <v>111</v>
      </c>
      <c r="R40" s="1572" t="s">
        <v>8</v>
      </c>
      <c r="S40" s="1573">
        <f t="shared" si="10"/>
        <v>100</v>
      </c>
      <c r="T40" s="1572" t="s">
        <v>8</v>
      </c>
      <c r="U40" s="1573">
        <f t="shared" si="11"/>
        <v>100</v>
      </c>
      <c r="V40" s="1572" t="s">
        <v>8</v>
      </c>
      <c r="W40" s="1573">
        <f t="shared" si="12"/>
        <v>100</v>
      </c>
      <c r="X40" s="1566"/>
      <c r="Y40" s="3373"/>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373"/>
      <c r="Q41" s="1571">
        <f t="shared" si="14"/>
        <v>111</v>
      </c>
      <c r="R41" s="1572" t="s">
        <v>8</v>
      </c>
      <c r="S41" s="1573">
        <f t="shared" si="10"/>
        <v>100</v>
      </c>
      <c r="T41" s="1572" t="s">
        <v>8</v>
      </c>
      <c r="U41" s="1573">
        <f t="shared" si="11"/>
        <v>100</v>
      </c>
      <c r="V41" s="1572" t="s">
        <v>8</v>
      </c>
      <c r="W41" s="1573">
        <f t="shared" si="12"/>
        <v>100</v>
      </c>
      <c r="X41" s="1566"/>
      <c r="Y41" s="3373"/>
      <c r="Z41" s="1574">
        <f t="shared" si="13"/>
        <v>111</v>
      </c>
      <c r="AA41" s="1575">
        <f t="shared" si="3"/>
        <v>1</v>
      </c>
      <c r="AB41" s="1575">
        <f t="shared" si="4"/>
        <v>1</v>
      </c>
      <c r="AC41" s="1575">
        <f t="shared" si="5"/>
        <v>1</v>
      </c>
    </row>
    <row r="42" spans="1:29" s="1338" customFormat="1" ht="15.75" thickBot="1">
      <c r="A42" s="603"/>
      <c r="B42" s="602">
        <v>111</v>
      </c>
      <c r="C42" s="604"/>
      <c r="D42" s="255">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373"/>
      <c r="Q42" s="1571">
        <f t="shared" si="14"/>
        <v>111</v>
      </c>
      <c r="R42" s="1576" t="s">
        <v>8</v>
      </c>
      <c r="S42" s="1577">
        <f t="shared" si="10"/>
        <v>100</v>
      </c>
      <c r="T42" s="1576" t="s">
        <v>8</v>
      </c>
      <c r="U42" s="1577">
        <f t="shared" si="11"/>
        <v>100</v>
      </c>
      <c r="V42" s="1576" t="s">
        <v>8</v>
      </c>
      <c r="W42" s="1577">
        <f t="shared" si="12"/>
        <v>100</v>
      </c>
      <c r="X42" s="1578"/>
      <c r="Y42" s="3373"/>
      <c r="Z42" s="1579">
        <f t="shared" si="13"/>
        <v>111</v>
      </c>
      <c r="AA42" s="1575">
        <f t="shared" si="3"/>
        <v>1</v>
      </c>
      <c r="AB42" s="1575">
        <f t="shared" si="4"/>
        <v>1</v>
      </c>
      <c r="AC42" s="1575">
        <f t="shared" si="5"/>
        <v>1</v>
      </c>
    </row>
    <row r="43" spans="1:29" ht="15">
      <c r="A43" s="607" t="s">
        <v>556</v>
      </c>
      <c r="B43" s="608" t="s">
        <v>2934</v>
      </c>
      <c r="C43" s="609" t="s">
        <v>1</v>
      </c>
      <c r="D43" s="610"/>
      <c r="E43" s="611"/>
      <c r="F43" s="612"/>
      <c r="G43" s="613"/>
      <c r="H43" s="614"/>
      <c r="I43" s="611"/>
      <c r="J43" s="614"/>
      <c r="K43" s="1339"/>
      <c r="L43" s="2144"/>
      <c r="M43" s="2134"/>
      <c r="N43" s="2134"/>
      <c r="O43" s="2145"/>
      <c r="P43" s="3368" t="str">
        <f>A43</f>
        <v>成交单价</v>
      </c>
      <c r="Q43" s="3368"/>
      <c r="R43" s="3382">
        <f>E43</f>
        <v>0</v>
      </c>
      <c r="S43" s="3382"/>
      <c r="T43" s="3382">
        <f>G43</f>
        <v>0</v>
      </c>
      <c r="U43" s="3382"/>
      <c r="V43" s="3382">
        <f>I43</f>
        <v>0</v>
      </c>
      <c r="W43" s="3382"/>
      <c r="X43" s="1558"/>
      <c r="Y43" s="1580"/>
      <c r="Z43" s="1558"/>
      <c r="AA43" s="1558"/>
      <c r="AB43" s="1558"/>
      <c r="AC43" s="1558"/>
    </row>
    <row r="44" spans="1:29" ht="15.75" thickBot="1">
      <c r="A44" s="615" t="s">
        <v>2698</v>
      </c>
      <c r="B44" s="616"/>
      <c r="C44" s="617" t="e">
        <f>R45</f>
        <v>#DIV/0!</v>
      </c>
      <c r="D44" s="618"/>
      <c r="E44" s="617" t="e">
        <f>R44</f>
        <v>#DIV/0!</v>
      </c>
      <c r="F44" s="619"/>
      <c r="G44" s="620" t="e">
        <f>T44</f>
        <v>#DIV/0!</v>
      </c>
      <c r="H44" s="618"/>
      <c r="I44" s="617" t="e">
        <f>V44</f>
        <v>#DIV/0!</v>
      </c>
      <c r="J44" s="618"/>
      <c r="K44" s="1340"/>
      <c r="L44" s="2144"/>
      <c r="M44" s="2134"/>
      <c r="N44" s="2134"/>
      <c r="O44" s="2145"/>
      <c r="P44" s="3368" t="str">
        <f>A44</f>
        <v>比较价格（元/平方米）</v>
      </c>
      <c r="Q44" s="3368"/>
      <c r="R44" s="3392" t="e">
        <f>ROUND(PRODUCT(R43,AA9:AA42),0)</f>
        <v>#DIV/0!</v>
      </c>
      <c r="S44" s="3392"/>
      <c r="T44" s="3392" t="e">
        <f>ROUND(PRODUCT(T43,AB9:AB42),0)</f>
        <v>#DIV/0!</v>
      </c>
      <c r="U44" s="3392"/>
      <c r="V44" s="3392" t="e">
        <f>ROUND(PRODUCT(V43,AC9:AC42),0)</f>
        <v>#DIV/0!</v>
      </c>
      <c r="W44" s="3392"/>
      <c r="X44" s="1558"/>
      <c r="Y44" s="1558"/>
      <c r="Z44" s="1558"/>
      <c r="AA44" s="1558"/>
      <c r="AB44" s="1558"/>
      <c r="AC44" s="1558"/>
    </row>
    <row r="45" spans="1:29" ht="15.75" thickBot="1">
      <c r="A45" s="621" t="s">
        <v>2935</v>
      </c>
      <c r="B45" s="622"/>
      <c r="C45" s="623" t="e">
        <f>R45</f>
        <v>#DIV/0!</v>
      </c>
      <c r="D45" s="623"/>
      <c r="E45" s="623"/>
      <c r="F45" s="623"/>
      <c r="G45" s="623"/>
      <c r="H45" s="623"/>
      <c r="I45" s="623"/>
      <c r="J45" s="623"/>
      <c r="K45" s="1341"/>
      <c r="L45" s="2144"/>
      <c r="M45" s="2134"/>
      <c r="N45" s="2134"/>
      <c r="O45" s="2145"/>
      <c r="P45" s="3389" t="str">
        <f>A45</f>
        <v>估价对象XX用房的比较价格（楼面单价，元/平方米）</v>
      </c>
      <c r="Q45" s="3390"/>
      <c r="R45" s="3391" t="e">
        <f>ROUND(AVERAGE(R44:V44),0)</f>
        <v>#DIV/0!</v>
      </c>
      <c r="S45" s="3391"/>
      <c r="T45" s="3391"/>
      <c r="U45" s="3391"/>
      <c r="V45" s="3391"/>
      <c r="W45" s="3391"/>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59" t="s">
        <v>1724</v>
      </c>
      <c r="D52" s="2227" t="s">
        <v>2294</v>
      </c>
      <c r="E52" s="631" t="s">
        <v>562</v>
      </c>
      <c r="F52" s="1951" t="s">
        <v>563</v>
      </c>
      <c r="G52" s="3393" t="s">
        <v>2285</v>
      </c>
      <c r="H52" s="3394"/>
      <c r="I52" s="1952" t="s">
        <v>1947</v>
      </c>
      <c r="J52" s="1554" t="str">
        <f>项目基本情况!F41</f>
        <v>湖南省</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564</v>
      </c>
      <c r="B53" s="634" t="e">
        <f>C45</f>
        <v>#DIV/0!</v>
      </c>
      <c r="C53" s="635">
        <v>1</v>
      </c>
      <c r="D53" s="2228">
        <v>1</v>
      </c>
      <c r="E53" s="635">
        <f>'数据-汇总表'!E8+'数据-汇总表'!E9</f>
        <v>231926.37</v>
      </c>
      <c r="F53" s="1950" t="e">
        <f t="shared" ref="F53:F62" si="15">ROUND(B53*E53/10000,0)</f>
        <v>#DIV/0!</v>
      </c>
      <c r="G53" s="3395"/>
      <c r="H53" s="339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565</v>
      </c>
      <c r="B54" s="638" t="e">
        <f>ROUND($C$45*C54*D54,0)</f>
        <v>#DIV/0!</v>
      </c>
      <c r="C54" s="380">
        <f t="shared" ref="C54:C62" si="16">IF($C$52="北京市系数",I54,J54)</f>
        <v>0</v>
      </c>
      <c r="D54" s="2229">
        <v>0.25</v>
      </c>
      <c r="E54" s="639"/>
      <c r="F54" s="1950" t="e">
        <f t="shared" si="15"/>
        <v>#DIV/0!</v>
      </c>
      <c r="G54" s="3397" t="s">
        <v>2286</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566</v>
      </c>
      <c r="B55" s="638" t="e">
        <f t="shared" ref="B55:B62" si="17">ROUND($C$45*C55*D55,0)</f>
        <v>#DIV/0!</v>
      </c>
      <c r="C55" s="380">
        <f t="shared" si="16"/>
        <v>0</v>
      </c>
      <c r="D55" s="2229">
        <v>0.25</v>
      </c>
      <c r="E55" s="639"/>
      <c r="F55" s="1950" t="e">
        <f t="shared" si="15"/>
        <v>#DIV/0!</v>
      </c>
      <c r="G55" s="339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567</v>
      </c>
      <c r="B56" s="638" t="e">
        <f t="shared" si="17"/>
        <v>#DIV/0!</v>
      </c>
      <c r="C56" s="380">
        <f t="shared" si="16"/>
        <v>0</v>
      </c>
      <c r="D56" s="2229">
        <v>0.25</v>
      </c>
      <c r="E56" s="639"/>
      <c r="F56" s="1950" t="e">
        <f t="shared" si="15"/>
        <v>#DIV/0!</v>
      </c>
      <c r="G56" s="339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568</v>
      </c>
      <c r="B57" s="638" t="e">
        <f t="shared" si="17"/>
        <v>#DIV/0!</v>
      </c>
      <c r="C57" s="380">
        <f t="shared" si="16"/>
        <v>0</v>
      </c>
      <c r="D57" s="2229">
        <v>0.25</v>
      </c>
      <c r="E57" s="639"/>
      <c r="F57" s="1950" t="e">
        <f t="shared" si="15"/>
        <v>#DIV/0!</v>
      </c>
      <c r="G57" s="339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2328</v>
      </c>
      <c r="B58" s="638" t="e">
        <f t="shared" si="17"/>
        <v>#DIV/0!</v>
      </c>
      <c r="C58" s="380">
        <f t="shared" si="16"/>
        <v>0</v>
      </c>
      <c r="D58" s="2229">
        <v>0.25</v>
      </c>
      <c r="E58" s="641">
        <f>'数据-汇总表'!E11</f>
        <v>0</v>
      </c>
      <c r="F58" s="1950" t="e">
        <f t="shared" si="15"/>
        <v>#DIV/0!</v>
      </c>
      <c r="G58" s="1956" t="s">
        <v>2287</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569</v>
      </c>
      <c r="B59" s="638" t="e">
        <f t="shared" si="17"/>
        <v>#DIV/0!</v>
      </c>
      <c r="C59" s="380">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570</v>
      </c>
      <c r="B60" s="638" t="e">
        <f t="shared" si="17"/>
        <v>#DIV/0!</v>
      </c>
      <c r="C60" s="380">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571</v>
      </c>
      <c r="B61" s="638" t="e">
        <f t="shared" si="17"/>
        <v>#DIV/0!</v>
      </c>
      <c r="C61" s="380">
        <f t="shared" si="16"/>
        <v>0</v>
      </c>
      <c r="D61" s="2229">
        <v>0.25</v>
      </c>
      <c r="E61" s="641">
        <f>'数据-汇总表'!E14</f>
        <v>0</v>
      </c>
      <c r="F61" s="1950" t="e">
        <f t="shared" si="15"/>
        <v>#DIV/0!</v>
      </c>
      <c r="G61" s="1956" t="s">
        <v>2286</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572</v>
      </c>
      <c r="B62" s="638" t="e">
        <f t="shared" si="17"/>
        <v>#DIV/0!</v>
      </c>
      <c r="C62" s="380">
        <f t="shared" si="16"/>
        <v>0</v>
      </c>
      <c r="D62" s="2229">
        <v>0.25</v>
      </c>
      <c r="E62" s="641">
        <f>'数据-汇总表'!E15</f>
        <v>0</v>
      </c>
      <c r="F62" s="1950" t="e">
        <f t="shared" si="15"/>
        <v>#DIV/0!</v>
      </c>
      <c r="G62" s="1957" t="s">
        <v>2287</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573</v>
      </c>
      <c r="B63" s="643" t="s">
        <v>17</v>
      </c>
      <c r="C63" s="643" t="s">
        <v>18</v>
      </c>
      <c r="D63" s="643" t="s">
        <v>2295</v>
      </c>
      <c r="E63" s="643">
        <f>IF(B43="楼面地价",SUM(E53:E62),'数据-汇总表'!D3)</f>
        <v>105421.08</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574</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2536</v>
      </c>
      <c r="B67" s="646"/>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2654</v>
      </c>
      <c r="B68" s="481" t="str">
        <f>"北京市平均增长率"&amp;TEXT(基准地价!P24,"0.00%")</f>
        <v>北京市平均增长率1.39%</v>
      </c>
      <c r="C68" s="893">
        <v>100</v>
      </c>
      <c r="D68" s="730"/>
      <c r="E68" s="730"/>
      <c r="F68" s="730"/>
      <c r="G68" s="730"/>
      <c r="H68" s="730"/>
      <c r="I68" s="730"/>
      <c r="J68" s="730"/>
      <c r="K68" s="730"/>
      <c r="L68" s="730"/>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3" t="s">
        <v>575</v>
      </c>
      <c r="B69" s="654"/>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621" t="s">
        <v>2553</v>
      </c>
      <c r="C95" s="2622" t="s">
        <v>2554</v>
      </c>
      <c r="D95" s="2622" t="s">
        <v>2555</v>
      </c>
      <c r="E95" s="2622" t="s">
        <v>2556</v>
      </c>
      <c r="F95" s="2622" t="s">
        <v>2557</v>
      </c>
      <c r="G95" s="2622"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614"/>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2426</v>
      </c>
      <c r="C114" s="1374"/>
      <c r="D114" s="1374"/>
      <c r="E114" s="1374"/>
      <c r="F114" s="1374"/>
      <c r="G114" s="1374"/>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2427</v>
      </c>
      <c r="D1" s="1520">
        <f>SUM(D29:D30,D33:D39)</f>
        <v>0</v>
      </c>
      <c r="E1" s="1405" t="s">
        <v>2428</v>
      </c>
      <c r="F1" s="2476"/>
      <c r="G1" s="1400"/>
      <c r="H1" s="1400"/>
      <c r="I1" s="1400"/>
      <c r="J1" s="1400"/>
      <c r="K1" s="1400"/>
      <c r="L1" s="1882" t="s">
        <v>2239</v>
      </c>
      <c r="M1" s="1883">
        <f>SUMPRODUCT((区片价!B5:B9=I2)*(区片价!C3:F3=E2)*(区片价!C5:F9))</f>
        <v>0</v>
      </c>
      <c r="N1" s="1884">
        <f>SUMPRODUCT((因素修正幅度!B5:B9=I2)*(因素修正幅度!C3:F3=E2)*(因素修正幅度!C5:F9))</f>
        <v>0</v>
      </c>
      <c r="O1" s="2189"/>
      <c r="P1" s="2189"/>
      <c r="Q1" s="2189"/>
      <c r="R1" s="2962" t="s">
        <v>2767</v>
      </c>
      <c r="S1" s="2962" t="s">
        <v>2768</v>
      </c>
      <c r="T1" s="2962" t="s">
        <v>2789</v>
      </c>
      <c r="U1" s="2962" t="s">
        <v>2790</v>
      </c>
      <c r="V1" s="2962" t="s">
        <v>2791</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2240</v>
      </c>
      <c r="M2" s="1886">
        <f>SUMPRODUCT((区片价!B10:B28=I2)*(区片价!C3:F3=E2)*(区片价!C10:F28))</f>
        <v>0</v>
      </c>
      <c r="N2" s="1887">
        <f>SUMPRODUCT((因素修正幅度!B10:B28=I2)*(因素修正幅度!C3:F3=E2)*(因素修正幅度!C10:F28))</f>
        <v>0</v>
      </c>
      <c r="O2" s="2189"/>
      <c r="P2" s="2189"/>
      <c r="Q2" s="2189"/>
      <c r="R2" s="2963">
        <v>1</v>
      </c>
      <c r="S2" s="2963">
        <f>ROUND(IF(G3&gt;1,IF(R2&lt;7,SUMPRODUCT((B93:B98=R2)*(C92:N92=G2)*(C93:N98)),SUMIF(C92:N92,G2,C100:N100)),IF(R2&lt;7,SUMPRODUCT((B102:B107=R2)*(C92:N92=G2)*(C102:N107)),SUMIF(C92:N92,G2,C109:N109))),4)</f>
        <v>0</v>
      </c>
      <c r="T2" s="2963" t="e">
        <f>ROUND($C$5*$C$18*$C$19*$C$20*S2*$C$24,0)</f>
        <v>#DIV/0!</v>
      </c>
      <c r="U2" s="2952"/>
      <c r="V2" s="2963"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2936</v>
      </c>
      <c r="G3" s="1038">
        <f>IF(F3="宗地容积率",'数据-汇总表'!I4,IF(F3="估价对象容积率",'数据-汇总表'!I6,'数据-汇总表'!I7))</f>
        <v>2.2000000000000002</v>
      </c>
      <c r="H3" s="1413" t="s">
        <v>928</v>
      </c>
      <c r="I3" s="1039">
        <v>8</v>
      </c>
      <c r="J3" s="1409" t="s">
        <v>929</v>
      </c>
      <c r="K3" s="1400"/>
      <c r="L3" s="1885" t="s">
        <v>2241</v>
      </c>
      <c r="M3" s="1886">
        <f>SUMPRODUCT((区片价!B29:B48=I2)*(区片价!C3:F3=E2)*(区片价!C29:F48))</f>
        <v>0</v>
      </c>
      <c r="N3" s="1887">
        <f>SUMPRODUCT((因素修正幅度!B29:B48=I2)*(因素修正幅度!C3:F3=E2)*(因素修正幅度!C29:F48))</f>
        <v>0</v>
      </c>
      <c r="O3" s="2189"/>
      <c r="P3" s="2189"/>
      <c r="Q3" s="2189"/>
      <c r="R3" s="2963">
        <v>2</v>
      </c>
      <c r="S3" s="2963">
        <f>ROUND(IF(G3&gt;1,IF(R3&lt;7,SUMPRODUCT((B93:B98=R3)*(C92:N92=G2)*(C93:N98)),SUMIF(C92:N92,G2,C100:N100)),IF(R3&lt;7,SUMPRODUCT((B102:B107=R3)*(C92:N92=G2)*(C102:N107)),SUMIF(C92:N92,G2,C109:N109))),4)</f>
        <v>0</v>
      </c>
      <c r="T3" s="2963" t="e">
        <f t="shared" ref="T3:T16" si="0">ROUND($C$5*$C$18*$C$19*$C$20*S3*$C$24,0)</f>
        <v>#DIV/0!</v>
      </c>
      <c r="U3" s="2952"/>
      <c r="V3" s="2963" t="e">
        <f t="shared" ref="V3:V16" si="1">ROUND(T3*U3/10000,0)</f>
        <v>#DIV/0!</v>
      </c>
      <c r="W3" s="2189"/>
      <c r="X3" s="2189"/>
      <c r="Y3" s="2189"/>
      <c r="Z3" s="2189"/>
      <c r="AA3" s="2189"/>
      <c r="AB3" s="2189"/>
      <c r="AC3" s="2190"/>
    </row>
    <row r="4" spans="1:39" ht="28.5">
      <c r="A4" s="1891" t="s">
        <v>2281</v>
      </c>
      <c r="B4" s="2477" t="e">
        <f>ROUND(B2*10000/F1,0)</f>
        <v>#DIV/0!</v>
      </c>
      <c r="C4" s="1894" t="s">
        <v>2255</v>
      </c>
      <c r="D4" s="1894" t="e">
        <f>ROUND(B2/(F1/666.67),0)</f>
        <v>#DIV/0!</v>
      </c>
      <c r="E4" s="1894" t="s">
        <v>2256</v>
      </c>
      <c r="F4" s="1892"/>
      <c r="G4" s="1892"/>
      <c r="H4" s="1892"/>
      <c r="I4" s="1892"/>
      <c r="J4" s="1893"/>
      <c r="K4" s="1400"/>
      <c r="L4" s="1885" t="s">
        <v>2242</v>
      </c>
      <c r="M4" s="1886">
        <f>SUMPRODUCT((区片价!B49:B75=I2)*(区片价!C3:F3=E2)*(区片价!C49:F75))</f>
        <v>0</v>
      </c>
      <c r="N4" s="1887">
        <f>SUMPRODUCT((因素修正幅度!B49:B75=I2)*(因素修正幅度!C3:F3=E2)*(因素修正幅度!C49:F75))</f>
        <v>0</v>
      </c>
      <c r="O4" s="2189"/>
      <c r="P4" s="2189"/>
      <c r="Q4" s="2189"/>
      <c r="R4" s="2963">
        <v>3</v>
      </c>
      <c r="S4" s="2963">
        <f>ROUND(IF(G3&gt;1,IF(R4&lt;7,SUMPRODUCT((B93:B98=R4)*(C92:N92=G2)*(C93:N98)),SUMIF(C92:N92,G2,C100:N100)),IF(R4&lt;7,SUMPRODUCT((B102:B107=R4)*(C92:N92=G2)*(C102:N107)),SUMIF(C92:N92,G2,C109:N109))),4)</f>
        <v>0</v>
      </c>
      <c r="T4" s="2963" t="e">
        <f t="shared" si="0"/>
        <v>#DIV/0!</v>
      </c>
      <c r="U4" s="2952"/>
      <c r="V4" s="2963"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2243</v>
      </c>
      <c r="M5" s="1886">
        <f>SUMPRODUCT((区片价!B76:B109=I2)*(区片价!C3:F3=E2)*(区片价!C76:F109))</f>
        <v>0</v>
      </c>
      <c r="N5" s="1887">
        <f>SUMPRODUCT((因素修正幅度!B76:B109=I2)*(因素修正幅度!C3:F3=E2)*(因素修正幅度!C76:F109))</f>
        <v>0</v>
      </c>
      <c r="O5" s="2189"/>
      <c r="P5" s="2189"/>
      <c r="Q5" s="2189"/>
      <c r="R5" s="2963">
        <v>4</v>
      </c>
      <c r="S5" s="2963">
        <f>ROUND(IF(G3&gt;1,IF(R5&lt;7,SUMPRODUCT((B93:B98=R5)*(C92:N92=G2)*(C93:N98)),SUMIF(C92:N92,G2,C100:N100)),IF(R5&lt;7,SUMPRODUCT((B102:B107=R5)*(C92:N92=G2)*(C102:N107)),SUMIF(C92:N92,G2,C109:N109))),4)</f>
        <v>0</v>
      </c>
      <c r="T5" s="2963" t="e">
        <f t="shared" si="0"/>
        <v>#DIV/0!</v>
      </c>
      <c r="U5" s="2952"/>
      <c r="V5" s="2963"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2244</v>
      </c>
      <c r="M6" s="1886">
        <f>SUMPRODUCT((区片价!B110:B157=I2)*(区片价!C3:F3=E2)*(区片价!C110:F157))</f>
        <v>0</v>
      </c>
      <c r="N6" s="1887">
        <f>SUMPRODUCT((因素修正幅度!B110:B157=I2)*(因素修正幅度!C3:F3=E2)*(因素修正幅度!C110:F157))</f>
        <v>0</v>
      </c>
      <c r="O6" s="2189"/>
      <c r="P6" s="2189"/>
      <c r="Q6" s="2189"/>
      <c r="R6" s="2963">
        <v>5</v>
      </c>
      <c r="S6" s="2963">
        <f>ROUND(IF(G3&gt;1,IF(R6&lt;7,SUMPRODUCT((B93:B98=R6)*(C92:N92=G2)*(C93:N98)),SUMIF(C92:N92,G2,C100:N100)),IF(R6&lt;7,SUMPRODUCT((B102:B107=R6)*(C92:N92=G2)*(C102:N107)),SUMIF(C92:N92,G2,C109:N109))),4)</f>
        <v>0</v>
      </c>
      <c r="T6" s="2963" t="e">
        <f t="shared" si="0"/>
        <v>#DIV/0!</v>
      </c>
      <c r="U6" s="2952"/>
      <c r="V6" s="2963" t="e">
        <f t="shared" si="1"/>
        <v>#DIV/0!</v>
      </c>
      <c r="W6" s="2189"/>
      <c r="X6" s="2189"/>
      <c r="Y6" s="2189"/>
      <c r="Z6" s="2189"/>
      <c r="AA6" s="2189"/>
      <c r="AB6" s="2189"/>
      <c r="AC6" s="2191"/>
      <c r="AD6" s="1418"/>
      <c r="AE6" s="1418"/>
      <c r="AF6" s="1418"/>
      <c r="AG6" s="1418"/>
      <c r="AH6" s="1418"/>
      <c r="AI6" s="1418"/>
      <c r="AJ6" s="1419"/>
    </row>
    <row r="7" spans="1:39" ht="24">
      <c r="A7" s="3405" t="str">
        <f>IF(E2="商业",IF(C8="不临58条商业街","",2),"")</f>
        <v/>
      </c>
      <c r="B7" s="1426" t="s">
        <v>931</v>
      </c>
      <c r="C7" s="1042" t="e">
        <f>IF(C8="不临58条商业街",1,ROUND(1+(1.6*E8+1.2*E9+0.8*E10+0.4*E11)*C9,4))</f>
        <v>#DIV/0!</v>
      </c>
      <c r="D7" s="1427" t="s">
        <v>932</v>
      </c>
      <c r="E7" s="1043"/>
      <c r="F7" s="1428"/>
      <c r="G7" s="1429"/>
      <c r="H7" s="1429"/>
      <c r="I7" s="1429"/>
      <c r="J7" s="1430"/>
      <c r="K7" s="1594"/>
      <c r="L7" s="1885" t="s">
        <v>2245</v>
      </c>
      <c r="M7" s="1886">
        <f>SUMPRODUCT((区片价!B158:B205=I2)*(区片价!C3:F3=E2)*(区片价!C158:F205))</f>
        <v>0</v>
      </c>
      <c r="N7" s="1887">
        <f>SUMPRODUCT((因素修正幅度!B158:B205=I2)*(因素修正幅度!C3:F3=E2)*(因素修正幅度!C158:F205))</f>
        <v>0</v>
      </c>
      <c r="O7" s="2189"/>
      <c r="P7" s="2189"/>
      <c r="Q7" s="2189"/>
      <c r="R7" s="2963">
        <v>6</v>
      </c>
      <c r="S7" s="2963">
        <f>ROUND(IF(G3&gt;1,IF(R7&lt;7,SUMPRODUCT((B93:B98=R7)*(C92:N92=G2)*(C93:N98)),SUMIF(C92:N92,G2,C100:N100)),IF(R7&lt;7,SUMPRODUCT((B102:B107=R7)*(C92:N92=G2)*(C102:N107)),SUMIF(C92:N92,G2,C109:N109))),4)</f>
        <v>0</v>
      </c>
      <c r="T7" s="2963" t="e">
        <f t="shared" si="0"/>
        <v>#DIV/0!</v>
      </c>
      <c r="U7" s="2952"/>
      <c r="V7" s="2963" t="e">
        <f t="shared" si="1"/>
        <v>#DIV/0!</v>
      </c>
      <c r="W7" s="2961" t="s">
        <v>2770</v>
      </c>
      <c r="X7" s="2953">
        <f>G2</f>
        <v>0</v>
      </c>
      <c r="Y7" s="2953" t="s">
        <v>2771</v>
      </c>
      <c r="Z7" s="2954">
        <f>G3</f>
        <v>2.2000000000000002</v>
      </c>
      <c r="AA7" s="2192"/>
      <c r="AB7" s="2192"/>
      <c r="AC7" s="2193"/>
      <c r="AD7" s="2955"/>
      <c r="AE7" s="2955"/>
      <c r="AF7" s="2955"/>
      <c r="AG7" s="2955"/>
      <c r="AH7" s="2955"/>
      <c r="AI7" s="2955"/>
      <c r="AJ7" s="2956"/>
    </row>
    <row r="8" spans="1:39" ht="15">
      <c r="A8" s="3406"/>
      <c r="B8" s="1413" t="s">
        <v>933</v>
      </c>
      <c r="C8" s="1528"/>
      <c r="D8" s="1044" t="s">
        <v>934</v>
      </c>
      <c r="E8" s="1045" t="e">
        <f>ROUND(C11/E7,4)</f>
        <v>#DIV/0!</v>
      </c>
      <c r="F8" s="1431" t="s">
        <v>935</v>
      </c>
      <c r="G8" s="1432"/>
      <c r="H8" s="1432"/>
      <c r="I8" s="1432"/>
      <c r="J8" s="1433"/>
      <c r="K8" s="1400"/>
      <c r="L8" s="1885" t="s">
        <v>2246</v>
      </c>
      <c r="M8" s="1886">
        <f>SUMPRODUCT((区片价!B206:B244=I2)*(区片价!C3:F3=E2)*(区片价!C206:F244))</f>
        <v>0</v>
      </c>
      <c r="N8" s="1887">
        <f>SUMPRODUCT((因素修正幅度!B206:B244=I2)*(因素修正幅度!C3:F3=E2)*(因素修正幅度!C206:F244))</f>
        <v>0</v>
      </c>
      <c r="O8" s="2189"/>
      <c r="P8" s="2189"/>
      <c r="Q8" s="2189"/>
      <c r="R8" s="2963">
        <v>7</v>
      </c>
      <c r="S8" s="2952"/>
      <c r="T8" s="2963" t="e">
        <f t="shared" si="0"/>
        <v>#DIV/0!</v>
      </c>
      <c r="U8" s="2952"/>
      <c r="V8" s="2963" t="e">
        <f t="shared" si="1"/>
        <v>#DIV/0!</v>
      </c>
      <c r="W8" s="3415" t="s">
        <v>2788</v>
      </c>
      <c r="X8" s="3416"/>
      <c r="Y8" s="1849" t="s">
        <v>2772</v>
      </c>
      <c r="Z8" s="1849" t="s">
        <v>2773</v>
      </c>
      <c r="AA8" s="1849" t="s">
        <v>2774</v>
      </c>
      <c r="AB8" s="1849" t="s">
        <v>2775</v>
      </c>
      <c r="AC8" s="1849" t="s">
        <v>2776</v>
      </c>
      <c r="AD8" s="1849" t="s">
        <v>2777</v>
      </c>
      <c r="AE8" s="1849" t="s">
        <v>2778</v>
      </c>
      <c r="AF8" s="1849" t="s">
        <v>2779</v>
      </c>
      <c r="AG8" s="1849" t="s">
        <v>2780</v>
      </c>
      <c r="AH8" s="1849" t="s">
        <v>2781</v>
      </c>
      <c r="AI8" s="1849" t="s">
        <v>2782</v>
      </c>
      <c r="AJ8" s="1849" t="s">
        <v>2783</v>
      </c>
    </row>
    <row r="9" spans="1:39" ht="15">
      <c r="A9" s="3406"/>
      <c r="B9" s="1413" t="s">
        <v>936</v>
      </c>
      <c r="C9" s="1046">
        <f>SUMIF(修正!C59:C119,C8,修正!E59:E119)</f>
        <v>0</v>
      </c>
      <c r="D9" s="1047" t="s">
        <v>937</v>
      </c>
      <c r="E9" s="1047" t="e">
        <f>ROUND(C11/E7,4)</f>
        <v>#DIV/0!</v>
      </c>
      <c r="F9" s="1431" t="s">
        <v>938</v>
      </c>
      <c r="G9" s="1432"/>
      <c r="H9" s="1432"/>
      <c r="I9" s="1432"/>
      <c r="J9" s="1433"/>
      <c r="K9" s="1400"/>
      <c r="L9" s="1885" t="s">
        <v>2247</v>
      </c>
      <c r="M9" s="1886">
        <f>SUMPRODUCT((区片价!B245:B289=I2)*(区片价!C3:F3=E2)*(区片价!C245:F289))</f>
        <v>0</v>
      </c>
      <c r="N9" s="1887">
        <f>SUMPRODUCT((因素修正幅度!B245:B289=I2)*(因素修正幅度!C3:F3=E2)*(因素修正幅度!C245:F289))</f>
        <v>0</v>
      </c>
      <c r="O9" s="2189"/>
      <c r="P9" s="2189"/>
      <c r="Q9" s="2189"/>
      <c r="R9" s="2963">
        <v>8</v>
      </c>
      <c r="S9" s="2952"/>
      <c r="T9" s="2963" t="e">
        <f t="shared" si="0"/>
        <v>#DIV/0!</v>
      </c>
      <c r="U9" s="2952"/>
      <c r="V9" s="2963" t="e">
        <f t="shared" si="1"/>
        <v>#DIV/0!</v>
      </c>
      <c r="W9" s="3414" t="s">
        <v>2784</v>
      </c>
      <c r="X9" s="2957" t="s">
        <v>2785</v>
      </c>
      <c r="Y9" s="3122"/>
      <c r="Z9" s="2958">
        <f>$Y$9</f>
        <v>0</v>
      </c>
      <c r="AA9" s="2958">
        <f t="shared" ref="AA9:AJ9" si="2">$Y$9</f>
        <v>0</v>
      </c>
      <c r="AB9" s="2958">
        <f t="shared" si="2"/>
        <v>0</v>
      </c>
      <c r="AC9" s="2958">
        <f t="shared" si="2"/>
        <v>0</v>
      </c>
      <c r="AD9" s="2958">
        <f t="shared" si="2"/>
        <v>0</v>
      </c>
      <c r="AE9" s="2958">
        <f t="shared" si="2"/>
        <v>0</v>
      </c>
      <c r="AF9" s="2958">
        <f t="shared" si="2"/>
        <v>0</v>
      </c>
      <c r="AG9" s="2958">
        <f t="shared" si="2"/>
        <v>0</v>
      </c>
      <c r="AH9" s="2958">
        <f t="shared" si="2"/>
        <v>0</v>
      </c>
      <c r="AI9" s="2958">
        <f t="shared" si="2"/>
        <v>0</v>
      </c>
      <c r="AJ9" s="2958">
        <f t="shared" si="2"/>
        <v>0</v>
      </c>
    </row>
    <row r="10" spans="1:39" ht="15">
      <c r="A10" s="3406"/>
      <c r="B10" s="1413" t="s">
        <v>939</v>
      </c>
      <c r="C10" s="1047">
        <f>SUMIF(修正!C59:C119,C8,修正!F59:F119)</f>
        <v>0</v>
      </c>
      <c r="D10" s="1047" t="s">
        <v>940</v>
      </c>
      <c r="E10" s="1047" t="e">
        <f>ROUND(C11/E7,4)</f>
        <v>#DIV/0!</v>
      </c>
      <c r="F10" s="1431" t="s">
        <v>941</v>
      </c>
      <c r="G10" s="1432"/>
      <c r="H10" s="1432"/>
      <c r="I10" s="1432"/>
      <c r="J10" s="1433"/>
      <c r="K10" s="1400"/>
      <c r="L10" s="1885" t="s">
        <v>2248</v>
      </c>
      <c r="M10" s="1886">
        <f>SUMPRODUCT((区片价!B290:B316=I2)*(区片价!C3:F3=E2)*(区片价!C290:F316))</f>
        <v>0</v>
      </c>
      <c r="N10" s="1887">
        <f>SUMPRODUCT((因素修正幅度!B290:B316=I2)*(因素修正幅度!C3:F3=E2)*(因素修正幅度!C290:F316))</f>
        <v>0</v>
      </c>
      <c r="O10" s="2189"/>
      <c r="P10" s="2189"/>
      <c r="Q10" s="2189"/>
      <c r="R10" s="2963">
        <v>9</v>
      </c>
      <c r="S10" s="2952"/>
      <c r="T10" s="2963" t="e">
        <f t="shared" si="0"/>
        <v>#DIV/0!</v>
      </c>
      <c r="U10" s="2952"/>
      <c r="V10" s="2963" t="e">
        <f t="shared" si="1"/>
        <v>#DIV/0!</v>
      </c>
      <c r="W10" s="3414"/>
      <c r="X10" s="2957">
        <v>7</v>
      </c>
      <c r="Y10" s="2959">
        <f>(-0.163*(Y9^2)-0.59*Y9+7617)*(10^(-4))</f>
        <v>0.76170000000000004</v>
      </c>
      <c r="Z10" s="2959">
        <f>(-0.163*(Z9^2)-0.59*Z9+7617)*(10^(-4))</f>
        <v>0.76170000000000004</v>
      </c>
      <c r="AA10" s="2959">
        <f>(-0.161*(AA9^2)-7.509*AA9+6533)*(10^(-4))</f>
        <v>0.65329999999999999</v>
      </c>
      <c r="AB10" s="2959">
        <f>(-0.161*(AB9^2)-7.509*AB9+6533)*(10^(-4))</f>
        <v>0.65329999999999999</v>
      </c>
      <c r="AC10" s="2959">
        <f>(-0.161*(AC9^2)-7.509*AC9+6533)*(10^(-4))</f>
        <v>0.65329999999999999</v>
      </c>
      <c r="AD10" s="2959">
        <f>(-0.161*(AD9^2)-7.509*AD9+6533)*(10^(-4))</f>
        <v>0.65329999999999999</v>
      </c>
      <c r="AE10" s="2959">
        <f>(-0.161*(AE9^2)-7.509*AE9+6533)*(10^(-4))</f>
        <v>0.65329999999999999</v>
      </c>
      <c r="AF10" s="2959">
        <f>(-0.214*(AF9^2)-21.991*AF9+4665)*(10^(-4))</f>
        <v>0.46650000000000003</v>
      </c>
      <c r="AG10" s="2959">
        <f>(-0.214*(AG9^2)-21.991*AG9+4665)*(10^(-4))</f>
        <v>0.46650000000000003</v>
      </c>
      <c r="AH10" s="2959">
        <f>(-0.214*(AH9^2)-21.991*AH9+4665)*(10^(-4))</f>
        <v>0.46650000000000003</v>
      </c>
      <c r="AI10" s="2959">
        <f>(-0.214*(AI9^2)-21.991*AI9+4665)*(10^(-4))</f>
        <v>0.46650000000000003</v>
      </c>
      <c r="AJ10" s="2959">
        <f>(-0.214*(AJ9^2)-21.991*AJ9+4665)*(10^(-4))</f>
        <v>0.46650000000000003</v>
      </c>
    </row>
    <row r="11" spans="1:39" ht="15.75" customHeight="1" thickBot="1">
      <c r="A11" s="3406"/>
      <c r="B11" s="1434" t="s">
        <v>942</v>
      </c>
      <c r="C11" s="1048">
        <f>C10/4</f>
        <v>0</v>
      </c>
      <c r="D11" s="1048" t="s">
        <v>943</v>
      </c>
      <c r="E11" s="1048" t="e">
        <f>ROUND(C11/E7,4)</f>
        <v>#DIV/0!</v>
      </c>
      <c r="F11" s="1435" t="s">
        <v>944</v>
      </c>
      <c r="G11" s="1436"/>
      <c r="H11" s="1436"/>
      <c r="I11" s="1436"/>
      <c r="J11" s="1437"/>
      <c r="K11" s="1400"/>
      <c r="L11" s="1885" t="s">
        <v>2249</v>
      </c>
      <c r="M11" s="1886">
        <f>SUMPRODUCT((区片价!B317:B337=I2)*(区片价!C3:F3=E2)*(区片价!C317:F337))</f>
        <v>0</v>
      </c>
      <c r="N11" s="1887">
        <f>SUMPRODUCT((因素修正幅度!B317:B337=I2)*(因素修正幅度!C3:F3=E2)*(因素修正幅度!C317:F337))</f>
        <v>0</v>
      </c>
      <c r="O11" s="2189"/>
      <c r="P11" s="2189"/>
      <c r="Q11" s="2189"/>
      <c r="R11" s="2963">
        <v>10</v>
      </c>
      <c r="S11" s="2952"/>
      <c r="T11" s="2963" t="e">
        <f t="shared" si="0"/>
        <v>#DIV/0!</v>
      </c>
      <c r="U11" s="2952"/>
      <c r="V11" s="2963" t="e">
        <f t="shared" si="1"/>
        <v>#DIV/0!</v>
      </c>
      <c r="W11" s="3414" t="s">
        <v>2786</v>
      </c>
      <c r="X11" s="1047" t="s">
        <v>2771</v>
      </c>
      <c r="Y11" s="1652">
        <f>$G$3</f>
        <v>2.2000000000000002</v>
      </c>
      <c r="Z11" s="1652">
        <f t="shared" ref="Z11:AJ11" si="3">$G$3</f>
        <v>2.2000000000000002</v>
      </c>
      <c r="AA11" s="1652">
        <f t="shared" si="3"/>
        <v>2.2000000000000002</v>
      </c>
      <c r="AB11" s="1652">
        <f t="shared" si="3"/>
        <v>2.2000000000000002</v>
      </c>
      <c r="AC11" s="1652">
        <f t="shared" si="3"/>
        <v>2.2000000000000002</v>
      </c>
      <c r="AD11" s="1652">
        <f t="shared" si="3"/>
        <v>2.2000000000000002</v>
      </c>
      <c r="AE11" s="1652">
        <f t="shared" si="3"/>
        <v>2.2000000000000002</v>
      </c>
      <c r="AF11" s="1652">
        <f t="shared" si="3"/>
        <v>2.2000000000000002</v>
      </c>
      <c r="AG11" s="1652">
        <f t="shared" si="3"/>
        <v>2.2000000000000002</v>
      </c>
      <c r="AH11" s="1652">
        <f t="shared" si="3"/>
        <v>2.2000000000000002</v>
      </c>
      <c r="AI11" s="1652">
        <f t="shared" si="3"/>
        <v>2.2000000000000002</v>
      </c>
      <c r="AJ11" s="1652">
        <f t="shared" si="3"/>
        <v>2.2000000000000002</v>
      </c>
    </row>
    <row r="12" spans="1:39" ht="25.5" thickBot="1">
      <c r="A12" s="3405" t="s">
        <v>1871</v>
      </c>
      <c r="B12" s="1438" t="s">
        <v>945</v>
      </c>
      <c r="C12" s="1042">
        <f>ROUND(C15*D15*E15*F15*G15*H15*I15*J15,4)</f>
        <v>1</v>
      </c>
      <c r="D12" s="1439" t="s">
        <v>946</v>
      </c>
      <c r="E12" s="1440"/>
      <c r="F12" s="1440"/>
      <c r="G12" s="1441"/>
      <c r="H12" s="1441"/>
      <c r="I12" s="1441"/>
      <c r="J12" s="1442"/>
      <c r="K12" s="1400"/>
      <c r="L12" s="1888" t="s">
        <v>2250</v>
      </c>
      <c r="M12" s="1889">
        <f>SUMPRODUCT((区片价!B338:B344=I2)*(区片价!C3:F3=E2)*(区片价!C338:F344))</f>
        <v>0</v>
      </c>
      <c r="N12" s="1890">
        <f>SUMPRODUCT((因素修正幅度!B338:B344=I2)*(因素修正幅度!C3:F3=E2)*(因素修正幅度!C338:F344))</f>
        <v>0</v>
      </c>
      <c r="O12" s="2189"/>
      <c r="P12" s="2189"/>
      <c r="Q12" s="2189"/>
      <c r="R12" s="2963">
        <v>11</v>
      </c>
      <c r="S12" s="2952"/>
      <c r="T12" s="2963" t="e">
        <f t="shared" si="0"/>
        <v>#DIV/0!</v>
      </c>
      <c r="U12" s="2952"/>
      <c r="V12" s="2963" t="e">
        <f t="shared" si="1"/>
        <v>#DIV/0!</v>
      </c>
      <c r="W12" s="3414"/>
      <c r="X12" s="2960" t="s">
        <v>2787</v>
      </c>
      <c r="Y12" s="2958">
        <f t="shared" ref="Y12:AJ12" si="4">Y9</f>
        <v>0</v>
      </c>
      <c r="Z12" s="2958">
        <f t="shared" si="4"/>
        <v>0</v>
      </c>
      <c r="AA12" s="2958">
        <f t="shared" si="4"/>
        <v>0</v>
      </c>
      <c r="AB12" s="2958">
        <f t="shared" si="4"/>
        <v>0</v>
      </c>
      <c r="AC12" s="2958">
        <f t="shared" si="4"/>
        <v>0</v>
      </c>
      <c r="AD12" s="2958">
        <f t="shared" si="4"/>
        <v>0</v>
      </c>
      <c r="AE12" s="2958">
        <f t="shared" si="4"/>
        <v>0</v>
      </c>
      <c r="AF12" s="2958">
        <f t="shared" si="4"/>
        <v>0</v>
      </c>
      <c r="AG12" s="2958">
        <f t="shared" si="4"/>
        <v>0</v>
      </c>
      <c r="AH12" s="2958">
        <f t="shared" si="4"/>
        <v>0</v>
      </c>
      <c r="AI12" s="2958">
        <f t="shared" si="4"/>
        <v>0</v>
      </c>
      <c r="AJ12" s="2958">
        <f t="shared" si="4"/>
        <v>0</v>
      </c>
    </row>
    <row r="13" spans="1:39" ht="24">
      <c r="A13" s="3407"/>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63">
        <v>12</v>
      </c>
      <c r="S13" s="2952"/>
      <c r="T13" s="2963" t="e">
        <f t="shared" si="0"/>
        <v>#DIV/0!</v>
      </c>
      <c r="U13" s="2952"/>
      <c r="V13" s="2963" t="e">
        <f t="shared" si="1"/>
        <v>#DIV/0!</v>
      </c>
      <c r="W13" s="3414"/>
      <c r="X13" s="2960"/>
      <c r="Y13" s="2959">
        <f>(-0.163*(Y12^2)-0.59*Y12+7617)*(10^(-4))/Y11</f>
        <v>0.34622727272727272</v>
      </c>
      <c r="Z13" s="2959">
        <f t="shared" ref="Z13:AJ13" si="5">(-0.163*(Z12^2)-0.59*Z12+7617)*(10^(-4))/Z11</f>
        <v>0.34622727272727272</v>
      </c>
      <c r="AA13" s="2959">
        <f t="shared" si="5"/>
        <v>0.34622727272727272</v>
      </c>
      <c r="AB13" s="2959">
        <f t="shared" si="5"/>
        <v>0.34622727272727272</v>
      </c>
      <c r="AC13" s="2959">
        <f t="shared" si="5"/>
        <v>0.34622727272727272</v>
      </c>
      <c r="AD13" s="2959">
        <f t="shared" si="5"/>
        <v>0.34622727272727272</v>
      </c>
      <c r="AE13" s="2959">
        <f t="shared" si="5"/>
        <v>0.34622727272727272</v>
      </c>
      <c r="AF13" s="2959">
        <f t="shared" si="5"/>
        <v>0.34622727272727272</v>
      </c>
      <c r="AG13" s="2959">
        <f t="shared" si="5"/>
        <v>0.34622727272727272</v>
      </c>
      <c r="AH13" s="2959">
        <f t="shared" si="5"/>
        <v>0.34622727272727272</v>
      </c>
      <c r="AI13" s="2959">
        <f t="shared" si="5"/>
        <v>0.34622727272727272</v>
      </c>
      <c r="AJ13" s="2959">
        <f t="shared" si="5"/>
        <v>0.34622727272727272</v>
      </c>
    </row>
    <row r="14" spans="1:39" ht="12.75" customHeight="1" thickBot="1">
      <c r="A14" s="3407"/>
      <c r="B14" s="1450"/>
      <c r="C14" s="1451"/>
      <c r="D14" s="1452"/>
      <c r="E14" s="1452"/>
      <c r="F14" s="1453"/>
      <c r="G14" s="1454" t="s">
        <v>948</v>
      </c>
      <c r="H14" s="1455"/>
      <c r="I14" s="1456"/>
      <c r="J14" s="1457"/>
      <c r="K14" s="1400"/>
      <c r="L14" s="2189"/>
      <c r="M14" s="2189"/>
      <c r="N14" s="2189"/>
      <c r="O14" s="2189"/>
      <c r="P14" s="2189"/>
      <c r="Q14" s="2189"/>
      <c r="R14" s="2963">
        <v>13</v>
      </c>
      <c r="S14" s="2952"/>
      <c r="T14" s="2963" t="e">
        <f t="shared" si="0"/>
        <v>#DIV/0!</v>
      </c>
      <c r="U14" s="2952"/>
      <c r="V14" s="2963" t="e">
        <f t="shared" si="1"/>
        <v>#DIV/0!</v>
      </c>
      <c r="W14" s="2189"/>
      <c r="X14" s="2189"/>
      <c r="Y14" s="2189"/>
      <c r="Z14" s="2189"/>
      <c r="AA14" s="2189"/>
      <c r="AB14" s="2189"/>
      <c r="AC14" s="2190"/>
    </row>
    <row r="15" spans="1:39" ht="13.5" customHeight="1" thickBot="1">
      <c r="A15" s="3408"/>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63">
        <v>14</v>
      </c>
      <c r="S15" s="2952"/>
      <c r="T15" s="2963" t="e">
        <f t="shared" si="0"/>
        <v>#DIV/0!</v>
      </c>
      <c r="U15" s="2952"/>
      <c r="V15" s="2963" t="e">
        <f t="shared" si="1"/>
        <v>#DIV/0!</v>
      </c>
      <c r="W15" s="2189"/>
      <c r="X15" s="2189"/>
      <c r="Y15" s="2189"/>
      <c r="Z15" s="2189"/>
      <c r="AA15" s="2189"/>
      <c r="AB15" s="2189"/>
      <c r="AC15" s="2190"/>
    </row>
    <row r="16" spans="1:39" ht="24">
      <c r="A16" s="3405"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63">
        <v>15</v>
      </c>
      <c r="S16" s="2952"/>
      <c r="T16" s="2963" t="e">
        <f t="shared" si="0"/>
        <v>#DIV/0!</v>
      </c>
      <c r="U16" s="2952"/>
      <c r="V16" s="2963" t="e">
        <f t="shared" si="1"/>
        <v>#DIV/0!</v>
      </c>
      <c r="W16" s="2192"/>
      <c r="X16" s="2192"/>
      <c r="Y16" s="2192"/>
      <c r="Z16" s="2192"/>
      <c r="AA16" s="2192"/>
      <c r="AB16" s="2192"/>
      <c r="AC16" s="2193"/>
    </row>
    <row r="17" spans="1:40" ht="13.5" thickBot="1">
      <c r="A17" s="3406"/>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98" t="s">
        <v>955</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ROUND(IF(H19="按公示增长率计算",SUMPRODUCT((地价!A3:A20=YEAR(G19)&amp;"-"&amp;ROUNDUP(MONTH(G19)/3,0))*(地价!X2:AB2=E2)*(地价!X3:AB20)),IF(H19="地价指数",M20/M19,(1+I19)^O19)),4)</f>
        <v>#DIV/0!</v>
      </c>
      <c r="D19" s="1473" t="s">
        <v>957</v>
      </c>
      <c r="E19" s="1057">
        <v>41640</v>
      </c>
      <c r="F19" s="1473" t="s">
        <v>958</v>
      </c>
      <c r="G19" s="1058">
        <f>'数据-取费表'!B2</f>
        <v>43083</v>
      </c>
      <c r="H19" s="1474" t="s">
        <v>2937</v>
      </c>
      <c r="I19" s="2810" t="str">
        <f>IF(H19="季度增幅（自定义）",SUMIF(N21:N24,E2,O21:O24),"")</f>
        <v/>
      </c>
      <c r="J19" s="1470"/>
      <c r="K19" s="1480"/>
      <c r="L19" s="3066" t="s">
        <v>2846</v>
      </c>
      <c r="M19" s="3067">
        <f>ROUND(SUMIF(地价!B2:F2,E2,地价!B20:F20),0)</f>
        <v>0</v>
      </c>
      <c r="N19" s="2812" t="s">
        <v>1676</v>
      </c>
      <c r="O19" s="2811">
        <f>ROUNDDOWN(DATEDIF(E19,G19,"M")/3,0)</f>
        <v>15</v>
      </c>
      <c r="P19" s="1595"/>
      <c r="R19" s="2951"/>
      <c r="S19" s="2951"/>
      <c r="T19" s="2951"/>
      <c r="U19" s="2951"/>
      <c r="V19" s="2951"/>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1836</v>
      </c>
      <c r="B20" s="2805" t="s">
        <v>971</v>
      </c>
      <c r="C20" s="2806" t="e">
        <f>ROUND(POWER(1+G20,J20-I20)*(POWER(1+G20,I20)-1)/(POWER(1+G20,J20)-1),4)</f>
        <v>#DIV/0!</v>
      </c>
      <c r="D20" s="2807" t="s">
        <v>972</v>
      </c>
      <c r="E20" s="3119">
        <f ca="1">存贷款利率!I4/100</f>
        <v>4.3499999999999997E-2</v>
      </c>
      <c r="F20" s="2807" t="s">
        <v>973</v>
      </c>
      <c r="G20" s="2808">
        <f>SUMIF(M15:P15,E2,M17:P17)</f>
        <v>0</v>
      </c>
      <c r="H20" s="2807" t="s">
        <v>974</v>
      </c>
      <c r="I20" s="2797" t="e">
        <f>SUMIF('数据-取费表'!C6:C15,E2,'数据-取费表'!F6:F15)/COUNTIF('数据-取费表'!C6:C15,E2)</f>
        <v>#DIV/0!</v>
      </c>
      <c r="J20" s="2809">
        <f>IF(E2="住宅",70,IF(E2="商业",40,50))</f>
        <v>50</v>
      </c>
      <c r="K20" s="1480"/>
      <c r="L20" s="3068" t="s">
        <v>2847</v>
      </c>
      <c r="M20" s="3069">
        <f>ROUND(SUMPRODUCT((地价!A5:A20=YEAR(G19)&amp;"-"&amp;ROUNDUP(MONTH(G19)/3,0))*(地价!B2:F2=E2)*(地价!B5:F20)),0)</f>
        <v>0</v>
      </c>
      <c r="N20" s="2815" t="s">
        <v>2650</v>
      </c>
      <c r="O20" s="2813" t="s">
        <v>2649</v>
      </c>
      <c r="P20" s="2814" t="s">
        <v>2655</v>
      </c>
      <c r="R20" s="2951"/>
      <c r="S20" s="2951"/>
      <c r="T20" s="2951"/>
      <c r="U20" s="2951"/>
      <c r="V20" s="2951"/>
      <c r="W20" s="2195"/>
      <c r="X20" s="2195"/>
      <c r="Y20" s="2195"/>
      <c r="Z20" s="2195"/>
      <c r="AA20" s="2195"/>
      <c r="AB20" s="2195"/>
      <c r="AC20" s="2195"/>
      <c r="AD20" s="1471"/>
      <c r="AE20" s="1471"/>
      <c r="AF20" s="1471"/>
      <c r="AG20" s="1471"/>
      <c r="AH20" s="1471"/>
      <c r="AI20" s="1471"/>
    </row>
    <row r="21" spans="1:40" s="1420" customFormat="1" ht="14.25">
      <c r="A21" s="1641" t="s">
        <v>1837</v>
      </c>
      <c r="B21" s="1479" t="s">
        <v>2766</v>
      </c>
      <c r="C21" s="1157">
        <f>IF(B21="容积率修正",IF(G3&lt;=10,D22,J22),C23)</f>
        <v>0</v>
      </c>
      <c r="D21" s="1480"/>
      <c r="E21" s="1480"/>
      <c r="F21" s="1480"/>
      <c r="G21" s="1480"/>
      <c r="H21" s="1480"/>
      <c r="I21" s="1480"/>
      <c r="J21" s="1481"/>
      <c r="K21" s="1480"/>
      <c r="L21" s="1480"/>
      <c r="M21" s="1480"/>
      <c r="N21" s="1477" t="s">
        <v>975</v>
      </c>
      <c r="O21" s="1541"/>
      <c r="P21" s="2795">
        <f>SUMPRODUCT((地价!A3:A20=YEAR(G19)&amp;"-"&amp;ROUNDUP(MONTH(G19)/3,0))*(地价!AD2:AH2=N21)*(地价!AD3:AH20))</f>
        <v>1.6400000000000001E-2</v>
      </c>
      <c r="R21" s="2951"/>
      <c r="S21" s="2951"/>
      <c r="T21" s="2951"/>
      <c r="U21" s="2951"/>
      <c r="V21" s="2951"/>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b">
        <f>IF(E22=G22,F22,IF(G3&lt;=10,ROUND(F22+(H22-F22)*(G3-E22)/(G22-E22),4),"——"))</f>
        <v>0</v>
      </c>
      <c r="E22" s="1038">
        <f>ROUNDDOWN(G3,1)</f>
        <v>2.2000000000000002</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2.2000000000000002</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977</v>
      </c>
      <c r="J22" s="1059" t="str">
        <f>IF(G3&gt;10,D113,"——")</f>
        <v>——</v>
      </c>
      <c r="K22" s="1480"/>
      <c r="L22" s="1480"/>
      <c r="M22" s="1480"/>
      <c r="N22" s="1477" t="s">
        <v>978</v>
      </c>
      <c r="O22" s="1541"/>
      <c r="P22" s="2795">
        <f>SUMPRODUCT((地价!A3:A20=YEAR(G19)&amp;"-"&amp;ROUNDUP(MONTH(G19)/3,0))*(地价!AD2:AH2=N22)*(地价!AD3:AH20))</f>
        <v>1.6400000000000001E-2</v>
      </c>
      <c r="R22" s="2951"/>
      <c r="S22" s="2951"/>
      <c r="T22" s="2951"/>
      <c r="U22" s="2951"/>
      <c r="V22" s="2951"/>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95">
        <f>SUMPRODUCT((地价!A3:A20=YEAR(G19)&amp;"-"&amp;ROUNDUP(MONTH(G19)/3,0))*(地价!AD2:AH2=N23)*(地价!AD3:AH20))</f>
        <v>2.7799999999999998E-2</v>
      </c>
      <c r="R23" s="2951"/>
      <c r="S23" s="2951"/>
      <c r="T23" s="2951"/>
      <c r="U23" s="2951"/>
      <c r="V23" s="2951"/>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SUMPRODUCT((地价!A3:A20=YEAR(G19)&amp;"-"&amp;ROUNDUP(MONTH(G19)/3,0))*(地价!AD2:AH2=N24)*(地价!AD3:AH20))</f>
        <v>1.3899999999999999E-2</v>
      </c>
      <c r="R24" s="2951"/>
      <c r="S24" s="2951"/>
      <c r="T24" s="2951"/>
      <c r="U24" s="2951"/>
      <c r="V24" s="2951"/>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823" t="s">
        <v>2653</v>
      </c>
      <c r="O25" s="2195"/>
      <c r="P25" s="1540">
        <f>SUMPRODUCT((地价!A3:A20=YEAR(G19)&amp;"-"&amp;ROUNDUP(MONTH(G19)/3,0))*(地价!AD2:AH2=N25)*(地价!AD3:AH20))</f>
        <v>2.4899999999999999E-2</v>
      </c>
      <c r="R25" s="2951"/>
      <c r="S25" s="2951"/>
      <c r="T25" s="2951"/>
      <c r="U25" s="2951"/>
      <c r="V25" s="2951"/>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51"/>
      <c r="S26" s="2951"/>
      <c r="T26" s="2951"/>
      <c r="U26" s="2951"/>
      <c r="V26" s="2951"/>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51"/>
      <c r="S27" s="2951"/>
      <c r="T27" s="2951"/>
      <c r="U27" s="2951"/>
      <c r="V27" s="2951"/>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51"/>
      <c r="S28" s="2951"/>
      <c r="T28" s="2951"/>
      <c r="U28" s="2951"/>
      <c r="V28" s="2951"/>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51"/>
      <c r="S29" s="2951"/>
      <c r="T29" s="2951"/>
      <c r="U29" s="2951"/>
      <c r="V29" s="2951"/>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11" t="s">
        <v>2964</v>
      </c>
      <c r="B33" s="1523" t="s">
        <v>999</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12"/>
      <c r="B34" s="1444" t="s">
        <v>1000</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12"/>
      <c r="B35" s="1444" t="s">
        <v>1001</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13"/>
      <c r="B36" s="1444" t="s">
        <v>1002</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1006</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1007</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32" t="s">
        <v>1009</v>
      </c>
      <c r="C46" s="2454" t="s">
        <v>1010</v>
      </c>
      <c r="D46" s="2455" t="s">
        <v>1011</v>
      </c>
      <c r="E46" s="2456" t="s">
        <v>1013</v>
      </c>
      <c r="F46" s="2457" t="s">
        <v>2251</v>
      </c>
      <c r="G46" s="2455" t="s">
        <v>1014</v>
      </c>
      <c r="H46" s="2438" t="s">
        <v>2419</v>
      </c>
      <c r="I46" s="2455" t="s">
        <v>1012</v>
      </c>
      <c r="J46" s="2458" t="s">
        <v>1015</v>
      </c>
      <c r="K46" s="2458" t="s">
        <v>1016</v>
      </c>
      <c r="L46" s="2458" t="s">
        <v>1017</v>
      </c>
      <c r="M46" s="2458" t="s">
        <v>1018</v>
      </c>
      <c r="N46" s="2458"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35" t="str">
        <f>估价对象房地状况!C16</f>
        <v>估价对象周边商业氛围成熟度较差，人流量一般，，商业繁华度较差</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1021</v>
      </c>
      <c r="B48" s="2432" t="str">
        <f>估价对象房地状况!C18</f>
        <v>估价对象周边1公里有357、355路等公交车经过，公共交通通达情况一般、停车便捷程度较好，综合评价交通便捷度较差</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32" t="str">
        <f>估价对象房地状况!C19</f>
        <v>零星有其他用地，基本不影响本宗地</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121" t="s">
        <v>2939</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32" t="str">
        <f>估价对象房地状况!C24</f>
        <v>快速路——三环线</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120" t="s">
        <v>2938</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1026</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1027</v>
      </c>
      <c r="B54" s="2432" t="str">
        <f>估价对象房地状况!C22</f>
        <v>估价对象所在区域基础设施水平-六通</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1028</v>
      </c>
      <c r="B55" s="2436" t="str">
        <f>估价对象房地状况!C20</f>
        <v>周边2公里内有长沙医学院、观音岩水库，区域自然环境较好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1029</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32"/>
      <c r="C57" s="2454" t="s">
        <v>1010</v>
      </c>
      <c r="D57" s="2455" t="s">
        <v>1011</v>
      </c>
      <c r="E57" s="2456" t="s">
        <v>1013</v>
      </c>
      <c r="F57" s="2457" t="s">
        <v>2252</v>
      </c>
      <c r="G57" s="2455" t="s">
        <v>1014</v>
      </c>
      <c r="H57" s="2438" t="s">
        <v>2419</v>
      </c>
      <c r="I57" s="2455" t="s">
        <v>1012</v>
      </c>
      <c r="J57" s="2458" t="s">
        <v>1015</v>
      </c>
      <c r="K57" s="2458" t="s">
        <v>1016</v>
      </c>
      <c r="L57" s="2458" t="s">
        <v>1017</v>
      </c>
      <c r="M57" s="2458" t="s">
        <v>1018</v>
      </c>
      <c r="N57" s="2458"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1030</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1021</v>
      </c>
      <c r="B59" s="2432" t="str">
        <f>估价对象房地状况!C18</f>
        <v>估价对象周边1公里有357、355路等公交车经过，公共交通通达情况一般、停车便捷程度较好，综合评价交通便捷度较差</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32" t="str">
        <f>估价对象房地状况!C19</f>
        <v>零星有其他用地，基本不影响本宗地</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121" t="s">
        <v>2940</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32" t="str">
        <f>估价对象房地状况!C24</f>
        <v>快速路——三环线</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120" t="s">
        <v>2938</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33" t="str">
        <f>估价对象房地状况!C22</f>
        <v>估价对象所在区域基础设施水平-六通</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1028</v>
      </c>
      <c r="B66" s="2437" t="str">
        <f>估价对象房地状况!C20</f>
        <v>周边2公里内有长沙医学院、观音岩水库，区域自然环境较好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1031</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32"/>
      <c r="C68" s="2454" t="s">
        <v>1010</v>
      </c>
      <c r="D68" s="2455" t="s">
        <v>1011</v>
      </c>
      <c r="E68" s="2456" t="s">
        <v>1013</v>
      </c>
      <c r="F68" s="2457" t="s">
        <v>2253</v>
      </c>
      <c r="G68" s="2455" t="s">
        <v>1014</v>
      </c>
      <c r="H68" s="2438" t="s">
        <v>2419</v>
      </c>
      <c r="I68" s="2455" t="s">
        <v>1012</v>
      </c>
      <c r="J68" s="2458" t="s">
        <v>1015</v>
      </c>
      <c r="K68" s="2458" t="s">
        <v>1016</v>
      </c>
      <c r="L68" s="2458" t="s">
        <v>1017</v>
      </c>
      <c r="M68" s="2458" t="s">
        <v>1018</v>
      </c>
      <c r="N68" s="2458"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35" t="str">
        <f>估价对象房地状况!C15</f>
        <v>估价对象周边居住用地比例较低、周边1公里有大汉汉园等项目、综合评价居住社区成熟度较差</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1033</v>
      </c>
      <c r="B70" s="2432" t="str">
        <f>估价对象房地状况!C18</f>
        <v>估价对象周边1公里有357、355路等公交车经过，公共交通通达情况一般、停车便捷程度较好，综合评价交通便捷度较差</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32" t="str">
        <f>估价对象房地状况!C19</f>
        <v>零星有其他用地，基本不影响本宗地</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32" t="str">
        <f>估价对象房地状况!C24</f>
        <v>快速路——三环线</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33" t="str">
        <f>估价对象房地状况!C22</f>
        <v>估价对象所在区域基础设施水平-六通</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120" t="s">
        <v>2938</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35" t="str">
        <f>估价对象房地状况!C20</f>
        <v>周边2公里内有长沙医学院、观音岩水库，区域自然环境较好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1035</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1036</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1008</v>
      </c>
      <c r="B79" s="2432"/>
      <c r="C79" s="2454" t="s">
        <v>1010</v>
      </c>
      <c r="D79" s="2455" t="s">
        <v>1011</v>
      </c>
      <c r="E79" s="2456" t="s">
        <v>1013</v>
      </c>
      <c r="F79" s="2457" t="s">
        <v>2254</v>
      </c>
      <c r="G79" s="2455" t="s">
        <v>1014</v>
      </c>
      <c r="H79" s="2438" t="s">
        <v>2419</v>
      </c>
      <c r="I79" s="2455" t="s">
        <v>1012</v>
      </c>
      <c r="J79" s="2458" t="s">
        <v>1015</v>
      </c>
      <c r="K79" s="2458" t="s">
        <v>1016</v>
      </c>
      <c r="L79" s="2458" t="s">
        <v>1017</v>
      </c>
      <c r="M79" s="2458" t="s">
        <v>1018</v>
      </c>
      <c r="N79" s="2458" t="s">
        <v>1019</v>
      </c>
      <c r="AC79" s="1404"/>
      <c r="AD79" s="1403"/>
      <c r="AJ79" s="1402"/>
      <c r="AN79" s="1403"/>
    </row>
    <row r="80" spans="1:40" ht="36">
      <c r="A80" s="1066" t="s">
        <v>1037</v>
      </c>
      <c r="B80" s="2432" t="str">
        <f>估价对象房地状况!G15</f>
        <v>估价对象位于XX开发区，园区建设成熟度XX，产业集聚程度XX</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48">
      <c r="A81" s="1066" t="s">
        <v>1033</v>
      </c>
      <c r="B81" s="2432" t="str">
        <f>估价对象房地状况!G16</f>
        <v>估价对象周边道路状况、公共交通通达情况、停车便捷程度，综合评价交通便捷度较好</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1022</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1034</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1026</v>
      </c>
      <c r="B84" s="2433" t="str">
        <f>估价对象房地状况!G19</f>
        <v>估价对象所在区域公共配套设施齐备情况</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1027</v>
      </c>
      <c r="B85" s="2433" t="str">
        <f>估价对象房地状况!G20</f>
        <v>估价对象所在区域基础设施水平</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1025</v>
      </c>
      <c r="B86" s="3120" t="s">
        <v>2938</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36.75" thickBot="1">
      <c r="A87" s="2465" t="s">
        <v>1038</v>
      </c>
      <c r="B87" s="2434" t="str">
        <f>估价对象房地状况!G18</f>
        <v>该园区内是否有污染型企业，绿化情况，卫生条件，整体环境状况判断</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09" t="s">
        <v>1633</v>
      </c>
      <c r="B90" s="3409"/>
      <c r="C90" s="3409"/>
      <c r="D90" s="3409"/>
      <c r="E90" s="3409"/>
      <c r="F90" s="3409"/>
      <c r="G90" s="3409"/>
      <c r="H90" s="3409"/>
      <c r="I90" s="3409"/>
      <c r="J90" s="3409"/>
      <c r="K90" s="2474"/>
      <c r="L90" s="2474"/>
      <c r="M90" s="2474"/>
      <c r="N90" s="2474"/>
    </row>
    <row r="91" spans="1:40">
      <c r="A91" s="3410" t="s">
        <v>1443</v>
      </c>
      <c r="B91" s="3410" t="s">
        <v>1634</v>
      </c>
      <c r="C91" s="1139" t="s">
        <v>1635</v>
      </c>
      <c r="D91" s="1140"/>
      <c r="E91" s="1140"/>
      <c r="F91" s="1140"/>
      <c r="G91" s="1140"/>
      <c r="H91" s="1140"/>
      <c r="I91" s="1140"/>
      <c r="J91" s="1141"/>
      <c r="K91" s="1133"/>
      <c r="L91" s="1133"/>
      <c r="M91" s="1133"/>
      <c r="N91" s="1133"/>
    </row>
    <row r="92" spans="1:40">
      <c r="A92" s="3410"/>
      <c r="B92" s="3410"/>
      <c r="C92" s="2473" t="s">
        <v>906</v>
      </c>
      <c r="D92" s="2473" t="s">
        <v>884</v>
      </c>
      <c r="E92" s="2473" t="s">
        <v>885</v>
      </c>
      <c r="F92" s="2473" t="s">
        <v>909</v>
      </c>
      <c r="G92" s="2473" t="s">
        <v>887</v>
      </c>
      <c r="H92" s="2473" t="s">
        <v>888</v>
      </c>
      <c r="I92" s="2473" t="s">
        <v>889</v>
      </c>
      <c r="J92" s="2473" t="s">
        <v>890</v>
      </c>
      <c r="K92" s="2473" t="s">
        <v>914</v>
      </c>
      <c r="L92" s="2473" t="s">
        <v>892</v>
      </c>
      <c r="M92" s="2473" t="s">
        <v>893</v>
      </c>
      <c r="N92" s="2473" t="s">
        <v>917</v>
      </c>
    </row>
    <row r="93" spans="1:40">
      <c r="A93" s="3417" t="s">
        <v>2769</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18"/>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18"/>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18"/>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18"/>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18"/>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18"/>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19"/>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17" t="s">
        <v>1637</v>
      </c>
      <c r="B101" s="1146" t="s">
        <v>905</v>
      </c>
      <c r="C101" s="1147">
        <f>$G$3</f>
        <v>2.2000000000000002</v>
      </c>
      <c r="D101" s="1147">
        <f t="shared" ref="D101:N101" si="31">$G$3</f>
        <v>2.2000000000000002</v>
      </c>
      <c r="E101" s="1147">
        <f t="shared" si="31"/>
        <v>2.2000000000000002</v>
      </c>
      <c r="F101" s="1147">
        <f t="shared" si="31"/>
        <v>2.2000000000000002</v>
      </c>
      <c r="G101" s="1147">
        <f t="shared" si="31"/>
        <v>2.2000000000000002</v>
      </c>
      <c r="H101" s="1147">
        <f t="shared" si="31"/>
        <v>2.2000000000000002</v>
      </c>
      <c r="I101" s="1147">
        <f t="shared" si="31"/>
        <v>2.2000000000000002</v>
      </c>
      <c r="J101" s="1147">
        <f t="shared" si="31"/>
        <v>2.2000000000000002</v>
      </c>
      <c r="K101" s="1147">
        <f t="shared" si="31"/>
        <v>2.2000000000000002</v>
      </c>
      <c r="L101" s="1147">
        <f t="shared" si="31"/>
        <v>2.2000000000000002</v>
      </c>
      <c r="M101" s="1147">
        <f t="shared" si="31"/>
        <v>2.2000000000000002</v>
      </c>
      <c r="N101" s="1147">
        <f t="shared" si="31"/>
        <v>2.2000000000000002</v>
      </c>
    </row>
    <row r="102" spans="1:14">
      <c r="A102" s="3418"/>
      <c r="B102" s="1142">
        <v>1</v>
      </c>
      <c r="C102" s="1143">
        <f>1.9362/C101</f>
        <v>0.88009090909090903</v>
      </c>
      <c r="D102" s="1143">
        <f>1.9362/D101</f>
        <v>0.88009090909090903</v>
      </c>
      <c r="E102" s="1143">
        <f>1.8629/E101</f>
        <v>0.84677272727272723</v>
      </c>
      <c r="F102" s="1143">
        <f>1.8629/F101</f>
        <v>0.84677272727272723</v>
      </c>
      <c r="G102" s="1143">
        <f>1.8629/G101</f>
        <v>0.84677272727272723</v>
      </c>
      <c r="H102" s="1143">
        <f>1.8629/H101</f>
        <v>0.84677272727272723</v>
      </c>
      <c r="I102" s="1143">
        <f>1.8629/I101</f>
        <v>0.84677272727272723</v>
      </c>
      <c r="J102" s="1143">
        <f>1.942/J101</f>
        <v>0.88272727272727258</v>
      </c>
      <c r="K102" s="1143">
        <f>1.942/K101</f>
        <v>0.88272727272727258</v>
      </c>
      <c r="L102" s="1143">
        <f>1.942/L101</f>
        <v>0.88272727272727258</v>
      </c>
      <c r="M102" s="1143">
        <f>1.942/M101</f>
        <v>0.88272727272727258</v>
      </c>
      <c r="N102" s="1143">
        <f>1.942/N101</f>
        <v>0.88272727272727258</v>
      </c>
    </row>
    <row r="103" spans="1:14">
      <c r="A103" s="3418"/>
      <c r="B103" s="1142">
        <v>2</v>
      </c>
      <c r="C103" s="1143">
        <f>1.4198/C101</f>
        <v>0.64536363636363625</v>
      </c>
      <c r="D103" s="1143">
        <f>1.4198/D101</f>
        <v>0.64536363636363625</v>
      </c>
      <c r="E103" s="1143">
        <f>1.3372/E101</f>
        <v>0.6078181818181817</v>
      </c>
      <c r="F103" s="1143">
        <f>1.3372/F101</f>
        <v>0.6078181818181817</v>
      </c>
      <c r="G103" s="1143">
        <f>1.3372/G101</f>
        <v>0.6078181818181817</v>
      </c>
      <c r="H103" s="1143">
        <f>1.3372/H101</f>
        <v>0.6078181818181817</v>
      </c>
      <c r="I103" s="1143">
        <f>1.3372/I101</f>
        <v>0.6078181818181817</v>
      </c>
      <c r="J103" s="1143">
        <f>1.2799/J101</f>
        <v>0.58177272727272722</v>
      </c>
      <c r="K103" s="1143">
        <f>1.2799/K101</f>
        <v>0.58177272727272722</v>
      </c>
      <c r="L103" s="1143">
        <f>1.2799/L101</f>
        <v>0.58177272727272722</v>
      </c>
      <c r="M103" s="1143">
        <f>1.2799/M101</f>
        <v>0.58177272727272722</v>
      </c>
      <c r="N103" s="1143">
        <f>1.2799/N101</f>
        <v>0.58177272727272722</v>
      </c>
    </row>
    <row r="104" spans="1:14">
      <c r="A104" s="3418"/>
      <c r="B104" s="1142">
        <v>3</v>
      </c>
      <c r="C104" s="1143">
        <f>1.1594/C101</f>
        <v>0.52699999999999991</v>
      </c>
      <c r="D104" s="1143">
        <f>1.1594/D101</f>
        <v>0.52699999999999991</v>
      </c>
      <c r="E104" s="1143">
        <f>1.0788/E101</f>
        <v>0.49036363636363633</v>
      </c>
      <c r="F104" s="1143">
        <f>1.0788/F101</f>
        <v>0.49036363636363633</v>
      </c>
      <c r="G104" s="1143">
        <f>1.0788/G101</f>
        <v>0.49036363636363633</v>
      </c>
      <c r="H104" s="1143">
        <f>1.0788/H101</f>
        <v>0.49036363636363633</v>
      </c>
      <c r="I104" s="1143">
        <f>1.0788/I101</f>
        <v>0.49036363636363633</v>
      </c>
      <c r="J104" s="1143">
        <f>1.0072/J101</f>
        <v>0.45781818181818185</v>
      </c>
      <c r="K104" s="1143">
        <f>1.0072/K101</f>
        <v>0.45781818181818185</v>
      </c>
      <c r="L104" s="1143">
        <f>1.0072/L101</f>
        <v>0.45781818181818185</v>
      </c>
      <c r="M104" s="1143">
        <f>1.0072/M101</f>
        <v>0.45781818181818185</v>
      </c>
      <c r="N104" s="1143">
        <f>1.0072/N101</f>
        <v>0.45781818181818185</v>
      </c>
    </row>
    <row r="105" spans="1:14">
      <c r="A105" s="3418"/>
      <c r="B105" s="1142">
        <v>4</v>
      </c>
      <c r="C105" s="1143">
        <f>0.9622/C101</f>
        <v>0.43736363636363634</v>
      </c>
      <c r="D105" s="1143">
        <f>0.9622/D101</f>
        <v>0.43736363636363634</v>
      </c>
      <c r="E105" s="1143">
        <f>0.8656/E101</f>
        <v>0.39345454545454545</v>
      </c>
      <c r="F105" s="1143">
        <f>0.8656/F101</f>
        <v>0.39345454545454545</v>
      </c>
      <c r="G105" s="1143">
        <f>0.8656/G101</f>
        <v>0.39345454545454545</v>
      </c>
      <c r="H105" s="1143">
        <f>0.8656/H101</f>
        <v>0.39345454545454545</v>
      </c>
      <c r="I105" s="1143">
        <f>0.8656/I101</f>
        <v>0.39345454545454545</v>
      </c>
      <c r="J105" s="1143">
        <f>0.7525/J101</f>
        <v>0.34204545454545449</v>
      </c>
      <c r="K105" s="1143">
        <f>0.7525/K101</f>
        <v>0.34204545454545449</v>
      </c>
      <c r="L105" s="1143">
        <f>0.7525/L101</f>
        <v>0.34204545454545449</v>
      </c>
      <c r="M105" s="1143">
        <f>0.7525/M101</f>
        <v>0.34204545454545449</v>
      </c>
      <c r="N105" s="1143">
        <f>0.7525/N101</f>
        <v>0.34204545454545449</v>
      </c>
    </row>
    <row r="106" spans="1:14">
      <c r="A106" s="3418"/>
      <c r="B106" s="1142">
        <v>5</v>
      </c>
      <c r="C106" s="1143">
        <f>0.8417/C101</f>
        <v>0.38259090909090904</v>
      </c>
      <c r="D106" s="1143">
        <f>0.8417/D101</f>
        <v>0.38259090909090904</v>
      </c>
      <c r="E106" s="1143">
        <f>0.7371/E101</f>
        <v>0.33504545454545454</v>
      </c>
      <c r="F106" s="1143">
        <f>0.7371/F101</f>
        <v>0.33504545454545454</v>
      </c>
      <c r="G106" s="1143">
        <f>0.7371/G101</f>
        <v>0.33504545454545454</v>
      </c>
      <c r="H106" s="1143">
        <f>0.7371/H101</f>
        <v>0.33504545454545454</v>
      </c>
      <c r="I106" s="1143">
        <f>0.7371/I101</f>
        <v>0.33504545454545454</v>
      </c>
      <c r="J106" s="1143">
        <f>0.5659/J101</f>
        <v>0.25722727272727269</v>
      </c>
      <c r="K106" s="1143">
        <f>0.5659/K101</f>
        <v>0.25722727272727269</v>
      </c>
      <c r="L106" s="1143">
        <f>0.5659/L101</f>
        <v>0.25722727272727269</v>
      </c>
      <c r="M106" s="1143">
        <f>0.5659/M101</f>
        <v>0.25722727272727269</v>
      </c>
      <c r="N106" s="1143">
        <f>0.5659/N101</f>
        <v>0.25722727272727269</v>
      </c>
    </row>
    <row r="107" spans="1:14">
      <c r="A107" s="3418"/>
      <c r="B107" s="1142">
        <v>6</v>
      </c>
      <c r="C107" s="1143">
        <f>0.7608/C101</f>
        <v>0.3458181818181818</v>
      </c>
      <c r="D107" s="1143">
        <f>0.7608/D101</f>
        <v>0.3458181818181818</v>
      </c>
      <c r="E107" s="1143">
        <f>0.6482/E101</f>
        <v>0.29463636363636359</v>
      </c>
      <c r="F107" s="1143">
        <f>0.6482/F101</f>
        <v>0.29463636363636359</v>
      </c>
      <c r="G107" s="1143">
        <f>0.6482/G101</f>
        <v>0.29463636363636359</v>
      </c>
      <c r="H107" s="1143">
        <f>0.6482/H101</f>
        <v>0.29463636363636359</v>
      </c>
      <c r="I107" s="1143">
        <f>0.6482/I101</f>
        <v>0.29463636363636359</v>
      </c>
      <c r="J107" s="1143">
        <f>0.4525/J101</f>
        <v>0.20568181818181816</v>
      </c>
      <c r="K107" s="1143">
        <f>0.4525/K101</f>
        <v>0.20568181818181816</v>
      </c>
      <c r="L107" s="1143">
        <f>0.4525/L101</f>
        <v>0.20568181818181816</v>
      </c>
      <c r="M107" s="1143">
        <f>0.4525/M101</f>
        <v>0.20568181818181816</v>
      </c>
      <c r="N107" s="1143">
        <f>0.4525/N101</f>
        <v>0.20568181818181816</v>
      </c>
    </row>
    <row r="108" spans="1:14">
      <c r="A108" s="3418"/>
      <c r="B108" s="3420"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19"/>
      <c r="B109" s="3421"/>
      <c r="C109" s="1145">
        <f>(-0.163*(C108^2)-0.59*C108+7617)*(10^(-4))/C101</f>
        <v>0.34553854545454543</v>
      </c>
      <c r="D109" s="1145">
        <f>(-0.163*(D108^2)-0.59*D108+7617)*(10^(-4))/D101</f>
        <v>0.34553854545454543</v>
      </c>
      <c r="E109" s="1145">
        <f>(-0.161*(E108^2)-7.509*E108+6533)*(10^(-4))/E101</f>
        <v>0.29375563636363633</v>
      </c>
      <c r="F109" s="1145">
        <f>(-0.161*(F108^2)-7.509*F108+6533)*(10^(-4))/F101</f>
        <v>0.29375563636363633</v>
      </c>
      <c r="G109" s="1145">
        <f>(-0.161*(G108^2)-7.509*G108+6533)*(10^(-4))/G101</f>
        <v>0.29375563636363633</v>
      </c>
      <c r="H109" s="1145">
        <f>(-0.161*(H108^2)-7.509*H108+6533)*(10^(-4))/H101</f>
        <v>0.29375563636363633</v>
      </c>
      <c r="I109" s="1145">
        <f>(-0.161*(I108^2)-7.509*I108+6533)*(10^(-4))/I101</f>
        <v>0.29375563636363633</v>
      </c>
      <c r="J109" s="1145">
        <f>(-0.214*(J108^2)-21.991*J108+4665)*(10^(-4))/J101</f>
        <v>0.20342618181818181</v>
      </c>
      <c r="K109" s="1145">
        <f>(-0.214*(K108^2)-21.991*K108+4665)*(10^(-4))/K101</f>
        <v>0.20342618181818181</v>
      </c>
      <c r="L109" s="1145">
        <f>(-0.214*(L108^2)-21.991*L108+4665)*(10^(-4))/L101</f>
        <v>0.20342618181818181</v>
      </c>
      <c r="M109" s="1145">
        <f>(-0.214*(M108^2)-21.991*M108+4665)*(10^(-4))/M101</f>
        <v>0.20342618181818181</v>
      </c>
      <c r="N109" s="1145">
        <f>(-0.214*(N108^2)-21.991*N108+4665)*(10^(-4))/N101</f>
        <v>0.20342618181818181</v>
      </c>
    </row>
    <row r="110" spans="1:14">
      <c r="A110" s="3404" t="s">
        <v>1639</v>
      </c>
      <c r="B110" s="3404"/>
      <c r="C110" s="3404"/>
      <c r="D110" s="3404"/>
      <c r="E110" s="3404"/>
      <c r="F110" s="3404"/>
      <c r="G110" s="3404"/>
      <c r="H110" s="3404"/>
      <c r="I110" s="3404"/>
      <c r="J110" s="3404"/>
      <c r="K110" s="2472"/>
      <c r="L110" s="2472"/>
      <c r="M110" s="2472"/>
      <c r="N110" s="2472"/>
    </row>
    <row r="112" spans="1:14" ht="12.75" thickBot="1"/>
    <row r="113" spans="1:13" ht="25.5" thickBot="1">
      <c r="A113" s="1015" t="s">
        <v>895</v>
      </c>
      <c r="B113" s="2475">
        <f>G3</f>
        <v>2.2000000000000002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0.91279999999999994</v>
      </c>
      <c r="C115" s="1029">
        <f>B115</f>
        <v>0.91279999999999994</v>
      </c>
      <c r="D115" s="1029">
        <f>ROUND(0.8331-0.0109*B113,4)</f>
        <v>0.80910000000000004</v>
      </c>
      <c r="E115" s="1029">
        <f>D115</f>
        <v>0.80910000000000004</v>
      </c>
      <c r="F115" s="1029">
        <f>E115</f>
        <v>0.80910000000000004</v>
      </c>
      <c r="G115" s="1029">
        <f>F115</f>
        <v>0.80910000000000004</v>
      </c>
      <c r="H115" s="1029">
        <f>G115</f>
        <v>0.80910000000000004</v>
      </c>
      <c r="I115" s="1029">
        <f>ROUND(0.689-0.0155*B113,4)</f>
        <v>0.65490000000000004</v>
      </c>
      <c r="J115" s="1029">
        <f t="shared" ref="J115:M118" si="33">I115</f>
        <v>0.65490000000000004</v>
      </c>
      <c r="K115" s="1029">
        <f t="shared" si="33"/>
        <v>0.65490000000000004</v>
      </c>
      <c r="L115" s="1029">
        <f t="shared" si="33"/>
        <v>0.65490000000000004</v>
      </c>
      <c r="M115" s="1030">
        <f t="shared" si="33"/>
        <v>0.65490000000000004</v>
      </c>
    </row>
    <row r="116" spans="1:13" ht="12.75">
      <c r="A116" s="1028" t="s">
        <v>900</v>
      </c>
      <c r="B116" s="1029">
        <f>ROUND(0.949-0.012*B113,4)</f>
        <v>0.92259999999999998</v>
      </c>
      <c r="C116" s="1029">
        <f>B116</f>
        <v>0.92259999999999998</v>
      </c>
      <c r="D116" s="1029">
        <f>ROUND(0.8567-0.013*B113,4)</f>
        <v>0.82809999999999995</v>
      </c>
      <c r="E116" s="1029">
        <f t="shared" ref="E116:H117" si="34">D116</f>
        <v>0.82809999999999995</v>
      </c>
      <c r="F116" s="1029">
        <f t="shared" si="34"/>
        <v>0.82809999999999995</v>
      </c>
      <c r="G116" s="1029">
        <f t="shared" si="34"/>
        <v>0.82809999999999995</v>
      </c>
      <c r="H116" s="1029">
        <f t="shared" si="34"/>
        <v>0.82809999999999995</v>
      </c>
      <c r="I116" s="1029">
        <f>ROUND(0.7694-0.014*B113,4)</f>
        <v>0.73860000000000003</v>
      </c>
      <c r="J116" s="1029">
        <f t="shared" si="33"/>
        <v>0.73860000000000003</v>
      </c>
      <c r="K116" s="1029">
        <f t="shared" si="33"/>
        <v>0.73860000000000003</v>
      </c>
      <c r="L116" s="1029">
        <f t="shared" si="33"/>
        <v>0.73860000000000003</v>
      </c>
      <c r="M116" s="1030">
        <f t="shared" si="33"/>
        <v>0.73860000000000003</v>
      </c>
    </row>
    <row r="117" spans="1:13" ht="12.75">
      <c r="A117" s="1031" t="s">
        <v>901</v>
      </c>
      <c r="B117" s="1029">
        <f>ROUND(0.8808-0.006*B113,4)</f>
        <v>0.86760000000000004</v>
      </c>
      <c r="C117" s="1029">
        <f>B117</f>
        <v>0.86760000000000004</v>
      </c>
      <c r="D117" s="1029">
        <f>ROUND(0.8748-0.008*B113,4)</f>
        <v>0.85719999999999996</v>
      </c>
      <c r="E117" s="1029">
        <f t="shared" si="34"/>
        <v>0.85719999999999996</v>
      </c>
      <c r="F117" s="1029">
        <f t="shared" si="34"/>
        <v>0.85719999999999996</v>
      </c>
      <c r="G117" s="1029">
        <f t="shared" si="34"/>
        <v>0.85719999999999996</v>
      </c>
      <c r="H117" s="1029">
        <f t="shared" si="34"/>
        <v>0.85719999999999996</v>
      </c>
      <c r="I117" s="1029">
        <f>ROUND(0.7412-0.0095*B113,4)</f>
        <v>0.72030000000000005</v>
      </c>
      <c r="J117" s="1029">
        <f t="shared" si="33"/>
        <v>0.72030000000000005</v>
      </c>
      <c r="K117" s="1029">
        <f t="shared" si="33"/>
        <v>0.72030000000000005</v>
      </c>
      <c r="L117" s="1029">
        <f t="shared" si="33"/>
        <v>0.72030000000000005</v>
      </c>
      <c r="M117" s="1030">
        <f t="shared" si="33"/>
        <v>0.72030000000000005</v>
      </c>
    </row>
    <row r="118" spans="1:13" ht="13.5" thickBot="1">
      <c r="A118" s="1032" t="s">
        <v>902</v>
      </c>
      <c r="B118" s="1033">
        <f>ROUND(0.7275-0.01*B113,4)</f>
        <v>0.70550000000000002</v>
      </c>
      <c r="C118" s="1033">
        <f>B118</f>
        <v>0.70550000000000002</v>
      </c>
      <c r="D118" s="1033">
        <f>ROUND(0.7043-0.012*B113,4)</f>
        <v>0.67789999999999995</v>
      </c>
      <c r="E118" s="1033">
        <f>D118</f>
        <v>0.67789999999999995</v>
      </c>
      <c r="F118" s="1033">
        <f>E118</f>
        <v>0.67789999999999995</v>
      </c>
      <c r="G118" s="1033">
        <f>ROUND(0.6299-0.0122*B113,4)</f>
        <v>0.60309999999999997</v>
      </c>
      <c r="H118" s="1033">
        <f>G118</f>
        <v>0.60309999999999997</v>
      </c>
      <c r="I118" s="1033">
        <f>ROUND(0.5667-0.0136*B113,4)</f>
        <v>0.53680000000000005</v>
      </c>
      <c r="J118" s="1033">
        <f t="shared" si="33"/>
        <v>0.53680000000000005</v>
      </c>
      <c r="K118" s="1033">
        <f t="shared" si="33"/>
        <v>0.53680000000000005</v>
      </c>
      <c r="L118" s="1033">
        <f t="shared" si="33"/>
        <v>0.53680000000000005</v>
      </c>
      <c r="M118" s="1034">
        <f t="shared" si="33"/>
        <v>0.53680000000000005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10" t="s">
        <v>1007</v>
      </c>
      <c r="B18" s="1153" t="s">
        <v>1446</v>
      </c>
      <c r="C18" s="1130" t="s">
        <v>1447</v>
      </c>
      <c r="D18" s="1131"/>
      <c r="E18" s="1153">
        <v>1</v>
      </c>
      <c r="F18" s="1132" t="s">
        <v>1448</v>
      </c>
      <c r="G18" s="1133"/>
      <c r="H18" s="1104"/>
      <c r="I18" s="1104"/>
    </row>
    <row r="19" spans="1:9" s="1598" customFormat="1" ht="19.5" customHeight="1">
      <c r="A19" s="3410"/>
      <c r="B19" s="3410" t="s">
        <v>1449</v>
      </c>
      <c r="C19" s="1130" t="s">
        <v>1450</v>
      </c>
      <c r="D19" s="1131"/>
      <c r="E19" s="1153">
        <v>0.9</v>
      </c>
      <c r="F19" s="1132" t="s">
        <v>1451</v>
      </c>
      <c r="G19" s="1133"/>
      <c r="H19" s="1104"/>
      <c r="I19" s="1104"/>
    </row>
    <row r="20" spans="1:9" s="1598" customFormat="1" ht="19.5" customHeight="1">
      <c r="A20" s="3410"/>
      <c r="B20" s="3410"/>
      <c r="C20" s="1130" t="s">
        <v>1452</v>
      </c>
      <c r="D20" s="1131"/>
      <c r="E20" s="1153">
        <v>1.1000000000000001</v>
      </c>
      <c r="F20" s="1132" t="s">
        <v>1453</v>
      </c>
      <c r="G20" s="1133"/>
      <c r="H20" s="1104"/>
      <c r="I20" s="1104"/>
    </row>
    <row r="21" spans="1:9" s="1598" customFormat="1" ht="19.5" customHeight="1">
      <c r="A21" s="3410"/>
      <c r="B21" s="3410"/>
      <c r="C21" s="1130" t="s">
        <v>1454</v>
      </c>
      <c r="D21" s="1131"/>
      <c r="E21" s="1153">
        <v>0.8</v>
      </c>
      <c r="F21" s="1132" t="s">
        <v>1455</v>
      </c>
      <c r="G21" s="1133"/>
      <c r="H21" s="1104"/>
      <c r="I21" s="1104"/>
    </row>
    <row r="22" spans="1:9" s="1598" customFormat="1" ht="19.5" customHeight="1">
      <c r="A22" s="3410"/>
      <c r="B22" s="3410"/>
      <c r="C22" s="1130" t="s">
        <v>1456</v>
      </c>
      <c r="D22" s="1131"/>
      <c r="E22" s="1153">
        <v>0.5</v>
      </c>
      <c r="F22" s="1132"/>
      <c r="G22" s="1133"/>
      <c r="H22" s="1104"/>
      <c r="I22" s="1104"/>
    </row>
    <row r="23" spans="1:9" s="1598" customFormat="1" ht="19.5" customHeight="1">
      <c r="A23" s="3410" t="s">
        <v>1029</v>
      </c>
      <c r="B23" s="1153" t="s">
        <v>1446</v>
      </c>
      <c r="C23" s="1130" t="s">
        <v>1457</v>
      </c>
      <c r="D23" s="1131"/>
      <c r="E23" s="1153">
        <v>1</v>
      </c>
      <c r="F23" s="1132" t="s">
        <v>1458</v>
      </c>
      <c r="G23" s="1133"/>
      <c r="H23" s="1104"/>
      <c r="I23" s="1104"/>
    </row>
    <row r="24" spans="1:9" s="1598" customFormat="1" ht="19.5" customHeight="1">
      <c r="A24" s="3410"/>
      <c r="B24" s="3410" t="s">
        <v>1449</v>
      </c>
      <c r="C24" s="1130" t="s">
        <v>1459</v>
      </c>
      <c r="D24" s="1131"/>
      <c r="E24" s="1153">
        <v>0.5</v>
      </c>
      <c r="F24" s="1132"/>
      <c r="G24" s="1133"/>
      <c r="H24" s="1104"/>
      <c r="I24" s="1104"/>
    </row>
    <row r="25" spans="1:9" s="1598" customFormat="1" ht="19.5" customHeight="1">
      <c r="A25" s="3410"/>
      <c r="B25" s="3410"/>
      <c r="C25" s="1130" t="s">
        <v>1460</v>
      </c>
      <c r="D25" s="1131"/>
      <c r="E25" s="1153">
        <v>1.1000000000000001</v>
      </c>
      <c r="F25" s="1132"/>
      <c r="G25" s="1133"/>
      <c r="H25" s="1104"/>
      <c r="I25" s="1104"/>
    </row>
    <row r="26" spans="1:9" s="1598" customFormat="1" ht="19.5" customHeight="1">
      <c r="A26" s="3410"/>
      <c r="B26" s="3410"/>
      <c r="C26" s="1130" t="s">
        <v>1461</v>
      </c>
      <c r="D26" s="1131"/>
      <c r="E26" s="1153">
        <v>1.1000000000000001</v>
      </c>
      <c r="F26" s="1132"/>
      <c r="G26" s="1133"/>
      <c r="H26" s="1104"/>
      <c r="I26" s="1104"/>
    </row>
    <row r="27" spans="1:9" s="1598" customFormat="1" ht="19.5" customHeight="1">
      <c r="A27" s="3410"/>
      <c r="B27" s="3410"/>
      <c r="C27" s="1130" t="s">
        <v>1462</v>
      </c>
      <c r="D27" s="1131"/>
      <c r="E27" s="1153">
        <v>0.9</v>
      </c>
      <c r="F27" s="1132" t="s">
        <v>1463</v>
      </c>
      <c r="G27" s="1133"/>
      <c r="H27" s="1104"/>
      <c r="I27" s="1104"/>
    </row>
    <row r="28" spans="1:9" s="1598" customFormat="1" ht="19.5" customHeight="1">
      <c r="A28" s="3410"/>
      <c r="B28" s="3410"/>
      <c r="C28" s="1130" t="s">
        <v>1464</v>
      </c>
      <c r="D28" s="1131"/>
      <c r="E28" s="1153">
        <v>0.9</v>
      </c>
      <c r="F28" s="1132" t="s">
        <v>1465</v>
      </c>
      <c r="G28" s="1133"/>
      <c r="H28" s="1104"/>
      <c r="I28" s="1104"/>
    </row>
    <row r="29" spans="1:9" s="1598" customFormat="1" ht="19.5" customHeight="1">
      <c r="A29" s="3410"/>
      <c r="B29" s="3410"/>
      <c r="C29" s="1130" t="s">
        <v>1466</v>
      </c>
      <c r="D29" s="1131"/>
      <c r="E29" s="1153">
        <v>0.9</v>
      </c>
      <c r="F29" s="1132" t="s">
        <v>1467</v>
      </c>
      <c r="G29" s="1133"/>
      <c r="H29" s="1104"/>
      <c r="I29" s="1104"/>
    </row>
    <row r="30" spans="1:9" s="1598" customFormat="1" ht="19.5" customHeight="1">
      <c r="A30" s="3410"/>
      <c r="B30" s="3410"/>
      <c r="C30" s="1130" t="s">
        <v>1468</v>
      </c>
      <c r="D30" s="1131"/>
      <c r="E30" s="1153">
        <v>0.9</v>
      </c>
      <c r="F30" s="1132" t="s">
        <v>1469</v>
      </c>
      <c r="G30" s="1133"/>
      <c r="H30" s="1104"/>
      <c r="I30" s="1104"/>
    </row>
    <row r="31" spans="1:9" s="1598" customFormat="1" ht="19.5" customHeight="1">
      <c r="A31" s="3410"/>
      <c r="B31" s="3410"/>
      <c r="C31" s="1130" t="s">
        <v>1470</v>
      </c>
      <c r="D31" s="1131"/>
      <c r="E31" s="1153">
        <v>0.8</v>
      </c>
      <c r="F31" s="1132" t="s">
        <v>1471</v>
      </c>
      <c r="G31" s="1133"/>
      <c r="H31" s="1104"/>
      <c r="I31" s="1104"/>
    </row>
    <row r="32" spans="1:9" s="1598" customFormat="1" ht="19.5" customHeight="1">
      <c r="A32" s="3410"/>
      <c r="B32" s="3410"/>
      <c r="C32" s="1130" t="s">
        <v>1472</v>
      </c>
      <c r="D32" s="1131"/>
      <c r="E32" s="1153">
        <v>0.8</v>
      </c>
      <c r="F32" s="1132" t="s">
        <v>1473</v>
      </c>
      <c r="G32" s="1133"/>
      <c r="H32" s="1104"/>
      <c r="I32" s="1104"/>
    </row>
    <row r="33" spans="1:9" s="1598" customFormat="1" ht="19.5" customHeight="1">
      <c r="A33" s="3410" t="s">
        <v>1474</v>
      </c>
      <c r="B33" s="1153" t="s">
        <v>1446</v>
      </c>
      <c r="C33" s="1130" t="s">
        <v>1475</v>
      </c>
      <c r="D33" s="1131"/>
      <c r="E33" s="1153">
        <v>1</v>
      </c>
      <c r="F33" s="1132" t="s">
        <v>1476</v>
      </c>
      <c r="G33" s="1133"/>
      <c r="H33" s="1104"/>
      <c r="I33" s="1104"/>
    </row>
    <row r="34" spans="1:9" s="1598" customFormat="1" ht="19.5" customHeight="1">
      <c r="A34" s="3410"/>
      <c r="B34" s="1153" t="s">
        <v>1449</v>
      </c>
      <c r="C34" s="1130" t="s">
        <v>1477</v>
      </c>
      <c r="D34" s="1131"/>
      <c r="E34" s="1153">
        <v>1.5</v>
      </c>
      <c r="F34" s="1132" t="s">
        <v>1478</v>
      </c>
      <c r="G34" s="1133"/>
      <c r="H34" s="1104"/>
      <c r="I34" s="1104"/>
    </row>
    <row r="35" spans="1:9" s="1598" customFormat="1" ht="19.5" customHeight="1">
      <c r="A35" s="3410" t="s">
        <v>1432</v>
      </c>
      <c r="B35" s="1153" t="s">
        <v>1446</v>
      </c>
      <c r="C35" s="1130" t="s">
        <v>1479</v>
      </c>
      <c r="D35" s="1131"/>
      <c r="E35" s="1153">
        <v>1</v>
      </c>
      <c r="F35" s="1132" t="s">
        <v>1480</v>
      </c>
      <c r="G35" s="1133"/>
      <c r="H35" s="1104"/>
      <c r="I35" s="1104"/>
    </row>
    <row r="36" spans="1:9" s="1598" customFormat="1" ht="19.5" customHeight="1">
      <c r="A36" s="3410"/>
      <c r="B36" s="3410" t="s">
        <v>1449</v>
      </c>
      <c r="C36" s="1130" t="s">
        <v>1481</v>
      </c>
      <c r="D36" s="1131"/>
      <c r="E36" s="1153">
        <v>1</v>
      </c>
      <c r="F36" s="1132" t="s">
        <v>1482</v>
      </c>
      <c r="G36" s="1133"/>
      <c r="H36" s="1104"/>
      <c r="I36" s="1104"/>
    </row>
    <row r="37" spans="1:9" s="1598" customFormat="1" ht="19.5" customHeight="1">
      <c r="A37" s="3410"/>
      <c r="B37" s="3410"/>
      <c r="C37" s="1130" t="s">
        <v>1483</v>
      </c>
      <c r="D37" s="1131"/>
      <c r="E37" s="1153">
        <v>1.5</v>
      </c>
      <c r="F37" s="1132" t="s">
        <v>1484</v>
      </c>
      <c r="G37" s="1133"/>
      <c r="H37" s="1104"/>
      <c r="I37" s="1104"/>
    </row>
    <row r="38" spans="1:9" s="1598" customFormat="1" ht="19.5" customHeight="1">
      <c r="A38" s="3410"/>
      <c r="B38" s="3410"/>
      <c r="C38" s="1130" t="s">
        <v>1485</v>
      </c>
      <c r="D38" s="1131"/>
      <c r="E38" s="1153">
        <v>1</v>
      </c>
      <c r="F38" s="1132" t="s">
        <v>1486</v>
      </c>
      <c r="G38" s="1133"/>
      <c r="H38" s="1104"/>
      <c r="I38" s="1104"/>
    </row>
    <row r="39" spans="1:9" s="1598" customFormat="1" ht="19.5" customHeight="1">
      <c r="A39" s="3410"/>
      <c r="B39" s="3410"/>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10" t="s">
        <v>1501</v>
      </c>
      <c r="C61" s="1067" t="s">
        <v>1502</v>
      </c>
      <c r="D61" s="1067" t="s">
        <v>1503</v>
      </c>
      <c r="E61" s="1138">
        <v>0.5</v>
      </c>
      <c r="F61" s="1153">
        <v>80</v>
      </c>
      <c r="H61" s="1104">
        <f>SUMIF(C59:C119,基准地价!C8,E59:E119)</f>
        <v>0</v>
      </c>
    </row>
    <row r="62" spans="1:8" s="1104" customFormat="1" ht="24">
      <c r="A62" s="1153">
        <v>2</v>
      </c>
      <c r="B62" s="3410"/>
      <c r="C62" s="1067" t="s">
        <v>1504</v>
      </c>
      <c r="D62" s="1067" t="s">
        <v>1505</v>
      </c>
      <c r="E62" s="1138">
        <v>0.5</v>
      </c>
      <c r="F62" s="1153">
        <v>80</v>
      </c>
    </row>
    <row r="63" spans="1:8" s="1104" customFormat="1" ht="36">
      <c r="A63" s="1153">
        <v>3</v>
      </c>
      <c r="B63" s="3410"/>
      <c r="C63" s="1067" t="s">
        <v>1506</v>
      </c>
      <c r="D63" s="1067" t="s">
        <v>1507</v>
      </c>
      <c r="E63" s="1138">
        <v>0.5</v>
      </c>
      <c r="F63" s="1153">
        <v>80</v>
      </c>
    </row>
    <row r="64" spans="1:8" s="1104" customFormat="1" ht="36">
      <c r="A64" s="1153">
        <v>4</v>
      </c>
      <c r="B64" s="3410"/>
      <c r="C64" s="1067" t="s">
        <v>1508</v>
      </c>
      <c r="D64" s="1067" t="s">
        <v>1509</v>
      </c>
      <c r="E64" s="1138">
        <v>0.4</v>
      </c>
      <c r="F64" s="1153">
        <v>60</v>
      </c>
    </row>
    <row r="65" spans="1:6" s="1104" customFormat="1" ht="36">
      <c r="A65" s="1153">
        <v>5</v>
      </c>
      <c r="B65" s="3410"/>
      <c r="C65" s="1067" t="s">
        <v>1510</v>
      </c>
      <c r="D65" s="1067" t="s">
        <v>1511</v>
      </c>
      <c r="E65" s="1138">
        <v>0.2</v>
      </c>
      <c r="F65" s="1153">
        <v>30</v>
      </c>
    </row>
    <row r="66" spans="1:6" s="1104" customFormat="1" ht="36">
      <c r="A66" s="1153">
        <v>6</v>
      </c>
      <c r="B66" s="3410"/>
      <c r="C66" s="1067" t="s">
        <v>1512</v>
      </c>
      <c r="D66" s="1067" t="s">
        <v>1513</v>
      </c>
      <c r="E66" s="1138">
        <v>0.3</v>
      </c>
      <c r="F66" s="1153">
        <v>50</v>
      </c>
    </row>
    <row r="67" spans="1:6" s="1104" customFormat="1" ht="36">
      <c r="A67" s="1153">
        <v>7</v>
      </c>
      <c r="B67" s="3410"/>
      <c r="C67" s="1067" t="s">
        <v>1514</v>
      </c>
      <c r="D67" s="1067" t="s">
        <v>1515</v>
      </c>
      <c r="E67" s="1138">
        <v>0.2</v>
      </c>
      <c r="F67" s="1153">
        <v>30</v>
      </c>
    </row>
    <row r="68" spans="1:6" s="1104" customFormat="1" ht="36">
      <c r="A68" s="1153">
        <v>8</v>
      </c>
      <c r="B68" s="3410"/>
      <c r="C68" s="1067" t="s">
        <v>1516</v>
      </c>
      <c r="D68" s="1067" t="s">
        <v>1517</v>
      </c>
      <c r="E68" s="1138">
        <v>0.2</v>
      </c>
      <c r="F68" s="1153">
        <v>30</v>
      </c>
    </row>
    <row r="69" spans="1:6" s="1104" customFormat="1" ht="36">
      <c r="A69" s="1153">
        <v>9</v>
      </c>
      <c r="B69" s="3410"/>
      <c r="C69" s="1067" t="s">
        <v>1518</v>
      </c>
      <c r="D69" s="1067" t="s">
        <v>1519</v>
      </c>
      <c r="E69" s="1138">
        <v>0.2</v>
      </c>
      <c r="F69" s="1153">
        <v>30</v>
      </c>
    </row>
    <row r="70" spans="1:6" s="1104" customFormat="1" ht="48">
      <c r="A70" s="1153">
        <v>10</v>
      </c>
      <c r="B70" s="3410"/>
      <c r="C70" s="1067" t="s">
        <v>1520</v>
      </c>
      <c r="D70" s="1067" t="s">
        <v>1521</v>
      </c>
      <c r="E70" s="1138">
        <v>0.2</v>
      </c>
      <c r="F70" s="1153">
        <v>30</v>
      </c>
    </row>
    <row r="71" spans="1:6" s="1104" customFormat="1" ht="48">
      <c r="A71" s="1153">
        <v>11</v>
      </c>
      <c r="B71" s="3410"/>
      <c r="C71" s="1067" t="s">
        <v>1522</v>
      </c>
      <c r="D71" s="1067" t="s">
        <v>1523</v>
      </c>
      <c r="E71" s="1138">
        <v>0.2</v>
      </c>
      <c r="F71" s="1153">
        <v>30</v>
      </c>
    </row>
    <row r="72" spans="1:6" s="1104" customFormat="1" ht="36">
      <c r="A72" s="1153">
        <v>12</v>
      </c>
      <c r="B72" s="3410"/>
      <c r="C72" s="1067" t="s">
        <v>1524</v>
      </c>
      <c r="D72" s="1067" t="s">
        <v>1525</v>
      </c>
      <c r="E72" s="1138">
        <v>0.5</v>
      </c>
      <c r="F72" s="1153">
        <v>80</v>
      </c>
    </row>
    <row r="73" spans="1:6" s="1104" customFormat="1" ht="24">
      <c r="A73" s="1153">
        <v>13</v>
      </c>
      <c r="B73" s="3410"/>
      <c r="C73" s="1067" t="s">
        <v>1526</v>
      </c>
      <c r="D73" s="1067" t="s">
        <v>1527</v>
      </c>
      <c r="E73" s="1138">
        <v>0.4</v>
      </c>
      <c r="F73" s="1153">
        <v>60</v>
      </c>
    </row>
    <row r="74" spans="1:6" s="1104" customFormat="1" ht="24">
      <c r="A74" s="1153">
        <v>14</v>
      </c>
      <c r="B74" s="3410"/>
      <c r="C74" s="1067" t="s">
        <v>1528</v>
      </c>
      <c r="D74" s="1067" t="s">
        <v>1529</v>
      </c>
      <c r="E74" s="1138">
        <v>0.2</v>
      </c>
      <c r="F74" s="1153">
        <v>30</v>
      </c>
    </row>
    <row r="75" spans="1:6" s="1104" customFormat="1" ht="24">
      <c r="A75" s="1153">
        <v>15</v>
      </c>
      <c r="B75" s="3410"/>
      <c r="C75" s="1067" t="s">
        <v>1530</v>
      </c>
      <c r="D75" s="1067" t="s">
        <v>1531</v>
      </c>
      <c r="E75" s="1138">
        <v>0.2</v>
      </c>
      <c r="F75" s="1153">
        <v>30</v>
      </c>
    </row>
    <row r="76" spans="1:6" s="1104" customFormat="1" ht="24">
      <c r="A76" s="1153">
        <v>16</v>
      </c>
      <c r="B76" s="3410" t="s">
        <v>1532</v>
      </c>
      <c r="C76" s="1067" t="s">
        <v>1533</v>
      </c>
      <c r="D76" s="1067" t="s">
        <v>1534</v>
      </c>
      <c r="E76" s="1138">
        <v>0.5</v>
      </c>
      <c r="F76" s="1153">
        <v>80</v>
      </c>
    </row>
    <row r="77" spans="1:6" s="1104" customFormat="1" ht="24">
      <c r="A77" s="1153">
        <v>17</v>
      </c>
      <c r="B77" s="3410"/>
      <c r="C77" s="1067" t="s">
        <v>1535</v>
      </c>
      <c r="D77" s="1067" t="s">
        <v>1536</v>
      </c>
      <c r="E77" s="1138">
        <v>0.5</v>
      </c>
      <c r="F77" s="1153">
        <v>80</v>
      </c>
    </row>
    <row r="78" spans="1:6" s="1104" customFormat="1" ht="24">
      <c r="A78" s="1153">
        <v>18</v>
      </c>
      <c r="B78" s="3410"/>
      <c r="C78" s="1067" t="s">
        <v>1537</v>
      </c>
      <c r="D78" s="1067" t="s">
        <v>1538</v>
      </c>
      <c r="E78" s="1138">
        <v>0.2</v>
      </c>
      <c r="F78" s="1153">
        <v>30</v>
      </c>
    </row>
    <row r="79" spans="1:6" s="1104" customFormat="1" ht="24">
      <c r="A79" s="1153">
        <v>19</v>
      </c>
      <c r="B79" s="3410"/>
      <c r="C79" s="1067" t="s">
        <v>1539</v>
      </c>
      <c r="D79" s="1067" t="s">
        <v>1540</v>
      </c>
      <c r="E79" s="1138">
        <v>0.5</v>
      </c>
      <c r="F79" s="1153">
        <v>80</v>
      </c>
    </row>
    <row r="80" spans="1:6" s="1104" customFormat="1" ht="36">
      <c r="A80" s="1153">
        <v>20</v>
      </c>
      <c r="B80" s="3410"/>
      <c r="C80" s="1067" t="s">
        <v>1541</v>
      </c>
      <c r="D80" s="1067" t="s">
        <v>1542</v>
      </c>
      <c r="E80" s="1138">
        <v>0.2</v>
      </c>
      <c r="F80" s="1153">
        <v>30</v>
      </c>
    </row>
    <row r="81" spans="1:6" s="1104" customFormat="1" ht="36">
      <c r="A81" s="1153">
        <v>21</v>
      </c>
      <c r="B81" s="3410"/>
      <c r="C81" s="1067" t="s">
        <v>1543</v>
      </c>
      <c r="D81" s="1067" t="s">
        <v>1544</v>
      </c>
      <c r="E81" s="1138">
        <v>0.2</v>
      </c>
      <c r="F81" s="1153">
        <v>30</v>
      </c>
    </row>
    <row r="82" spans="1:6" s="1104" customFormat="1" ht="48">
      <c r="A82" s="1153">
        <v>22</v>
      </c>
      <c r="B82" s="3410"/>
      <c r="C82" s="1067" t="s">
        <v>1545</v>
      </c>
      <c r="D82" s="1067" t="s">
        <v>1546</v>
      </c>
      <c r="E82" s="1138">
        <v>0.2</v>
      </c>
      <c r="F82" s="1153">
        <v>30</v>
      </c>
    </row>
    <row r="83" spans="1:6" s="1104" customFormat="1" ht="48">
      <c r="A83" s="1153">
        <v>23</v>
      </c>
      <c r="B83" s="3410"/>
      <c r="C83" s="1067" t="s">
        <v>1547</v>
      </c>
      <c r="D83" s="1067" t="s">
        <v>1548</v>
      </c>
      <c r="E83" s="1138">
        <v>0.2</v>
      </c>
      <c r="F83" s="1153">
        <v>30</v>
      </c>
    </row>
    <row r="84" spans="1:6" s="1104" customFormat="1" ht="36">
      <c r="A84" s="1153">
        <v>24</v>
      </c>
      <c r="B84" s="3410"/>
      <c r="C84" s="1067" t="s">
        <v>1549</v>
      </c>
      <c r="D84" s="1067" t="s">
        <v>1550</v>
      </c>
      <c r="E84" s="1138">
        <v>0.2</v>
      </c>
      <c r="F84" s="1153">
        <v>30</v>
      </c>
    </row>
    <row r="85" spans="1:6" s="1104" customFormat="1" ht="36">
      <c r="A85" s="1153">
        <v>25</v>
      </c>
      <c r="B85" s="3410"/>
      <c r="C85" s="1067" t="s">
        <v>1551</v>
      </c>
      <c r="D85" s="1067" t="s">
        <v>1552</v>
      </c>
      <c r="E85" s="1138">
        <v>0.5</v>
      </c>
      <c r="F85" s="1153">
        <v>80</v>
      </c>
    </row>
    <row r="86" spans="1:6" s="1104" customFormat="1" ht="36">
      <c r="A86" s="1153">
        <v>26</v>
      </c>
      <c r="B86" s="3410"/>
      <c r="C86" s="1067" t="s">
        <v>1553</v>
      </c>
      <c r="D86" s="1067" t="s">
        <v>1554</v>
      </c>
      <c r="E86" s="1138">
        <v>0.2</v>
      </c>
      <c r="F86" s="1153">
        <v>30</v>
      </c>
    </row>
    <row r="87" spans="1:6" s="1104" customFormat="1" ht="36">
      <c r="A87" s="1153">
        <v>27</v>
      </c>
      <c r="B87" s="3410"/>
      <c r="C87" s="1067" t="s">
        <v>1555</v>
      </c>
      <c r="D87" s="1067" t="s">
        <v>1556</v>
      </c>
      <c r="E87" s="1138">
        <v>0.2</v>
      </c>
      <c r="F87" s="1153">
        <v>30</v>
      </c>
    </row>
    <row r="88" spans="1:6" s="1104" customFormat="1" ht="36">
      <c r="A88" s="1153">
        <v>28</v>
      </c>
      <c r="B88" s="3410"/>
      <c r="C88" s="1067" t="s">
        <v>1557</v>
      </c>
      <c r="D88" s="1067" t="s">
        <v>1558</v>
      </c>
      <c r="E88" s="1138">
        <v>0.2</v>
      </c>
      <c r="F88" s="1153">
        <v>30</v>
      </c>
    </row>
    <row r="89" spans="1:6" s="1104" customFormat="1" ht="24">
      <c r="A89" s="1153">
        <v>29</v>
      </c>
      <c r="B89" s="3410"/>
      <c r="C89" s="1067" t="s">
        <v>1559</v>
      </c>
      <c r="D89" s="1067" t="s">
        <v>1560</v>
      </c>
      <c r="E89" s="1138">
        <v>0.2</v>
      </c>
      <c r="F89" s="1153">
        <v>30</v>
      </c>
    </row>
    <row r="90" spans="1:6" s="1104" customFormat="1" ht="24">
      <c r="A90" s="1153">
        <v>30</v>
      </c>
      <c r="B90" s="3410"/>
      <c r="C90" s="1067" t="s">
        <v>1561</v>
      </c>
      <c r="D90" s="1067" t="s">
        <v>1562</v>
      </c>
      <c r="E90" s="1138">
        <v>0.2</v>
      </c>
      <c r="F90" s="1153">
        <v>30</v>
      </c>
    </row>
    <row r="91" spans="1:6" s="1104" customFormat="1" ht="36">
      <c r="A91" s="1153">
        <v>31</v>
      </c>
      <c r="B91" s="3410"/>
      <c r="C91" s="1067" t="s">
        <v>1563</v>
      </c>
      <c r="D91" s="1067" t="s">
        <v>1564</v>
      </c>
      <c r="E91" s="1138">
        <v>0.2</v>
      </c>
      <c r="F91" s="1153">
        <v>30</v>
      </c>
    </row>
    <row r="92" spans="1:6" s="1104" customFormat="1" ht="24">
      <c r="A92" s="1153">
        <v>32</v>
      </c>
      <c r="B92" s="3410" t="s">
        <v>1565</v>
      </c>
      <c r="C92" s="1153" t="s">
        <v>1566</v>
      </c>
      <c r="D92" s="1067" t="s">
        <v>1567</v>
      </c>
      <c r="E92" s="1138">
        <v>0.2</v>
      </c>
      <c r="F92" s="1153">
        <v>30</v>
      </c>
    </row>
    <row r="93" spans="1:6" s="1104" customFormat="1" ht="36">
      <c r="A93" s="1153">
        <v>33</v>
      </c>
      <c r="B93" s="3410"/>
      <c r="C93" s="1153" t="s">
        <v>1568</v>
      </c>
      <c r="D93" s="1067" t="s">
        <v>1569</v>
      </c>
      <c r="E93" s="1138">
        <v>0.2</v>
      </c>
      <c r="F93" s="1153">
        <v>30</v>
      </c>
    </row>
    <row r="94" spans="1:6" s="1104" customFormat="1" ht="48">
      <c r="A94" s="1153">
        <v>34</v>
      </c>
      <c r="B94" s="3410"/>
      <c r="C94" s="1153" t="s">
        <v>1570</v>
      </c>
      <c r="D94" s="1067" t="s">
        <v>1571</v>
      </c>
      <c r="E94" s="1138">
        <v>0.2</v>
      </c>
      <c r="F94" s="1153">
        <v>30</v>
      </c>
    </row>
    <row r="95" spans="1:6" s="1104" customFormat="1" ht="36">
      <c r="A95" s="1153">
        <v>35</v>
      </c>
      <c r="B95" s="3410"/>
      <c r="C95" s="1153" t="s">
        <v>1572</v>
      </c>
      <c r="D95" s="1067" t="s">
        <v>1573</v>
      </c>
      <c r="E95" s="1138">
        <v>0.2</v>
      </c>
      <c r="F95" s="1153">
        <v>30</v>
      </c>
    </row>
    <row r="96" spans="1:6" s="1104" customFormat="1" ht="48">
      <c r="A96" s="1153">
        <v>36</v>
      </c>
      <c r="B96" s="3410"/>
      <c r="C96" s="1067" t="s">
        <v>1574</v>
      </c>
      <c r="D96" s="1067" t="s">
        <v>1575</v>
      </c>
      <c r="E96" s="1138">
        <v>0.2</v>
      </c>
      <c r="F96" s="1153">
        <v>30</v>
      </c>
    </row>
    <row r="97" spans="1:6" s="1104" customFormat="1" ht="36">
      <c r="A97" s="1153">
        <v>37</v>
      </c>
      <c r="B97" s="3410"/>
      <c r="C97" s="1153" t="s">
        <v>1576</v>
      </c>
      <c r="D97" s="1067" t="s">
        <v>1577</v>
      </c>
      <c r="E97" s="1138">
        <v>0.2</v>
      </c>
      <c r="F97" s="1153">
        <v>30</v>
      </c>
    </row>
    <row r="98" spans="1:6" s="1104" customFormat="1" ht="36">
      <c r="A98" s="1153">
        <v>38</v>
      </c>
      <c r="B98" s="3410"/>
      <c r="C98" s="1153" t="s">
        <v>1578</v>
      </c>
      <c r="D98" s="1067" t="s">
        <v>1579</v>
      </c>
      <c r="E98" s="1138">
        <v>0.2</v>
      </c>
      <c r="F98" s="1153">
        <v>30</v>
      </c>
    </row>
    <row r="99" spans="1:6" s="1104" customFormat="1" ht="36">
      <c r="A99" s="1153">
        <v>39</v>
      </c>
      <c r="B99" s="3410" t="s">
        <v>1580</v>
      </c>
      <c r="C99" s="1153" t="s">
        <v>1581</v>
      </c>
      <c r="D99" s="1067" t="s">
        <v>1582</v>
      </c>
      <c r="E99" s="1138">
        <v>0.3</v>
      </c>
      <c r="F99" s="1153">
        <v>50</v>
      </c>
    </row>
    <row r="100" spans="1:6" s="1104" customFormat="1" ht="24">
      <c r="A100" s="1153">
        <v>40</v>
      </c>
      <c r="B100" s="3410"/>
      <c r="C100" s="1153" t="s">
        <v>1583</v>
      </c>
      <c r="D100" s="1067" t="s">
        <v>1584</v>
      </c>
      <c r="E100" s="1138">
        <v>0.2</v>
      </c>
      <c r="F100" s="1153">
        <v>30</v>
      </c>
    </row>
    <row r="101" spans="1:6" s="1104" customFormat="1" ht="36">
      <c r="A101" s="1153">
        <v>41</v>
      </c>
      <c r="B101" s="3410"/>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10" t="s">
        <v>1595</v>
      </c>
      <c r="C105" s="1153" t="s">
        <v>1596</v>
      </c>
      <c r="D105" s="1067" t="s">
        <v>1597</v>
      </c>
      <c r="E105" s="1138">
        <v>0.2</v>
      </c>
      <c r="F105" s="1153">
        <v>30</v>
      </c>
    </row>
    <row r="106" spans="1:6" s="1104" customFormat="1" ht="36">
      <c r="A106" s="1153">
        <v>46</v>
      </c>
      <c r="B106" s="3410"/>
      <c r="C106" s="1153" t="s">
        <v>1598</v>
      </c>
      <c r="D106" s="1067" t="s">
        <v>1599</v>
      </c>
      <c r="E106" s="1138">
        <v>0.2</v>
      </c>
      <c r="F106" s="1153">
        <v>30</v>
      </c>
    </row>
    <row r="107" spans="1:6" s="1104" customFormat="1" ht="36">
      <c r="A107" s="1153">
        <v>47</v>
      </c>
      <c r="B107" s="3410" t="s">
        <v>1600</v>
      </c>
      <c r="C107" s="1153" t="s">
        <v>1601</v>
      </c>
      <c r="D107" s="1067" t="s">
        <v>1602</v>
      </c>
      <c r="E107" s="1138">
        <v>0.3</v>
      </c>
      <c r="F107" s="1153">
        <v>50</v>
      </c>
    </row>
    <row r="108" spans="1:6" s="1104" customFormat="1" ht="36">
      <c r="A108" s="1153">
        <v>48</v>
      </c>
      <c r="B108" s="3410"/>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10" t="s">
        <v>1611</v>
      </c>
      <c r="C111" s="1153" t="s">
        <v>1612</v>
      </c>
      <c r="D111" s="1067" t="s">
        <v>1613</v>
      </c>
      <c r="E111" s="1138">
        <v>0.2</v>
      </c>
      <c r="F111" s="1153">
        <v>30</v>
      </c>
    </row>
    <row r="112" spans="1:6" s="1104" customFormat="1" ht="24">
      <c r="A112" s="1153">
        <v>52</v>
      </c>
      <c r="B112" s="3410"/>
      <c r="C112" s="1153" t="s">
        <v>1614</v>
      </c>
      <c r="D112" s="1067" t="s">
        <v>1615</v>
      </c>
      <c r="E112" s="1138">
        <v>0.2</v>
      </c>
      <c r="F112" s="1153">
        <v>30</v>
      </c>
    </row>
    <row r="113" spans="1:14" s="1104" customFormat="1" ht="24">
      <c r="A113" s="1153">
        <v>53</v>
      </c>
      <c r="B113" s="3410"/>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10" t="s">
        <v>1624</v>
      </c>
      <c r="C116" s="1153" t="s">
        <v>1625</v>
      </c>
      <c r="D116" s="1067" t="s">
        <v>1626</v>
      </c>
      <c r="E116" s="1138">
        <v>0.2</v>
      </c>
      <c r="F116" s="1153">
        <v>30</v>
      </c>
    </row>
    <row r="117" spans="1:14" ht="36">
      <c r="A117" s="1153">
        <v>57</v>
      </c>
      <c r="B117" s="3410"/>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09" t="s">
        <v>1633</v>
      </c>
      <c r="B121" s="3409"/>
      <c r="C121" s="3409"/>
      <c r="D121" s="3409"/>
      <c r="E121" s="3409"/>
      <c r="F121" s="3409"/>
      <c r="G121" s="3409"/>
      <c r="H121" s="3409"/>
      <c r="I121" s="3409"/>
      <c r="J121" s="340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22" t="s">
        <v>1039</v>
      </c>
      <c r="B1" s="3422"/>
      <c r="C1" s="3422"/>
      <c r="D1" s="3422"/>
      <c r="E1" s="3422"/>
      <c r="F1" s="3422"/>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23" t="s">
        <v>1052</v>
      </c>
      <c r="B2" s="3423"/>
      <c r="C2" s="3423"/>
      <c r="D2" s="3423"/>
      <c r="E2" s="3423"/>
      <c r="F2" s="3423"/>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24"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25"/>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2423</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2424</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26" t="s">
        <v>2080</v>
      </c>
      <c r="B1" s="3426"/>
    </row>
    <row r="2" spans="1:6" ht="14.25" thickBot="1">
      <c r="A2" s="1851"/>
      <c r="B2" s="1851"/>
    </row>
    <row r="3" spans="1:6" ht="14.25" thickBot="1">
      <c r="A3" s="1851"/>
      <c r="B3" s="1851"/>
      <c r="C3" s="1852" t="s">
        <v>2081</v>
      </c>
      <c r="D3" s="1852" t="s">
        <v>2082</v>
      </c>
      <c r="E3" s="1852" t="s">
        <v>2083</v>
      </c>
      <c r="F3" s="1852" t="s">
        <v>2084</v>
      </c>
    </row>
    <row r="4" spans="1:6" ht="14.25" thickBot="1">
      <c r="A4" s="1853" t="s">
        <v>2085</v>
      </c>
      <c r="B4" s="1854" t="s">
        <v>2086</v>
      </c>
      <c r="C4" s="1852"/>
      <c r="D4" s="1852"/>
      <c r="E4" s="1852"/>
      <c r="F4" s="1852"/>
    </row>
    <row r="5" spans="1:6" ht="14.25" thickBot="1">
      <c r="A5" s="1855" t="s">
        <v>2087</v>
      </c>
      <c r="B5" s="1856" t="s">
        <v>2088</v>
      </c>
      <c r="C5" s="1857">
        <v>8.8999999999999996E-2</v>
      </c>
      <c r="D5" s="1857">
        <v>7.3999999999999996E-2</v>
      </c>
      <c r="E5" s="1857">
        <v>7.4999999999999997E-2</v>
      </c>
      <c r="F5" s="1858">
        <v>0.1</v>
      </c>
    </row>
    <row r="6" spans="1:6" ht="14.25" thickBot="1">
      <c r="A6" s="1855" t="s">
        <v>1096</v>
      </c>
      <c r="B6" s="1859" t="s">
        <v>2089</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2090</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2091</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2092</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2093</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2094</v>
      </c>
      <c r="C72" s="1869"/>
      <c r="D72" s="1869"/>
      <c r="E72" s="1869"/>
      <c r="F72" s="1861">
        <v>0.05</v>
      </c>
    </row>
    <row r="73" spans="1:6" ht="14.25" thickBot="1">
      <c r="A73" s="1855" t="s">
        <v>924</v>
      </c>
      <c r="B73" s="1859" t="s">
        <v>2095</v>
      </c>
      <c r="C73" s="1869"/>
      <c r="D73" s="1869"/>
      <c r="E73" s="1869"/>
      <c r="F73" s="1861">
        <v>0.05</v>
      </c>
    </row>
    <row r="74" spans="1:6" ht="14.25" thickBot="1">
      <c r="A74" s="1855" t="s">
        <v>924</v>
      </c>
      <c r="B74" s="1859" t="s">
        <v>2096</v>
      </c>
      <c r="C74" s="1869"/>
      <c r="D74" s="1869"/>
      <c r="E74" s="1869"/>
      <c r="F74" s="1861">
        <v>0.05</v>
      </c>
    </row>
    <row r="75" spans="1:6" ht="14.25" thickBot="1">
      <c r="A75" s="1863" t="s">
        <v>924</v>
      </c>
      <c r="B75" s="1870" t="s">
        <v>2097</v>
      </c>
      <c r="C75" s="1866"/>
      <c r="D75" s="1866"/>
      <c r="E75" s="1866"/>
      <c r="F75" s="1871">
        <v>0.05</v>
      </c>
    </row>
    <row r="76" spans="1:6" ht="14.25" thickBot="1">
      <c r="A76" s="1855" t="s">
        <v>1407</v>
      </c>
      <c r="B76" s="1856" t="s">
        <v>2098</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2099</v>
      </c>
      <c r="C102" s="1869"/>
      <c r="D102" s="1869"/>
      <c r="E102" s="1869"/>
      <c r="F102" s="1861">
        <v>0.05</v>
      </c>
    </row>
    <row r="103" spans="1:6" ht="24.75" thickBot="1">
      <c r="A103" s="1855" t="s">
        <v>1407</v>
      </c>
      <c r="B103" s="1859" t="s">
        <v>2100</v>
      </c>
      <c r="C103" s="1869"/>
      <c r="D103" s="1869"/>
      <c r="E103" s="1869"/>
      <c r="F103" s="1861">
        <v>0.05</v>
      </c>
    </row>
    <row r="104" spans="1:6" ht="14.25" thickBot="1">
      <c r="A104" s="1855" t="s">
        <v>1407</v>
      </c>
      <c r="B104" s="1859" t="s">
        <v>2101</v>
      </c>
      <c r="C104" s="1869"/>
      <c r="D104" s="1869"/>
      <c r="E104" s="1869"/>
      <c r="F104" s="1861">
        <v>0.05</v>
      </c>
    </row>
    <row r="105" spans="1:6" ht="14.25" thickBot="1">
      <c r="A105" s="1855" t="s">
        <v>1407</v>
      </c>
      <c r="B105" s="1859" t="s">
        <v>2102</v>
      </c>
      <c r="C105" s="1869"/>
      <c r="D105" s="1869"/>
      <c r="E105" s="1869"/>
      <c r="F105" s="1861">
        <v>0.05</v>
      </c>
    </row>
    <row r="106" spans="1:6" ht="14.25" thickBot="1">
      <c r="A106" s="1855" t="s">
        <v>1407</v>
      </c>
      <c r="B106" s="1859" t="s">
        <v>2103</v>
      </c>
      <c r="C106" s="1869"/>
      <c r="D106" s="1869"/>
      <c r="E106" s="1869"/>
      <c r="F106" s="1861">
        <v>0.05</v>
      </c>
    </row>
    <row r="107" spans="1:6" ht="24.75" thickBot="1">
      <c r="A107" s="1855" t="s">
        <v>1407</v>
      </c>
      <c r="B107" s="1859" t="s">
        <v>2104</v>
      </c>
      <c r="C107" s="1869"/>
      <c r="D107" s="1869"/>
      <c r="E107" s="1869"/>
      <c r="F107" s="1861">
        <v>0.05</v>
      </c>
    </row>
    <row r="108" spans="1:6" ht="24.75" thickBot="1">
      <c r="A108" s="1855" t="s">
        <v>1407</v>
      </c>
      <c r="B108" s="1859" t="s">
        <v>2105</v>
      </c>
      <c r="C108" s="1869"/>
      <c r="D108" s="1869"/>
      <c r="E108" s="1869"/>
      <c r="F108" s="1861">
        <v>0.05</v>
      </c>
    </row>
    <row r="109" spans="1:6" ht="24.75" thickBot="1">
      <c r="A109" s="1863" t="s">
        <v>1407</v>
      </c>
      <c r="B109" s="1870" t="s">
        <v>2106</v>
      </c>
      <c r="C109" s="1866"/>
      <c r="D109" s="1866"/>
      <c r="E109" s="1866"/>
      <c r="F109" s="1871">
        <v>0.05</v>
      </c>
    </row>
    <row r="110" spans="1:6" ht="14.25" thickBot="1">
      <c r="A110" s="1855" t="s">
        <v>1409</v>
      </c>
      <c r="B110" s="1856" t="s">
        <v>2107</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2108</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2109</v>
      </c>
      <c r="C138" s="1860">
        <v>0.105</v>
      </c>
      <c r="D138" s="1860">
        <v>0.125</v>
      </c>
      <c r="E138" s="1860">
        <v>0.112</v>
      </c>
      <c r="F138" s="1868"/>
    </row>
    <row r="139" spans="1:6" ht="14.25" thickBot="1">
      <c r="A139" s="1855" t="s">
        <v>1409</v>
      </c>
      <c r="B139" s="1859" t="s">
        <v>2110</v>
      </c>
      <c r="C139" s="1860">
        <v>0.127</v>
      </c>
      <c r="D139" s="1860">
        <v>0.127</v>
      </c>
      <c r="E139" s="1860">
        <v>0.122</v>
      </c>
      <c r="F139" s="1861">
        <v>0.13</v>
      </c>
    </row>
    <row r="140" spans="1:6" ht="14.25" thickBot="1">
      <c r="A140" s="1855" t="s">
        <v>1409</v>
      </c>
      <c r="B140" s="1859" t="s">
        <v>2111</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2112</v>
      </c>
      <c r="C144" s="1873">
        <v>0.126</v>
      </c>
      <c r="D144" s="1873">
        <v>0.126</v>
      </c>
      <c r="E144" s="1873">
        <v>0.121</v>
      </c>
      <c r="F144" s="1868"/>
    </row>
    <row r="145" spans="1:6" ht="14.25" thickBot="1">
      <c r="A145" s="1863" t="s">
        <v>1409</v>
      </c>
      <c r="B145" s="1874" t="s">
        <v>2113</v>
      </c>
      <c r="C145" s="1875"/>
      <c r="D145" s="1875"/>
      <c r="E145" s="1875"/>
      <c r="F145" s="1876">
        <v>0.05</v>
      </c>
    </row>
    <row r="146" spans="1:6" ht="24.75" thickBot="1">
      <c r="A146" s="1877" t="s">
        <v>1409</v>
      </c>
      <c r="B146" s="1862" t="s">
        <v>2114</v>
      </c>
      <c r="C146" s="1869"/>
      <c r="D146" s="1869"/>
      <c r="E146" s="1869"/>
      <c r="F146" s="1878">
        <v>0.05</v>
      </c>
    </row>
    <row r="147" spans="1:6" ht="24.75" thickBot="1">
      <c r="A147" s="1855" t="s">
        <v>1409</v>
      </c>
      <c r="B147" s="1859" t="s">
        <v>2115</v>
      </c>
      <c r="C147" s="1869"/>
      <c r="D147" s="1869"/>
      <c r="E147" s="1869"/>
      <c r="F147" s="1861">
        <v>0.05</v>
      </c>
    </row>
    <row r="148" spans="1:6" ht="24.75" thickBot="1">
      <c r="A148" s="1855" t="s">
        <v>1409</v>
      </c>
      <c r="B148" s="1859" t="s">
        <v>2116</v>
      </c>
      <c r="C148" s="1869"/>
      <c r="D148" s="1869"/>
      <c r="E148" s="1869"/>
      <c r="F148" s="1861">
        <v>0.05</v>
      </c>
    </row>
    <row r="149" spans="1:6" ht="24.75" thickBot="1">
      <c r="A149" s="1855" t="s">
        <v>1409</v>
      </c>
      <c r="B149" s="1859" t="s">
        <v>2117</v>
      </c>
      <c r="C149" s="1869"/>
      <c r="D149" s="1869"/>
      <c r="E149" s="1869"/>
      <c r="F149" s="1861">
        <v>0.05</v>
      </c>
    </row>
    <row r="150" spans="1:6" ht="24.75" thickBot="1">
      <c r="A150" s="1855" t="s">
        <v>1409</v>
      </c>
      <c r="B150" s="1859" t="s">
        <v>2118</v>
      </c>
      <c r="C150" s="1869"/>
      <c r="D150" s="1869"/>
      <c r="E150" s="1869"/>
      <c r="F150" s="1861">
        <v>0.05</v>
      </c>
    </row>
    <row r="151" spans="1:6" ht="24.75" thickBot="1">
      <c r="A151" s="1855" t="s">
        <v>1409</v>
      </c>
      <c r="B151" s="1859" t="s">
        <v>2119</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2120</v>
      </c>
      <c r="C153" s="1869"/>
      <c r="D153" s="1869"/>
      <c r="E153" s="1869"/>
      <c r="F153" s="1861">
        <v>0.05</v>
      </c>
    </row>
    <row r="154" spans="1:6" ht="14.25" thickBot="1">
      <c r="A154" s="1855" t="s">
        <v>1409</v>
      </c>
      <c r="B154" s="1859" t="s">
        <v>2121</v>
      </c>
      <c r="C154" s="1869"/>
      <c r="D154" s="1869"/>
      <c r="E154" s="1869"/>
      <c r="F154" s="1861">
        <v>0.05</v>
      </c>
    </row>
    <row r="155" spans="1:6" ht="24.75" thickBot="1">
      <c r="A155" s="1855" t="s">
        <v>1409</v>
      </c>
      <c r="B155" s="1859" t="s">
        <v>2122</v>
      </c>
      <c r="C155" s="1869"/>
      <c r="D155" s="1869"/>
      <c r="E155" s="1869"/>
      <c r="F155" s="1861">
        <v>0.05</v>
      </c>
    </row>
    <row r="156" spans="1:6" ht="24.75" thickBot="1">
      <c r="A156" s="1855" t="s">
        <v>1409</v>
      </c>
      <c r="B156" s="1859" t="s">
        <v>2123</v>
      </c>
      <c r="C156" s="1869"/>
      <c r="D156" s="1869"/>
      <c r="E156" s="1869"/>
      <c r="F156" s="1861">
        <v>0.05</v>
      </c>
    </row>
    <row r="157" spans="1:6" ht="14.25" thickBot="1">
      <c r="A157" s="1863" t="s">
        <v>1409</v>
      </c>
      <c r="B157" s="1870" t="s">
        <v>2124</v>
      </c>
      <c r="C157" s="1866"/>
      <c r="D157" s="1866"/>
      <c r="E157" s="1866"/>
      <c r="F157" s="1871">
        <v>0.05</v>
      </c>
    </row>
    <row r="158" spans="1:6" ht="14.25" thickBot="1">
      <c r="A158" s="1855" t="s">
        <v>1411</v>
      </c>
      <c r="B158" s="1856" t="s">
        <v>2125</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2126</v>
      </c>
      <c r="C171" s="1860">
        <v>0.127</v>
      </c>
      <c r="D171" s="1860">
        <v>0.126</v>
      </c>
      <c r="E171" s="1860">
        <v>0.126</v>
      </c>
      <c r="F171" s="1861">
        <v>0.11799999999999999</v>
      </c>
    </row>
    <row r="172" spans="1:6" ht="14.25" thickBot="1">
      <c r="A172" s="1855" t="s">
        <v>1411</v>
      </c>
      <c r="B172" s="1859" t="s">
        <v>2127</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2128</v>
      </c>
      <c r="C174" s="1860">
        <v>0.13</v>
      </c>
      <c r="D174" s="1860">
        <v>0.13</v>
      </c>
      <c r="E174" s="1860">
        <v>0.13</v>
      </c>
      <c r="F174" s="1861">
        <v>0.13</v>
      </c>
    </row>
    <row r="175" spans="1:6" ht="14.25" thickBot="1">
      <c r="A175" s="1855" t="s">
        <v>1411</v>
      </c>
      <c r="B175" s="1859" t="s">
        <v>2129</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2130</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2131</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2132</v>
      </c>
      <c r="C185" s="1860">
        <v>0.127</v>
      </c>
      <c r="D185" s="1860">
        <v>0.127</v>
      </c>
      <c r="E185" s="1860">
        <v>0.128</v>
      </c>
      <c r="F185" s="1861">
        <v>0.13</v>
      </c>
    </row>
    <row r="186" spans="1:6" ht="24.75" thickBot="1">
      <c r="A186" s="1855" t="s">
        <v>1411</v>
      </c>
      <c r="B186" s="1859" t="s">
        <v>2133</v>
      </c>
      <c r="C186" s="1869"/>
      <c r="D186" s="1869"/>
      <c r="E186" s="1869"/>
      <c r="F186" s="1861">
        <v>0.05</v>
      </c>
    </row>
    <row r="187" spans="1:6" ht="14.25" thickBot="1">
      <c r="A187" s="1855" t="s">
        <v>1411</v>
      </c>
      <c r="B187" s="1859" t="s">
        <v>2134</v>
      </c>
      <c r="C187" s="1869"/>
      <c r="D187" s="1869"/>
      <c r="E187" s="1869"/>
      <c r="F187" s="1861">
        <v>0.05</v>
      </c>
    </row>
    <row r="188" spans="1:6" ht="14.25" thickBot="1">
      <c r="A188" s="1855" t="s">
        <v>1411</v>
      </c>
      <c r="B188" s="1859" t="s">
        <v>2135</v>
      </c>
      <c r="C188" s="1869"/>
      <c r="D188" s="1869"/>
      <c r="E188" s="1869"/>
      <c r="F188" s="1861">
        <v>0.05</v>
      </c>
    </row>
    <row r="189" spans="1:6" ht="24.75" thickBot="1">
      <c r="A189" s="1855" t="s">
        <v>1411</v>
      </c>
      <c r="B189" s="1859" t="s">
        <v>2136</v>
      </c>
      <c r="C189" s="1869"/>
      <c r="D189" s="1869"/>
      <c r="E189" s="1869"/>
      <c r="F189" s="1861">
        <v>0.05</v>
      </c>
    </row>
    <row r="190" spans="1:6" ht="24.75" thickBot="1">
      <c r="A190" s="1855" t="s">
        <v>1411</v>
      </c>
      <c r="B190" s="1859" t="s">
        <v>2137</v>
      </c>
      <c r="C190" s="1869"/>
      <c r="D190" s="1869"/>
      <c r="E190" s="1869"/>
      <c r="F190" s="1861">
        <v>0.05</v>
      </c>
    </row>
    <row r="191" spans="1:6" ht="24.75" thickBot="1">
      <c r="A191" s="1855" t="s">
        <v>1411</v>
      </c>
      <c r="B191" s="1859" t="s">
        <v>2138</v>
      </c>
      <c r="C191" s="1869"/>
      <c r="D191" s="1869"/>
      <c r="E191" s="1869"/>
      <c r="F191" s="1861">
        <v>0.05</v>
      </c>
    </row>
    <row r="192" spans="1:6" ht="24.75" thickBot="1">
      <c r="A192" s="1855" t="s">
        <v>1411</v>
      </c>
      <c r="B192" s="1859" t="s">
        <v>2139</v>
      </c>
      <c r="C192" s="1869"/>
      <c r="D192" s="1869"/>
      <c r="E192" s="1869"/>
      <c r="F192" s="1861">
        <v>0.05</v>
      </c>
    </row>
    <row r="193" spans="1:6" ht="24.75" thickBot="1">
      <c r="A193" s="1855" t="s">
        <v>1411</v>
      </c>
      <c r="B193" s="1859" t="s">
        <v>2140</v>
      </c>
      <c r="C193" s="1869"/>
      <c r="D193" s="1869"/>
      <c r="E193" s="1869"/>
      <c r="F193" s="1861">
        <v>0.05</v>
      </c>
    </row>
    <row r="194" spans="1:6" ht="24.75" thickBot="1">
      <c r="A194" s="1855" t="s">
        <v>1411</v>
      </c>
      <c r="B194" s="1859" t="s">
        <v>2141</v>
      </c>
      <c r="C194" s="1869"/>
      <c r="D194" s="1869"/>
      <c r="E194" s="1869"/>
      <c r="F194" s="1861">
        <v>0.05</v>
      </c>
    </row>
    <row r="195" spans="1:6" ht="14.25" thickBot="1">
      <c r="A195" s="1855" t="s">
        <v>1411</v>
      </c>
      <c r="B195" s="1859" t="s">
        <v>2142</v>
      </c>
      <c r="C195" s="1869"/>
      <c r="D195" s="1869"/>
      <c r="E195" s="1869"/>
      <c r="F195" s="1861">
        <v>0.05</v>
      </c>
    </row>
    <row r="196" spans="1:6" ht="24.75" thickBot="1">
      <c r="A196" s="1855" t="s">
        <v>1411</v>
      </c>
      <c r="B196" s="1859" t="s">
        <v>2143</v>
      </c>
      <c r="C196" s="1869"/>
      <c r="D196" s="1869"/>
      <c r="E196" s="1869"/>
      <c r="F196" s="1861">
        <v>0.05</v>
      </c>
    </row>
    <row r="197" spans="1:6" ht="24.75" thickBot="1">
      <c r="A197" s="1855" t="s">
        <v>1411</v>
      </c>
      <c r="B197" s="1859" t="s">
        <v>2144</v>
      </c>
      <c r="C197" s="1869"/>
      <c r="D197" s="1869"/>
      <c r="E197" s="1869"/>
      <c r="F197" s="1861">
        <v>0.05</v>
      </c>
    </row>
    <row r="198" spans="1:6" ht="24.75" thickBot="1">
      <c r="A198" s="1855" t="s">
        <v>1411</v>
      </c>
      <c r="B198" s="1859" t="s">
        <v>2145</v>
      </c>
      <c r="C198" s="1869"/>
      <c r="D198" s="1869"/>
      <c r="E198" s="1869"/>
      <c r="F198" s="1861">
        <v>0.05</v>
      </c>
    </row>
    <row r="199" spans="1:6" ht="24.75" thickBot="1">
      <c r="A199" s="1855" t="s">
        <v>1411</v>
      </c>
      <c r="B199" s="1859" t="s">
        <v>2146</v>
      </c>
      <c r="C199" s="1869"/>
      <c r="D199" s="1869"/>
      <c r="E199" s="1869"/>
      <c r="F199" s="1861">
        <v>0.05</v>
      </c>
    </row>
    <row r="200" spans="1:6" ht="24.75" thickBot="1">
      <c r="A200" s="1855" t="s">
        <v>1411</v>
      </c>
      <c r="B200" s="1859" t="s">
        <v>2147</v>
      </c>
      <c r="C200" s="1869"/>
      <c r="D200" s="1869"/>
      <c r="E200" s="1869"/>
      <c r="F200" s="1861">
        <v>0.05</v>
      </c>
    </row>
    <row r="201" spans="1:6" ht="24.75" thickBot="1">
      <c r="A201" s="1855" t="s">
        <v>1411</v>
      </c>
      <c r="B201" s="1859" t="s">
        <v>2148</v>
      </c>
      <c r="C201" s="1869"/>
      <c r="D201" s="1869"/>
      <c r="E201" s="1869"/>
      <c r="F201" s="1861">
        <v>0.05</v>
      </c>
    </row>
    <row r="202" spans="1:6" ht="24.75" thickBot="1">
      <c r="A202" s="1855" t="s">
        <v>1411</v>
      </c>
      <c r="B202" s="1859" t="s">
        <v>2149</v>
      </c>
      <c r="C202" s="1869"/>
      <c r="D202" s="1869"/>
      <c r="E202" s="1869"/>
      <c r="F202" s="1861">
        <v>0.05</v>
      </c>
    </row>
    <row r="203" spans="1:6" ht="24.75" thickBot="1">
      <c r="A203" s="1855" t="s">
        <v>1411</v>
      </c>
      <c r="B203" s="1859" t="s">
        <v>2150</v>
      </c>
      <c r="C203" s="1869"/>
      <c r="D203" s="1869"/>
      <c r="E203" s="1869"/>
      <c r="F203" s="1861">
        <v>0.05</v>
      </c>
    </row>
    <row r="204" spans="1:6" ht="14.25" thickBot="1">
      <c r="A204" s="1855" t="s">
        <v>1411</v>
      </c>
      <c r="B204" s="1859" t="s">
        <v>2151</v>
      </c>
      <c r="C204" s="1869"/>
      <c r="D204" s="1869"/>
      <c r="E204" s="1869"/>
      <c r="F204" s="1861">
        <v>0.05</v>
      </c>
    </row>
    <row r="205" spans="1:6" ht="14.25" thickBot="1">
      <c r="A205" s="1863" t="s">
        <v>1411</v>
      </c>
      <c r="B205" s="1870" t="s">
        <v>2152</v>
      </c>
      <c r="C205" s="1866"/>
      <c r="D205" s="1866"/>
      <c r="E205" s="1866"/>
      <c r="F205" s="1871">
        <v>0.05</v>
      </c>
    </row>
    <row r="206" spans="1:6" ht="14.25" thickBot="1">
      <c r="A206" s="1855" t="s">
        <v>1413</v>
      </c>
      <c r="B206" s="1856" t="s">
        <v>2153</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2154</v>
      </c>
      <c r="C210" s="1860">
        <v>0.15</v>
      </c>
      <c r="D210" s="1860">
        <v>0.15</v>
      </c>
      <c r="E210" s="1860">
        <v>0.15</v>
      </c>
      <c r="F210" s="1861">
        <v>0.13800000000000001</v>
      </c>
    </row>
    <row r="211" spans="1:6" ht="14.25" thickBot="1">
      <c r="A211" s="1855" t="s">
        <v>1413</v>
      </c>
      <c r="B211" s="1859" t="s">
        <v>2155</v>
      </c>
      <c r="C211" s="1860">
        <v>0.13700000000000001</v>
      </c>
      <c r="D211" s="1860">
        <v>0.13500000000000001</v>
      </c>
      <c r="E211" s="1860">
        <v>0.13600000000000001</v>
      </c>
      <c r="F211" s="1861">
        <v>0.1</v>
      </c>
    </row>
    <row r="212" spans="1:6" ht="14.25" thickBot="1">
      <c r="A212" s="1855" t="s">
        <v>1413</v>
      </c>
      <c r="B212" s="1859" t="s">
        <v>2156</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2157</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2158</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2159</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2160</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2161</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2162</v>
      </c>
      <c r="C231" s="1860">
        <v>0.128</v>
      </c>
      <c r="D231" s="1860">
        <v>0.125</v>
      </c>
      <c r="E231" s="1860">
        <v>0.13200000000000001</v>
      </c>
      <c r="F231" s="1868"/>
    </row>
    <row r="232" spans="1:6" ht="14.25" thickBot="1">
      <c r="A232" s="1855" t="s">
        <v>1413</v>
      </c>
      <c r="B232" s="1859" t="s">
        <v>2163</v>
      </c>
      <c r="C232" s="1860">
        <v>0.14499999999999999</v>
      </c>
      <c r="D232" s="1860">
        <v>0.14399999999999999</v>
      </c>
      <c r="E232" s="1860">
        <v>0.14599999999999999</v>
      </c>
      <c r="F232" s="1861">
        <v>0.13800000000000001</v>
      </c>
    </row>
    <row r="233" spans="1:6" ht="14.25" thickBot="1">
      <c r="A233" s="1855" t="s">
        <v>1413</v>
      </c>
      <c r="B233" s="1859" t="s">
        <v>2164</v>
      </c>
      <c r="C233" s="1860">
        <v>0.14499999999999999</v>
      </c>
      <c r="D233" s="1860">
        <v>0.14299999999999999</v>
      </c>
      <c r="E233" s="1860">
        <v>0.14199999999999999</v>
      </c>
      <c r="F233" s="1868"/>
    </row>
    <row r="234" spans="1:6" ht="14.25" thickBot="1">
      <c r="A234" s="1855" t="s">
        <v>1413</v>
      </c>
      <c r="B234" s="1859" t="s">
        <v>2165</v>
      </c>
      <c r="C234" s="1860">
        <v>0.14000000000000001</v>
      </c>
      <c r="D234" s="1860">
        <v>0.14000000000000001</v>
      </c>
      <c r="E234" s="1860">
        <v>0.14399999999999999</v>
      </c>
      <c r="F234" s="1868"/>
    </row>
    <row r="235" spans="1:6" ht="14.25" thickBot="1">
      <c r="A235" s="1855" t="s">
        <v>1413</v>
      </c>
      <c r="B235" s="1859" t="s">
        <v>2166</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2167</v>
      </c>
      <c r="C237" s="1869"/>
      <c r="D237" s="1869"/>
      <c r="E237" s="1869"/>
      <c r="F237" s="1861">
        <v>0.05</v>
      </c>
    </row>
    <row r="238" spans="1:6" ht="24.75" thickBot="1">
      <c r="A238" s="1855" t="s">
        <v>1413</v>
      </c>
      <c r="B238" s="1859" t="s">
        <v>2168</v>
      </c>
      <c r="C238" s="1869"/>
      <c r="D238" s="1869"/>
      <c r="E238" s="1869"/>
      <c r="F238" s="1861">
        <v>0.05</v>
      </c>
    </row>
    <row r="239" spans="1:6" ht="24.75" thickBot="1">
      <c r="A239" s="1855" t="s">
        <v>1413</v>
      </c>
      <c r="B239" s="1859" t="s">
        <v>2169</v>
      </c>
      <c r="C239" s="1869"/>
      <c r="D239" s="1869"/>
      <c r="E239" s="1869"/>
      <c r="F239" s="1861">
        <v>0.05</v>
      </c>
    </row>
    <row r="240" spans="1:6" ht="24.75" thickBot="1">
      <c r="A240" s="1855" t="s">
        <v>1413</v>
      </c>
      <c r="B240" s="1859" t="s">
        <v>2170</v>
      </c>
      <c r="C240" s="1869"/>
      <c r="D240" s="1869"/>
      <c r="E240" s="1869"/>
      <c r="F240" s="1861">
        <v>0.05</v>
      </c>
    </row>
    <row r="241" spans="1:6" ht="24.75" thickBot="1">
      <c r="A241" s="1855" t="s">
        <v>1413</v>
      </c>
      <c r="B241" s="1859" t="s">
        <v>2171</v>
      </c>
      <c r="C241" s="1869"/>
      <c r="D241" s="1869"/>
      <c r="E241" s="1869"/>
      <c r="F241" s="1861">
        <v>0.05</v>
      </c>
    </row>
    <row r="242" spans="1:6" ht="24.75" thickBot="1">
      <c r="A242" s="1855" t="s">
        <v>1413</v>
      </c>
      <c r="B242" s="1859" t="s">
        <v>2172</v>
      </c>
      <c r="C242" s="1869"/>
      <c r="D242" s="1869"/>
      <c r="E242" s="1869"/>
      <c r="F242" s="1861">
        <v>0.05</v>
      </c>
    </row>
    <row r="243" spans="1:6" ht="24.75" thickBot="1">
      <c r="A243" s="1855" t="s">
        <v>1413</v>
      </c>
      <c r="B243" s="1859" t="s">
        <v>2173</v>
      </c>
      <c r="C243" s="1869"/>
      <c r="D243" s="1869"/>
      <c r="E243" s="1869"/>
      <c r="F243" s="1861">
        <v>0.05</v>
      </c>
    </row>
    <row r="244" spans="1:6" ht="24.75" thickBot="1">
      <c r="A244" s="1863" t="s">
        <v>1413</v>
      </c>
      <c r="B244" s="1870" t="s">
        <v>2174</v>
      </c>
      <c r="C244" s="1866"/>
      <c r="D244" s="1866"/>
      <c r="E244" s="1866"/>
      <c r="F244" s="1871">
        <v>0.05</v>
      </c>
    </row>
    <row r="245" spans="1:6" ht="14.25" thickBot="1">
      <c r="A245" s="1855" t="s">
        <v>1415</v>
      </c>
      <c r="B245" s="1856" t="s">
        <v>2175</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2176</v>
      </c>
      <c r="C247" s="1860">
        <v>0.15</v>
      </c>
      <c r="D247" s="1860">
        <v>0.15</v>
      </c>
      <c r="E247" s="1860">
        <v>0.15</v>
      </c>
      <c r="F247" s="1861">
        <v>0.15</v>
      </c>
    </row>
    <row r="248" spans="1:6" ht="14.25" thickBot="1">
      <c r="A248" s="1855" t="s">
        <v>1415</v>
      </c>
      <c r="B248" s="1859" t="s">
        <v>2177</v>
      </c>
      <c r="C248" s="1860">
        <v>0.15</v>
      </c>
      <c r="D248" s="1860">
        <v>0.15</v>
      </c>
      <c r="E248" s="1860">
        <v>0.15</v>
      </c>
      <c r="F248" s="1861">
        <v>0.14000000000000001</v>
      </c>
    </row>
    <row r="249" spans="1:6" ht="14.25" thickBot="1">
      <c r="A249" s="1855" t="s">
        <v>1415</v>
      </c>
      <c r="B249" s="1859" t="s">
        <v>2178</v>
      </c>
      <c r="C249" s="1860">
        <v>0.15</v>
      </c>
      <c r="D249" s="1860">
        <v>0.14899999999999999</v>
      </c>
      <c r="E249" s="1860">
        <v>0.15</v>
      </c>
      <c r="F249" s="1861">
        <v>0.1</v>
      </c>
    </row>
    <row r="250" spans="1:6" ht="14.25" thickBot="1">
      <c r="A250" s="1855" t="s">
        <v>1415</v>
      </c>
      <c r="B250" s="1859" t="s">
        <v>2179</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2180</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2181</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2182</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2183</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2184</v>
      </c>
      <c r="C273" s="1860">
        <v>0.14199999999999999</v>
      </c>
      <c r="D273" s="1860">
        <v>0.14299999999999999</v>
      </c>
      <c r="E273" s="1860">
        <v>0.15</v>
      </c>
      <c r="F273" s="1861">
        <v>0.1</v>
      </c>
    </row>
    <row r="274" spans="1:6" ht="14.25" thickBot="1">
      <c r="A274" s="1855" t="s">
        <v>1415</v>
      </c>
      <c r="B274" s="1859" t="s">
        <v>2185</v>
      </c>
      <c r="C274" s="1860">
        <v>0.14799999999999999</v>
      </c>
      <c r="D274" s="1860">
        <v>0.14799999999999999</v>
      </c>
      <c r="E274" s="1860">
        <v>0.15</v>
      </c>
      <c r="F274" s="1861">
        <v>6.7000000000000004E-2</v>
      </c>
    </row>
    <row r="275" spans="1:6" ht="14.25" thickBot="1">
      <c r="A275" s="1855" t="s">
        <v>1415</v>
      </c>
      <c r="B275" s="1859" t="s">
        <v>2186</v>
      </c>
      <c r="C275" s="1860">
        <v>0.15</v>
      </c>
      <c r="D275" s="1860">
        <v>0.15</v>
      </c>
      <c r="E275" s="1860">
        <v>0.15</v>
      </c>
      <c r="F275" s="1861">
        <v>0.15</v>
      </c>
    </row>
    <row r="276" spans="1:6" ht="14.25" thickBot="1">
      <c r="A276" s="1855" t="s">
        <v>1415</v>
      </c>
      <c r="B276" s="1859" t="s">
        <v>2187</v>
      </c>
      <c r="C276" s="1860">
        <v>0.14499999999999999</v>
      </c>
      <c r="D276" s="1860">
        <v>0.14299999999999999</v>
      </c>
      <c r="E276" s="1860">
        <v>0.15</v>
      </c>
      <c r="F276" s="1861">
        <v>5.8999999999999997E-2</v>
      </c>
    </row>
    <row r="277" spans="1:6" ht="14.25" thickBot="1">
      <c r="A277" s="1855" t="s">
        <v>1415</v>
      </c>
      <c r="B277" s="1859" t="s">
        <v>2188</v>
      </c>
      <c r="C277" s="1860">
        <v>0.15</v>
      </c>
      <c r="D277" s="1860">
        <v>0.15</v>
      </c>
      <c r="E277" s="1860">
        <v>0.15</v>
      </c>
      <c r="F277" s="1861">
        <v>0.121</v>
      </c>
    </row>
    <row r="278" spans="1:6" ht="14.25" thickBot="1">
      <c r="A278" s="1855" t="s">
        <v>1415</v>
      </c>
      <c r="B278" s="1859" t="s">
        <v>2189</v>
      </c>
      <c r="C278" s="1860">
        <v>0.15</v>
      </c>
      <c r="D278" s="1860">
        <v>0.15</v>
      </c>
      <c r="E278" s="1860">
        <v>0.15</v>
      </c>
      <c r="F278" s="1861">
        <v>0.13800000000000001</v>
      </c>
    </row>
    <row r="279" spans="1:6" ht="24.75" thickBot="1">
      <c r="A279" s="1855" t="s">
        <v>1415</v>
      </c>
      <c r="B279" s="1859" t="s">
        <v>2190</v>
      </c>
      <c r="C279" s="1869"/>
      <c r="D279" s="1869"/>
      <c r="E279" s="1869"/>
      <c r="F279" s="1861">
        <v>0.05</v>
      </c>
    </row>
    <row r="280" spans="1:6" ht="24.75" thickBot="1">
      <c r="A280" s="1855" t="s">
        <v>1415</v>
      </c>
      <c r="B280" s="1859" t="s">
        <v>2191</v>
      </c>
      <c r="C280" s="1869"/>
      <c r="D280" s="1869"/>
      <c r="E280" s="1869"/>
      <c r="F280" s="1861">
        <v>0.05</v>
      </c>
    </row>
    <row r="281" spans="1:6" ht="24.75" thickBot="1">
      <c r="A281" s="1855" t="s">
        <v>1415</v>
      </c>
      <c r="B281" s="1859" t="s">
        <v>2192</v>
      </c>
      <c r="C281" s="1869"/>
      <c r="D281" s="1869"/>
      <c r="E281" s="1869"/>
      <c r="F281" s="1861">
        <v>0.05</v>
      </c>
    </row>
    <row r="282" spans="1:6" ht="24.75" thickBot="1">
      <c r="A282" s="1855" t="s">
        <v>1415</v>
      </c>
      <c r="B282" s="1859" t="s">
        <v>2193</v>
      </c>
      <c r="C282" s="1869"/>
      <c r="D282" s="1869"/>
      <c r="E282" s="1869"/>
      <c r="F282" s="1861">
        <v>0.05</v>
      </c>
    </row>
    <row r="283" spans="1:6" ht="24.75" thickBot="1">
      <c r="A283" s="1855" t="s">
        <v>1415</v>
      </c>
      <c r="B283" s="1859" t="s">
        <v>2194</v>
      </c>
      <c r="C283" s="1869"/>
      <c r="D283" s="1869"/>
      <c r="E283" s="1869"/>
      <c r="F283" s="1861">
        <v>0.05</v>
      </c>
    </row>
    <row r="284" spans="1:6" ht="24.75" thickBot="1">
      <c r="A284" s="1855" t="s">
        <v>1415</v>
      </c>
      <c r="B284" s="1859" t="s">
        <v>2195</v>
      </c>
      <c r="C284" s="1869"/>
      <c r="D284" s="1869"/>
      <c r="E284" s="1869"/>
      <c r="F284" s="1861">
        <v>0.05</v>
      </c>
    </row>
    <row r="285" spans="1:6" ht="24.75" thickBot="1">
      <c r="A285" s="1855" t="s">
        <v>1415</v>
      </c>
      <c r="B285" s="1859" t="s">
        <v>2196</v>
      </c>
      <c r="C285" s="1869"/>
      <c r="D285" s="1869"/>
      <c r="E285" s="1869"/>
      <c r="F285" s="1861">
        <v>0.05</v>
      </c>
    </row>
    <row r="286" spans="1:6" ht="24.75" thickBot="1">
      <c r="A286" s="1855" t="s">
        <v>1415</v>
      </c>
      <c r="B286" s="1859" t="s">
        <v>2197</v>
      </c>
      <c r="C286" s="1869"/>
      <c r="D286" s="1869"/>
      <c r="E286" s="1869"/>
      <c r="F286" s="1861">
        <v>0.05</v>
      </c>
    </row>
    <row r="287" spans="1:6" ht="24.75" thickBot="1">
      <c r="A287" s="1855" t="s">
        <v>1415</v>
      </c>
      <c r="B287" s="1859" t="s">
        <v>2198</v>
      </c>
      <c r="C287" s="1869"/>
      <c r="D287" s="1869"/>
      <c r="E287" s="1869"/>
      <c r="F287" s="1861">
        <v>0.05</v>
      </c>
    </row>
    <row r="288" spans="1:6" ht="24.75" thickBot="1">
      <c r="A288" s="1855" t="s">
        <v>1415</v>
      </c>
      <c r="B288" s="1859" t="s">
        <v>2199</v>
      </c>
      <c r="C288" s="1869"/>
      <c r="D288" s="1869"/>
      <c r="E288" s="1869"/>
      <c r="F288" s="1861">
        <v>0.05</v>
      </c>
    </row>
    <row r="289" spans="1:6" ht="24.75" thickBot="1">
      <c r="A289" s="1863" t="s">
        <v>1415</v>
      </c>
      <c r="B289" s="1870" t="s">
        <v>2200</v>
      </c>
      <c r="C289" s="1866"/>
      <c r="D289" s="1866"/>
      <c r="E289" s="1866"/>
      <c r="F289" s="1871">
        <v>0.05</v>
      </c>
    </row>
    <row r="290" spans="1:6" ht="14.25" thickBot="1">
      <c r="A290" s="1855" t="s">
        <v>1419</v>
      </c>
      <c r="B290" s="1856" t="s">
        <v>2201</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2202</v>
      </c>
      <c r="C292" s="1860">
        <v>0.15</v>
      </c>
      <c r="D292" s="1860">
        <v>0.15</v>
      </c>
      <c r="E292" s="1860">
        <v>0.15</v>
      </c>
      <c r="F292" s="1861">
        <v>0.14699999999999999</v>
      </c>
    </row>
    <row r="293" spans="1:6" ht="14.25" thickBot="1">
      <c r="A293" s="1855" t="s">
        <v>1419</v>
      </c>
      <c r="B293" s="1859" t="s">
        <v>2203</v>
      </c>
      <c r="C293" s="1869"/>
      <c r="D293" s="1869"/>
      <c r="E293" s="1869"/>
      <c r="F293" s="1861">
        <v>0.1</v>
      </c>
    </row>
    <row r="294" spans="1:6" ht="14.25" thickBot="1">
      <c r="A294" s="1855" t="s">
        <v>1419</v>
      </c>
      <c r="B294" s="1859" t="s">
        <v>2204</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2205</v>
      </c>
      <c r="C296" s="1860">
        <v>0.15</v>
      </c>
      <c r="D296" s="1860">
        <v>0.15</v>
      </c>
      <c r="E296" s="1860">
        <v>0.15</v>
      </c>
      <c r="F296" s="1861">
        <v>0.15</v>
      </c>
    </row>
    <row r="297" spans="1:6" ht="14.25" thickBot="1">
      <c r="A297" s="1855" t="s">
        <v>1419</v>
      </c>
      <c r="B297" s="1859" t="s">
        <v>2206</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2207</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2208</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2209</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2210</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2211</v>
      </c>
      <c r="C310" s="1860">
        <v>0.15</v>
      </c>
      <c r="D310" s="1860">
        <v>0.15</v>
      </c>
      <c r="E310" s="1860">
        <v>0.15</v>
      </c>
      <c r="F310" s="1861">
        <v>0.13700000000000001</v>
      </c>
    </row>
    <row r="311" spans="1:6" ht="14.25" thickBot="1">
      <c r="A311" s="1855" t="s">
        <v>1419</v>
      </c>
      <c r="B311" s="1859" t="s">
        <v>2212</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2213</v>
      </c>
      <c r="C313" s="1860">
        <v>0.15</v>
      </c>
      <c r="D313" s="1860">
        <v>0.15</v>
      </c>
      <c r="E313" s="1860">
        <v>0.15</v>
      </c>
      <c r="F313" s="1861">
        <v>0.15</v>
      </c>
    </row>
    <row r="314" spans="1:6" ht="24.75" thickBot="1">
      <c r="A314" s="1855" t="s">
        <v>1419</v>
      </c>
      <c r="B314" s="1859" t="s">
        <v>2214</v>
      </c>
      <c r="C314" s="1869"/>
      <c r="D314" s="1869"/>
      <c r="E314" s="1869"/>
      <c r="F314" s="1861">
        <v>0.05</v>
      </c>
    </row>
    <row r="315" spans="1:6" ht="24.75" thickBot="1">
      <c r="A315" s="1855" t="s">
        <v>1419</v>
      </c>
      <c r="B315" s="1859" t="s">
        <v>2215</v>
      </c>
      <c r="C315" s="1869"/>
      <c r="D315" s="1869"/>
      <c r="E315" s="1869"/>
      <c r="F315" s="1861">
        <v>0.05</v>
      </c>
    </row>
    <row r="316" spans="1:6" ht="24.75" thickBot="1">
      <c r="A316" s="1863" t="s">
        <v>1419</v>
      </c>
      <c r="B316" s="1870" t="s">
        <v>2216</v>
      </c>
      <c r="C316" s="1866"/>
      <c r="D316" s="1866"/>
      <c r="E316" s="1866"/>
      <c r="F316" s="1871">
        <v>0.05</v>
      </c>
    </row>
    <row r="317" spans="1:6" ht="14.25" thickBot="1">
      <c r="A317" s="1855" t="s">
        <v>2217</v>
      </c>
      <c r="B317" s="1856" t="s">
        <v>2218</v>
      </c>
      <c r="C317" s="1857">
        <v>0.15</v>
      </c>
      <c r="D317" s="1857">
        <v>0.15</v>
      </c>
      <c r="E317" s="1857">
        <v>0.15</v>
      </c>
      <c r="F317" s="1858">
        <v>0.15</v>
      </c>
    </row>
    <row r="318" spans="1:6" ht="14.25" thickBot="1">
      <c r="A318" s="1855" t="s">
        <v>2217</v>
      </c>
      <c r="B318" s="1859" t="s">
        <v>2219</v>
      </c>
      <c r="C318" s="1860">
        <v>0.107</v>
      </c>
      <c r="D318" s="1860">
        <v>0.11</v>
      </c>
      <c r="E318" s="1860">
        <v>0.112</v>
      </c>
      <c r="F318" s="1868"/>
    </row>
    <row r="319" spans="1:6" ht="14.25" thickBot="1">
      <c r="A319" s="1855" t="s">
        <v>2217</v>
      </c>
      <c r="B319" s="1859" t="s">
        <v>2220</v>
      </c>
      <c r="C319" s="1860">
        <v>0.15</v>
      </c>
      <c r="D319" s="1860">
        <v>0.15</v>
      </c>
      <c r="E319" s="1860">
        <v>0.15</v>
      </c>
      <c r="F319" s="1861">
        <v>0.15</v>
      </c>
    </row>
    <row r="320" spans="1:6" ht="14.25" thickBot="1">
      <c r="A320" s="1855" t="s">
        <v>2217</v>
      </c>
      <c r="B320" s="1859" t="s">
        <v>1107</v>
      </c>
      <c r="C320" s="1860">
        <v>0.15</v>
      </c>
      <c r="D320" s="1860">
        <v>0.15</v>
      </c>
      <c r="E320" s="1860">
        <v>0.15</v>
      </c>
      <c r="F320" s="1868"/>
    </row>
    <row r="321" spans="1:6" ht="14.25" thickBot="1">
      <c r="A321" s="1855" t="s">
        <v>2217</v>
      </c>
      <c r="B321" s="1859" t="s">
        <v>2221</v>
      </c>
      <c r="C321" s="1860">
        <v>0.15</v>
      </c>
      <c r="D321" s="1860">
        <v>0.15</v>
      </c>
      <c r="E321" s="1860">
        <v>0.15</v>
      </c>
      <c r="F321" s="1868"/>
    </row>
    <row r="322" spans="1:6" ht="14.25" thickBot="1">
      <c r="A322" s="1855" t="s">
        <v>2217</v>
      </c>
      <c r="B322" s="1859" t="s">
        <v>2222</v>
      </c>
      <c r="C322" s="1860">
        <v>0.15</v>
      </c>
      <c r="D322" s="1860">
        <v>0.15</v>
      </c>
      <c r="E322" s="1860">
        <v>0.15</v>
      </c>
      <c r="F322" s="1861">
        <v>0.15</v>
      </c>
    </row>
    <row r="323" spans="1:6" ht="14.25" thickBot="1">
      <c r="A323" s="1855" t="s">
        <v>2217</v>
      </c>
      <c r="B323" s="1859" t="s">
        <v>2223</v>
      </c>
      <c r="C323" s="1860">
        <v>0.15</v>
      </c>
      <c r="D323" s="1860">
        <v>0.15</v>
      </c>
      <c r="E323" s="1860">
        <v>0.15</v>
      </c>
      <c r="F323" s="1868"/>
    </row>
    <row r="324" spans="1:6" ht="14.25" thickBot="1">
      <c r="A324" s="1855" t="s">
        <v>2217</v>
      </c>
      <c r="B324" s="1859" t="s">
        <v>2224</v>
      </c>
      <c r="C324" s="1860">
        <v>0.15</v>
      </c>
      <c r="D324" s="1860">
        <v>0.15</v>
      </c>
      <c r="E324" s="1860">
        <v>0.15</v>
      </c>
      <c r="F324" s="1868"/>
    </row>
    <row r="325" spans="1:6" ht="14.25" thickBot="1">
      <c r="A325" s="1855" t="s">
        <v>2217</v>
      </c>
      <c r="B325" s="1859" t="s">
        <v>2225</v>
      </c>
      <c r="C325" s="1860">
        <v>0.15</v>
      </c>
      <c r="D325" s="1860">
        <v>0.15</v>
      </c>
      <c r="E325" s="1860">
        <v>0.15</v>
      </c>
      <c r="F325" s="1861">
        <v>0.14699999999999999</v>
      </c>
    </row>
    <row r="326" spans="1:6" ht="14.25" thickBot="1">
      <c r="A326" s="1855" t="s">
        <v>2217</v>
      </c>
      <c r="B326" s="1859" t="s">
        <v>1176</v>
      </c>
      <c r="C326" s="1860">
        <v>0.15</v>
      </c>
      <c r="D326" s="1860">
        <v>0.15</v>
      </c>
      <c r="E326" s="1860">
        <v>0.15</v>
      </c>
      <c r="F326" s="1868"/>
    </row>
    <row r="327" spans="1:6" ht="14.25" thickBot="1">
      <c r="A327" s="1855" t="s">
        <v>2217</v>
      </c>
      <c r="B327" s="1859" t="s">
        <v>2226</v>
      </c>
      <c r="C327" s="1860">
        <v>0.15</v>
      </c>
      <c r="D327" s="1860">
        <v>0.15</v>
      </c>
      <c r="E327" s="1860">
        <v>0.15</v>
      </c>
      <c r="F327" s="1861">
        <v>0.15</v>
      </c>
    </row>
    <row r="328" spans="1:6" ht="14.25" thickBot="1">
      <c r="A328" s="1855" t="s">
        <v>2217</v>
      </c>
      <c r="B328" s="1859" t="s">
        <v>1196</v>
      </c>
      <c r="C328" s="1860">
        <v>0.15</v>
      </c>
      <c r="D328" s="1860">
        <v>0.15</v>
      </c>
      <c r="E328" s="1860">
        <v>0.15</v>
      </c>
      <c r="F328" s="1861">
        <v>0.14099999999999999</v>
      </c>
    </row>
    <row r="329" spans="1:6" ht="14.25" thickBot="1">
      <c r="A329" s="1855" t="s">
        <v>2217</v>
      </c>
      <c r="B329" s="1859" t="s">
        <v>1206</v>
      </c>
      <c r="C329" s="1860">
        <v>0.15</v>
      </c>
      <c r="D329" s="1860">
        <v>0.15</v>
      </c>
      <c r="E329" s="1860">
        <v>0.15</v>
      </c>
      <c r="F329" s="1861">
        <v>0.15</v>
      </c>
    </row>
    <row r="330" spans="1:6" ht="14.25" thickBot="1">
      <c r="A330" s="1855" t="s">
        <v>2217</v>
      </c>
      <c r="B330" s="1859" t="s">
        <v>1216</v>
      </c>
      <c r="C330" s="1860">
        <v>0.15</v>
      </c>
      <c r="D330" s="1860">
        <v>0.15</v>
      </c>
      <c r="E330" s="1860">
        <v>0.15</v>
      </c>
      <c r="F330" s="1868"/>
    </row>
    <row r="331" spans="1:6" ht="14.25" thickBot="1">
      <c r="A331" s="1855" t="s">
        <v>2217</v>
      </c>
      <c r="B331" s="1859" t="s">
        <v>2227</v>
      </c>
      <c r="C331" s="1860">
        <v>0.15</v>
      </c>
      <c r="D331" s="1860">
        <v>0.15</v>
      </c>
      <c r="E331" s="1860">
        <v>0.15</v>
      </c>
      <c r="F331" s="1861">
        <v>0.15</v>
      </c>
    </row>
    <row r="332" spans="1:6" ht="14.25" thickBot="1">
      <c r="A332" s="1855" t="s">
        <v>2217</v>
      </c>
      <c r="B332" s="1859" t="s">
        <v>1236</v>
      </c>
      <c r="C332" s="1860">
        <v>0.15</v>
      </c>
      <c r="D332" s="1860">
        <v>0.15</v>
      </c>
      <c r="E332" s="1860">
        <v>0.15</v>
      </c>
      <c r="F332" s="1861">
        <v>0.15</v>
      </c>
    </row>
    <row r="333" spans="1:6" ht="14.25" thickBot="1">
      <c r="A333" s="1855" t="s">
        <v>2217</v>
      </c>
      <c r="B333" s="1859" t="s">
        <v>2228</v>
      </c>
      <c r="C333" s="1860">
        <v>0.15</v>
      </c>
      <c r="D333" s="1860">
        <v>0.15</v>
      </c>
      <c r="E333" s="1860">
        <v>0.15</v>
      </c>
      <c r="F333" s="1861">
        <v>0.14099999999999999</v>
      </c>
    </row>
    <row r="334" spans="1:6" ht="14.25" thickBot="1">
      <c r="A334" s="1855" t="s">
        <v>2217</v>
      </c>
      <c r="B334" s="1859" t="s">
        <v>1256</v>
      </c>
      <c r="C334" s="1860">
        <v>0.15</v>
      </c>
      <c r="D334" s="1860">
        <v>0.15</v>
      </c>
      <c r="E334" s="1860">
        <v>0.15</v>
      </c>
      <c r="F334" s="1861">
        <v>0.15</v>
      </c>
    </row>
    <row r="335" spans="1:6" ht="14.25" thickBot="1">
      <c r="A335" s="1855" t="s">
        <v>2217</v>
      </c>
      <c r="B335" s="1859" t="s">
        <v>1266</v>
      </c>
      <c r="C335" s="1860">
        <v>0.15</v>
      </c>
      <c r="D335" s="1860">
        <v>0.15</v>
      </c>
      <c r="E335" s="1860">
        <v>0.15</v>
      </c>
      <c r="F335" s="1868"/>
    </row>
    <row r="336" spans="1:6" ht="14.25" thickBot="1">
      <c r="A336" s="1855" t="s">
        <v>2217</v>
      </c>
      <c r="B336" s="1859" t="s">
        <v>2229</v>
      </c>
      <c r="C336" s="1860">
        <v>0.15</v>
      </c>
      <c r="D336" s="1860">
        <v>0.15</v>
      </c>
      <c r="E336" s="1860">
        <v>0.15</v>
      </c>
      <c r="F336" s="1861">
        <v>0.11799999999999999</v>
      </c>
    </row>
    <row r="337" spans="1:6" ht="14.25" thickBot="1">
      <c r="A337" s="1863" t="s">
        <v>2217</v>
      </c>
      <c r="B337" s="1870" t="s">
        <v>1284</v>
      </c>
      <c r="C337" s="1866"/>
      <c r="D337" s="1866"/>
      <c r="E337" s="1866"/>
      <c r="F337" s="1871">
        <v>0.14299999999999999</v>
      </c>
    </row>
    <row r="338" spans="1:6" ht="14.25" thickBot="1">
      <c r="A338" s="1855" t="s">
        <v>2230</v>
      </c>
      <c r="B338" s="1856" t="s">
        <v>2231</v>
      </c>
      <c r="C338" s="1857">
        <v>0.15</v>
      </c>
      <c r="D338" s="1857">
        <v>0.15</v>
      </c>
      <c r="E338" s="1857">
        <v>0.15</v>
      </c>
      <c r="F338" s="1879"/>
    </row>
    <row r="339" spans="1:6" ht="14.25" thickBot="1">
      <c r="A339" s="1855" t="s">
        <v>2230</v>
      </c>
      <c r="B339" s="1859" t="s">
        <v>2232</v>
      </c>
      <c r="C339" s="1860">
        <v>0.15</v>
      </c>
      <c r="D339" s="1860">
        <v>0.15</v>
      </c>
      <c r="E339" s="1860">
        <v>0.15</v>
      </c>
      <c r="F339" s="1868"/>
    </row>
    <row r="340" spans="1:6" ht="14.25" thickBot="1">
      <c r="A340" s="1855" t="s">
        <v>2230</v>
      </c>
      <c r="B340" s="1859" t="s">
        <v>2233</v>
      </c>
      <c r="C340" s="1860">
        <v>0.15</v>
      </c>
      <c r="D340" s="1860">
        <v>0.15</v>
      </c>
      <c r="E340" s="1860">
        <v>0.15</v>
      </c>
      <c r="F340" s="1868"/>
    </row>
    <row r="341" spans="1:6" ht="14.25" thickBot="1">
      <c r="A341" s="1855" t="s">
        <v>2234</v>
      </c>
      <c r="B341" s="1859" t="s">
        <v>2235</v>
      </c>
      <c r="C341" s="1860">
        <v>0.15</v>
      </c>
      <c r="D341" s="1860">
        <v>0.15</v>
      </c>
      <c r="E341" s="1860">
        <v>0.15</v>
      </c>
      <c r="F341" s="1861">
        <v>0.15</v>
      </c>
    </row>
    <row r="342" spans="1:6" ht="14.25" thickBot="1">
      <c r="A342" s="1855" t="s">
        <v>2230</v>
      </c>
      <c r="B342" s="1859" t="s">
        <v>2236</v>
      </c>
      <c r="C342" s="1860">
        <v>0.15</v>
      </c>
      <c r="D342" s="1860">
        <v>0.15</v>
      </c>
      <c r="E342" s="1860">
        <v>0.15</v>
      </c>
      <c r="F342" s="1861">
        <v>0.15</v>
      </c>
    </row>
    <row r="343" spans="1:6" ht="14.25" thickBot="1">
      <c r="A343" s="1855" t="s">
        <v>2230</v>
      </c>
      <c r="B343" s="1859" t="s">
        <v>2237</v>
      </c>
      <c r="C343" s="1860">
        <v>0.15</v>
      </c>
      <c r="D343" s="1860">
        <v>0.15</v>
      </c>
      <c r="E343" s="1860">
        <v>0.15</v>
      </c>
      <c r="F343" s="1861">
        <v>0.15</v>
      </c>
    </row>
    <row r="344" spans="1:6" ht="14.25" thickBot="1">
      <c r="A344" s="1863" t="s">
        <v>2230</v>
      </c>
      <c r="B344" s="1870" t="s">
        <v>2238</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2952</v>
      </c>
      <c r="B1" s="3133"/>
      <c r="C1" s="3133"/>
      <c r="D1" s="3133"/>
      <c r="E1" s="3133"/>
      <c r="F1" s="3133"/>
    </row>
    <row r="2" spans="1:6" ht="14.25">
      <c r="A2" s="3134" t="s">
        <v>2946</v>
      </c>
      <c r="B2" s="3135" t="e">
        <f ca="1">SUMIF(B7:B14,"&lt;&gt;#ref!",B7:B14)</f>
        <v>#DIV/0!</v>
      </c>
      <c r="C2" s="3134" t="s">
        <v>2947</v>
      </c>
      <c r="D2" s="3133"/>
      <c r="E2" s="3133"/>
      <c r="F2" s="3133"/>
    </row>
    <row r="3" spans="1:6" ht="14.25">
      <c r="A3" s="3134" t="s">
        <v>2949</v>
      </c>
      <c r="B3" s="3135" t="e">
        <f ca="1">ROUND(B2*10000/E3,0)</f>
        <v>#DIV/0!</v>
      </c>
      <c r="C3" s="3134" t="s">
        <v>2079</v>
      </c>
      <c r="D3" s="3134" t="s">
        <v>2948</v>
      </c>
      <c r="E3" s="3135" t="e">
        <f ca="1">SUM(E7:E14)</f>
        <v>#REF!</v>
      </c>
      <c r="F3" s="3133"/>
    </row>
    <row r="4" spans="1:6" ht="14.25">
      <c r="A4" s="3134" t="s">
        <v>2956</v>
      </c>
      <c r="B4" s="3135" t="e">
        <f ca="1">ROUND(B2*10000/E4,0)</f>
        <v>#DIV/0!</v>
      </c>
      <c r="C4" s="3134" t="s">
        <v>2079</v>
      </c>
      <c r="D4" s="3134" t="s">
        <v>2957</v>
      </c>
      <c r="E4" s="3135" t="e">
        <f ca="1">SUM(F7:F14)</f>
        <v>#REF!</v>
      </c>
      <c r="F4" s="3133"/>
    </row>
    <row r="5" spans="1:6" ht="14.25">
      <c r="A5" s="3136"/>
      <c r="B5" s="1881"/>
      <c r="C5" s="1881"/>
      <c r="D5" s="1881"/>
      <c r="E5" s="1881"/>
      <c r="F5" s="3133"/>
    </row>
    <row r="6" spans="1:6" ht="28.5">
      <c r="A6" s="3137" t="s">
        <v>2953</v>
      </c>
      <c r="B6" s="3134" t="s">
        <v>2950</v>
      </c>
      <c r="C6" s="3135"/>
      <c r="D6" s="1881"/>
      <c r="E6" s="3134" t="s">
        <v>2951</v>
      </c>
      <c r="F6" s="3134" t="s">
        <v>2955</v>
      </c>
    </row>
    <row r="7" spans="1:6" ht="14.25">
      <c r="A7" s="259" t="s">
        <v>2954</v>
      </c>
      <c r="B7" s="3138" t="e">
        <f ca="1">SUMIF(INDIRECT("'"&amp;A7&amp;"'"&amp;"!A:A"),"总价",INDIRECT("'"&amp;A7&amp;"'"&amp;"!B:B"))</f>
        <v>#DIV/0!</v>
      </c>
      <c r="C7" s="3134" t="s">
        <v>2947</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2947</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2947</v>
      </c>
      <c r="D9" s="1881"/>
      <c r="E9" s="3139" t="e">
        <f t="shared" ca="1" si="1"/>
        <v>#REF!</v>
      </c>
      <c r="F9" s="3139" t="e">
        <f t="shared" ca="1" si="2"/>
        <v>#REF!</v>
      </c>
    </row>
    <row r="10" spans="1:6" ht="14.25">
      <c r="A10" s="259"/>
      <c r="B10" s="3138" t="e">
        <f t="shared" ca="1" si="0"/>
        <v>#REF!</v>
      </c>
      <c r="C10" s="3134" t="s">
        <v>2947</v>
      </c>
      <c r="D10" s="1881"/>
      <c r="E10" s="3139" t="e">
        <f t="shared" ca="1" si="1"/>
        <v>#REF!</v>
      </c>
      <c r="F10" s="3139" t="e">
        <f t="shared" ca="1" si="2"/>
        <v>#REF!</v>
      </c>
    </row>
    <row r="11" spans="1:6" ht="14.25">
      <c r="A11" s="259"/>
      <c r="B11" s="3138" t="e">
        <f t="shared" ca="1" si="0"/>
        <v>#REF!</v>
      </c>
      <c r="C11" s="3134" t="s">
        <v>2947</v>
      </c>
      <c r="D11" s="1881"/>
      <c r="E11" s="3139" t="e">
        <f t="shared" ca="1" si="1"/>
        <v>#REF!</v>
      </c>
      <c r="F11" s="3139" t="e">
        <f t="shared" ca="1" si="2"/>
        <v>#REF!</v>
      </c>
    </row>
    <row r="12" spans="1:6" ht="14.25">
      <c r="A12" s="259"/>
      <c r="B12" s="3138" t="e">
        <f t="shared" ca="1" si="0"/>
        <v>#REF!</v>
      </c>
      <c r="C12" s="3134" t="s">
        <v>2947</v>
      </c>
      <c r="D12" s="1881"/>
      <c r="E12" s="3139" t="e">
        <f t="shared" ca="1" si="1"/>
        <v>#REF!</v>
      </c>
      <c r="F12" s="3139" t="e">
        <f t="shared" ca="1" si="2"/>
        <v>#REF!</v>
      </c>
    </row>
    <row r="13" spans="1:6" ht="14.25">
      <c r="A13" s="259"/>
      <c r="B13" s="3138" t="e">
        <f t="shared" ca="1" si="0"/>
        <v>#REF!</v>
      </c>
      <c r="C13" s="3134" t="s">
        <v>2947</v>
      </c>
      <c r="D13" s="1881"/>
      <c r="E13" s="3139" t="e">
        <f t="shared" ca="1" si="1"/>
        <v>#REF!</v>
      </c>
      <c r="F13" s="3139" t="e">
        <f t="shared" ca="1" si="2"/>
        <v>#REF!</v>
      </c>
    </row>
    <row r="14" spans="1:6" ht="14.25">
      <c r="A14" s="3132"/>
      <c r="B14" s="3138" t="e">
        <f t="shared" ca="1" si="0"/>
        <v>#REF!</v>
      </c>
      <c r="C14" s="3134" t="s">
        <v>2947</v>
      </c>
      <c r="D14" s="1881"/>
      <c r="E14" s="3139" t="e">
        <f t="shared" ca="1" si="1"/>
        <v>#REF!</v>
      </c>
      <c r="F14" s="3139"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F35" sqref="F35"/>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411" t="s">
        <v>2375</v>
      </c>
      <c r="F1" s="2412">
        <f ca="1">J54</f>
        <v>0</v>
      </c>
      <c r="G1" s="774">
        <f>MATCH(C1,'数据-取费表'!A6:A16,0)+5</f>
        <v>8</v>
      </c>
      <c r="H1" s="1349"/>
      <c r="I1" s="2051"/>
      <c r="J1" s="2051"/>
      <c r="K1" s="2052"/>
      <c r="L1" s="2051"/>
      <c r="M1" s="2051"/>
      <c r="N1" s="2053"/>
      <c r="O1" s="2053"/>
      <c r="P1" s="2053"/>
      <c r="Q1" s="2053"/>
      <c r="R1" s="2053"/>
      <c r="S1" s="2053"/>
      <c r="T1" s="2053"/>
      <c r="U1" s="2053"/>
      <c r="V1" s="2053"/>
      <c r="W1" s="2053"/>
      <c r="X1" s="2053"/>
      <c r="Y1" s="2053"/>
    </row>
    <row r="2" spans="1:25" ht="18" customHeight="1">
      <c r="A2" s="1643" t="s">
        <v>629</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695</v>
      </c>
      <c r="I3" s="2057"/>
      <c r="J3" s="2057"/>
      <c r="K3" s="2058"/>
      <c r="L3" s="2057"/>
      <c r="M3" s="2057"/>
    </row>
    <row r="4" spans="1:25" ht="18" customHeight="1">
      <c r="A4" s="1645" t="s">
        <v>696</v>
      </c>
      <c r="B4" s="1351">
        <f ca="1">ROUND(B2*10000/'数据-汇总表'!D3,0)</f>
        <v>0</v>
      </c>
      <c r="C4" s="430"/>
      <c r="D4" s="2055"/>
      <c r="E4" s="2056"/>
      <c r="F4" s="2056"/>
      <c r="G4" s="1589"/>
      <c r="H4" s="776"/>
      <c r="I4" s="2057"/>
      <c r="J4" s="2057"/>
      <c r="K4" s="2058"/>
      <c r="L4" s="2057"/>
      <c r="M4" s="2057"/>
    </row>
    <row r="5" spans="1:25" ht="18" customHeight="1" thickBot="1">
      <c r="A5" s="1646"/>
      <c r="B5" s="432">
        <f ca="1">ROUND(B2/('数据-汇总表'!D3/666.67),0)</f>
        <v>0</v>
      </c>
      <c r="C5" s="433" t="s">
        <v>697</v>
      </c>
      <c r="D5" s="2055"/>
      <c r="E5" s="2056"/>
      <c r="F5" s="2056"/>
      <c r="G5" s="1589"/>
      <c r="H5" s="776"/>
      <c r="I5" s="2057"/>
      <c r="J5" s="2057"/>
      <c r="K5" s="2058"/>
      <c r="L5" s="2057"/>
      <c r="M5" s="2057"/>
    </row>
    <row r="6" spans="1:25" ht="18" customHeight="1">
      <c r="A6" s="1828" t="s">
        <v>698</v>
      </c>
      <c r="B6" s="1820" t="s">
        <v>699</v>
      </c>
      <c r="C6" s="1820" t="s">
        <v>632</v>
      </c>
      <c r="D6" s="1820" t="s">
        <v>633</v>
      </c>
      <c r="E6" s="779" t="s">
        <v>634</v>
      </c>
      <c r="F6" s="780"/>
      <c r="G6" s="1591"/>
      <c r="H6" s="1828" t="s">
        <v>630</v>
      </c>
      <c r="I6" s="1820" t="s">
        <v>631</v>
      </c>
      <c r="J6" s="1820" t="s">
        <v>632</v>
      </c>
      <c r="K6" s="1820" t="s">
        <v>633</v>
      </c>
      <c r="L6" s="779" t="s">
        <v>634</v>
      </c>
      <c r="M6" s="780"/>
    </row>
    <row r="7" spans="1:25" ht="18" customHeight="1">
      <c r="A7" s="781">
        <v>1</v>
      </c>
      <c r="B7" s="782" t="s">
        <v>2460</v>
      </c>
      <c r="C7" s="53">
        <f ca="1">C8+C12+C14</f>
        <v>0</v>
      </c>
      <c r="D7" s="2520" t="s">
        <v>2463</v>
      </c>
      <c r="E7" s="2514"/>
      <c r="F7" s="2515"/>
      <c r="G7" s="1591"/>
      <c r="H7" s="781">
        <v>1</v>
      </c>
      <c r="I7" s="782" t="s">
        <v>2460</v>
      </c>
      <c r="J7" s="53">
        <f ca="1">J8+J12+J14</f>
        <v>0</v>
      </c>
      <c r="K7" s="2520" t="s">
        <v>2463</v>
      </c>
      <c r="L7" s="2514"/>
      <c r="M7" s="2515"/>
    </row>
    <row r="8" spans="1:25" ht="18" customHeight="1">
      <c r="A8" s="1830" t="s">
        <v>1824</v>
      </c>
      <c r="B8" s="3428" t="s">
        <v>2465</v>
      </c>
      <c r="C8" s="1825">
        <f ca="1">ROUND(F8*F10*F9*(1-F11)/10000,0)</f>
        <v>0</v>
      </c>
      <c r="D8" s="1822" t="s">
        <v>2537</v>
      </c>
      <c r="E8" s="61" t="s">
        <v>637</v>
      </c>
      <c r="F8" s="785">
        <f ca="1">INDIRECT("'数据-取费表'!u"&amp;$G$1)</f>
        <v>0</v>
      </c>
      <c r="G8" s="1591"/>
      <c r="H8" s="2528" t="s">
        <v>1824</v>
      </c>
      <c r="I8" s="3428" t="s">
        <v>2465</v>
      </c>
      <c r="J8" s="783">
        <f ca="1">ROUND(M8*M10*M9*(1-M11)/10000,0)</f>
        <v>0</v>
      </c>
      <c r="K8" s="343" t="s">
        <v>2537</v>
      </c>
      <c r="L8" s="784" t="s">
        <v>1738</v>
      </c>
      <c r="M8" s="785">
        <f ca="1">INDIRECT("'数据-取费表'!z"&amp;$G$1)</f>
        <v>0</v>
      </c>
    </row>
    <row r="9" spans="1:25" ht="18" customHeight="1">
      <c r="A9" s="2524"/>
      <c r="B9" s="3429"/>
      <c r="C9" s="1826"/>
      <c r="D9" s="1823"/>
      <c r="E9" s="61" t="s">
        <v>638</v>
      </c>
      <c r="F9" s="785">
        <f ca="1">IF(INDIRECT("'数据-取费表'!ah"&amp;$G$1)="",INDIRECT("'数据-取费表'!k"&amp;$G$1),INDIRECT("'数据-取费表'!ah"&amp;$G$1))</f>
        <v>0</v>
      </c>
      <c r="G9" s="1591"/>
      <c r="H9" s="2513"/>
      <c r="I9" s="3429"/>
      <c r="J9" s="788"/>
      <c r="K9" s="789"/>
      <c r="L9" s="784" t="s">
        <v>1739</v>
      </c>
      <c r="M9" s="785">
        <f ca="1">F9</f>
        <v>0</v>
      </c>
    </row>
    <row r="10" spans="1:25" ht="18" customHeight="1">
      <c r="A10" s="2517"/>
      <c r="B10" s="3430"/>
      <c r="C10" s="1826"/>
      <c r="D10" s="1823"/>
      <c r="E10" s="61" t="s">
        <v>639</v>
      </c>
      <c r="F10" s="785">
        <f ca="1">INDIRECT("'数据-取费表'!ai"&amp;$G$1)</f>
        <v>0</v>
      </c>
      <c r="G10" s="1591"/>
      <c r="H10" s="2513"/>
      <c r="I10" s="3430"/>
      <c r="J10" s="788"/>
      <c r="K10" s="789"/>
      <c r="L10" s="784" t="s">
        <v>1740</v>
      </c>
      <c r="M10" s="785">
        <f ca="1">INDIRECT("'数据-取费表'!ai"&amp;$G$1)</f>
        <v>0</v>
      </c>
    </row>
    <row r="11" spans="1:25" ht="18" customHeight="1">
      <c r="A11" s="786"/>
      <c r="B11" s="3431"/>
      <c r="C11" s="1826"/>
      <c r="D11" s="1823"/>
      <c r="E11" s="61" t="s">
        <v>640</v>
      </c>
      <c r="F11" s="794">
        <f ca="1">INDIRECT("'数据-取费表'!w"&amp;$G$1)</f>
        <v>0</v>
      </c>
      <c r="G11" s="1591"/>
      <c r="H11" s="2529"/>
      <c r="I11" s="3430"/>
      <c r="J11" s="788"/>
      <c r="K11" s="789"/>
      <c r="L11" s="795" t="s">
        <v>1741</v>
      </c>
      <c r="M11" s="796">
        <f ca="1">INDIRECT("'数据-取费表'!ab"&amp;$G$1)</f>
        <v>0</v>
      </c>
    </row>
    <row r="12" spans="1:25" ht="18" customHeight="1">
      <c r="A12" s="1830" t="s">
        <v>1825</v>
      </c>
      <c r="B12" s="2518" t="s">
        <v>2461</v>
      </c>
      <c r="C12" s="799">
        <f ca="1">ROUND(IF(F12="押一",F8*F10*F9/12*F13,IF(F12="押二",F8*F10*F9/12*2*F13,IF(F12="押三",F8*F10*F9/12*3*F13,C13*F13)))/10000,0)</f>
        <v>0</v>
      </c>
      <c r="D12" s="2525" t="s">
        <v>2468</v>
      </c>
      <c r="E12" s="2522" t="s">
        <v>2466</v>
      </c>
      <c r="F12" s="2645"/>
      <c r="G12" s="1591"/>
      <c r="H12" s="2585" t="s">
        <v>1825</v>
      </c>
      <c r="I12" s="2590" t="s">
        <v>2461</v>
      </c>
      <c r="J12" s="783">
        <f ca="1">ROUND(IF(M12="押一",M8*M10*M9/12*M13,IF(M12="押二",M8*M10*M9/12*2*M13,IF(M12="押三",M8*M10*M9/12*3*M13,J13*M13)))/10000,0)</f>
        <v>0</v>
      </c>
      <c r="K12" s="2525" t="s">
        <v>2468</v>
      </c>
      <c r="L12" s="2522" t="s">
        <v>2466</v>
      </c>
      <c r="M12" s="2645"/>
    </row>
    <row r="13" spans="1:25" ht="18" customHeight="1">
      <c r="A13" s="790"/>
      <c r="B13" s="2519" t="s">
        <v>2576</v>
      </c>
      <c r="C13" s="2523"/>
      <c r="D13" s="789"/>
      <c r="E13" s="2522" t="s">
        <v>2458</v>
      </c>
      <c r="F13" s="796">
        <f ca="1">'数据-取费表'!B39</f>
        <v>1.4999999999999999E-2</v>
      </c>
      <c r="G13" s="1591"/>
      <c r="H13" s="2586"/>
      <c r="I13" s="2519" t="s">
        <v>2576</v>
      </c>
      <c r="J13" s="2523"/>
      <c r="K13" s="2587"/>
      <c r="L13" s="2522" t="s">
        <v>2458</v>
      </c>
      <c r="M13" s="2516">
        <f ca="1">'数据-取费表'!B39</f>
        <v>1.4999999999999999E-2</v>
      </c>
    </row>
    <row r="14" spans="1:25" ht="18" customHeight="1" thickBot="1">
      <c r="A14" s="2561" t="s">
        <v>2470</v>
      </c>
      <c r="B14" s="2562" t="s">
        <v>2462</v>
      </c>
      <c r="C14" s="2563"/>
      <c r="D14" s="2564"/>
      <c r="E14" s="2565"/>
      <c r="F14" s="2566"/>
      <c r="G14" s="1591"/>
      <c r="H14" s="2575" t="s">
        <v>2470</v>
      </c>
      <c r="I14" s="2588" t="s">
        <v>2462</v>
      </c>
      <c r="J14" s="2589"/>
      <c r="K14" s="2564"/>
      <c r="L14" s="2565"/>
      <c r="M14" s="2578"/>
    </row>
    <row r="15" spans="1:25" ht="18" customHeight="1" thickTop="1">
      <c r="A15" s="1829" t="s">
        <v>1874</v>
      </c>
      <c r="B15" s="1827" t="s">
        <v>641</v>
      </c>
      <c r="C15" s="792">
        <f ca="1">ROUND(C31*F15,0)</f>
        <v>0</v>
      </c>
      <c r="D15" s="1834" t="s">
        <v>642</v>
      </c>
      <c r="E15" s="795" t="s">
        <v>643</v>
      </c>
      <c r="F15" s="800">
        <f ca="1">INDIRECT("'数据-取费表'!y"&amp;$G$1)</f>
        <v>0</v>
      </c>
      <c r="G15" s="1591"/>
      <c r="H15" s="1829" t="s">
        <v>1826</v>
      </c>
      <c r="I15" s="1827" t="s">
        <v>644</v>
      </c>
      <c r="J15" s="1819">
        <f ca="1">ROUND(J16*J17,0)</f>
        <v>0</v>
      </c>
      <c r="K15" s="1821" t="s">
        <v>642</v>
      </c>
      <c r="L15" s="801"/>
      <c r="M15" s="802"/>
    </row>
    <row r="16" spans="1:25" ht="18" customHeight="1">
      <c r="A16" s="803" t="s">
        <v>1875</v>
      </c>
      <c r="B16" s="784" t="s">
        <v>645</v>
      </c>
      <c r="C16" s="804">
        <f ca="1">INDIRECT("'数据-取费表'!m"&amp;$G$1)+INDIRECT("'数据-取费表'!t"&amp;$G$1)</f>
        <v>0</v>
      </c>
      <c r="D16" s="1979" t="s">
        <v>646</v>
      </c>
      <c r="E16" s="1980"/>
      <c r="F16" s="805"/>
      <c r="G16" s="1591"/>
      <c r="H16" s="803" t="s">
        <v>2070</v>
      </c>
      <c r="I16" s="2231" t="s">
        <v>2830</v>
      </c>
      <c r="J16" s="53">
        <f ca="1">C31</f>
        <v>0</v>
      </c>
      <c r="K16" s="26"/>
      <c r="L16" s="801"/>
      <c r="M16" s="802"/>
    </row>
    <row r="17" spans="1:25" s="2064" customFormat="1" ht="18" customHeight="1">
      <c r="A17" s="803" t="s">
        <v>1849</v>
      </c>
      <c r="B17" s="784" t="s">
        <v>647</v>
      </c>
      <c r="C17" s="53">
        <f ca="1">ROUND(C16*F17,0)</f>
        <v>0</v>
      </c>
      <c r="D17" s="806" t="s">
        <v>648</v>
      </c>
      <c r="E17" s="806" t="s">
        <v>649</v>
      </c>
      <c r="F17" s="807">
        <f>'数据-取费表'!B33</f>
        <v>0.03</v>
      </c>
      <c r="G17" s="1592"/>
      <c r="H17" s="803" t="s">
        <v>2071</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91"/>
      <c r="H18" s="797" t="s">
        <v>1827</v>
      </c>
      <c r="I18" s="798" t="s">
        <v>651</v>
      </c>
      <c r="J18" s="799">
        <f ca="1">ROUND(J19+J24+J25+J26,0)</f>
        <v>0</v>
      </c>
      <c r="K18" s="26" t="s">
        <v>652</v>
      </c>
      <c r="L18" s="1982"/>
      <c r="M18" s="56"/>
    </row>
    <row r="19" spans="1:25" s="2064" customFormat="1" ht="18" customHeight="1">
      <c r="A19" s="803" t="s">
        <v>1851</v>
      </c>
      <c r="B19" s="784" t="s">
        <v>653</v>
      </c>
      <c r="C19" s="53">
        <f ca="1">ROUND(F19*(INDIRECT("'数据-取费表'!k"&amp;$G$1)+INDIRECT("'数据-取费表'!S"&amp;$G$1))/10000,0)</f>
        <v>0</v>
      </c>
      <c r="D19" s="784" t="s">
        <v>654</v>
      </c>
      <c r="E19" s="784" t="s">
        <v>655</v>
      </c>
      <c r="F19" s="56">
        <f>'数据-取费表'!B35</f>
        <v>150</v>
      </c>
      <c r="G19" s="1592"/>
      <c r="H19" s="803" t="s">
        <v>2070</v>
      </c>
      <c r="I19" s="784" t="s">
        <v>656</v>
      </c>
      <c r="J19" s="53">
        <f ca="1">ROUND(IF(项目基本情况!B11="自然人",J7*M19,J20+J21+J22),0)</f>
        <v>0</v>
      </c>
      <c r="K19" s="1979" t="s">
        <v>657</v>
      </c>
      <c r="L19" s="1977" t="s">
        <v>658</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659</v>
      </c>
      <c r="C20" s="53">
        <f ca="1">ROUND(C16*F20,0)</f>
        <v>0</v>
      </c>
      <c r="D20" s="784" t="s">
        <v>648</v>
      </c>
      <c r="E20" s="784" t="s">
        <v>649</v>
      </c>
      <c r="F20" s="809">
        <f>'数据-取费表'!B36</f>
        <v>1.4999999999999999E-2</v>
      </c>
      <c r="G20" s="1592"/>
      <c r="H20" s="803" t="s">
        <v>1831</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1876</v>
      </c>
      <c r="B21" s="784" t="s">
        <v>662</v>
      </c>
      <c r="C21" s="53">
        <f ca="1">SUM(C16:C20)</f>
        <v>0</v>
      </c>
      <c r="D21" s="260" t="s">
        <v>663</v>
      </c>
      <c r="E21" s="1982"/>
      <c r="F21" s="56"/>
      <c r="G21" s="1591"/>
      <c r="H21" s="1830" t="s">
        <v>1849</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1877</v>
      </c>
      <c r="B22" s="784" t="s">
        <v>666</v>
      </c>
      <c r="C22" s="53">
        <f ca="1">ROUND(C21*F22,0)</f>
        <v>0</v>
      </c>
      <c r="D22" s="812" t="s">
        <v>667</v>
      </c>
      <c r="E22" s="784" t="s">
        <v>649</v>
      </c>
      <c r="F22" s="809">
        <f>'数据-取费表'!B37</f>
        <v>0.01</v>
      </c>
      <c r="G22" s="1592"/>
      <c r="H22" s="1832" t="s">
        <v>1850</v>
      </c>
      <c r="I22" s="1822" t="s">
        <v>668</v>
      </c>
      <c r="J22" s="54">
        <f ca="1">ROUND(M22*M23/10000,0)</f>
        <v>0</v>
      </c>
      <c r="K22" s="814" t="s">
        <v>669</v>
      </c>
      <c r="L22" s="784" t="s">
        <v>670</v>
      </c>
      <c r="M22" s="640">
        <f>'数据-取费表'!B52</f>
        <v>8</v>
      </c>
      <c r="N22" s="2063"/>
      <c r="O22" s="2063"/>
      <c r="P22" s="2063"/>
      <c r="Q22" s="2063"/>
      <c r="R22" s="2063"/>
      <c r="S22" s="2063"/>
      <c r="T22" s="2063"/>
      <c r="U22" s="2063"/>
      <c r="V22" s="2063"/>
      <c r="W22" s="2063"/>
      <c r="X22" s="2063"/>
      <c r="Y22" s="2063"/>
    </row>
    <row r="23" spans="1:25" s="2064" customFormat="1" ht="18" customHeight="1">
      <c r="A23" s="803" t="s">
        <v>1878</v>
      </c>
      <c r="B23" s="784" t="s">
        <v>671</v>
      </c>
      <c r="C23" s="53" t="s">
        <v>1</v>
      </c>
      <c r="D23" s="812" t="s">
        <v>672</v>
      </c>
      <c r="E23" s="784" t="s">
        <v>673</v>
      </c>
      <c r="F23" s="809">
        <f>'数据-取费表'!B38</f>
        <v>0.01</v>
      </c>
      <c r="G23" s="1592"/>
      <c r="H23" s="1833"/>
      <c r="I23" s="1824"/>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675</v>
      </c>
      <c r="C24" s="53"/>
      <c r="D24" s="2596" t="str">
        <f>IF(F25&lt;=1,"单利计息。","复利计息。")&amp;"建造成本、管理费用、销售费用产生的利息。"</f>
        <v>复利计息。建造成本、管理费用、销售费用产生的利息。</v>
      </c>
      <c r="E24" s="1982"/>
      <c r="F24" s="56"/>
      <c r="G24" s="1591"/>
      <c r="H24" s="1831" t="s">
        <v>2071</v>
      </c>
      <c r="I24" s="784" t="s">
        <v>676</v>
      </c>
      <c r="J24" s="53">
        <f ca="1">ROUND(J16*M24,0)</f>
        <v>0</v>
      </c>
      <c r="K24" s="1977" t="s">
        <v>677</v>
      </c>
      <c r="L24" s="784" t="s">
        <v>649</v>
      </c>
      <c r="M24" s="817">
        <f ca="1">INDIRECT("'数据-取费表'!Ak"&amp;$G$1)</f>
        <v>0</v>
      </c>
    </row>
    <row r="25" spans="1:25" s="2064" customFormat="1" ht="18" customHeight="1">
      <c r="A25" s="803" t="s">
        <v>1875</v>
      </c>
      <c r="B25" s="784" t="s">
        <v>2438</v>
      </c>
      <c r="C25" s="53">
        <f ca="1">ROUND(IF('数据-取费表'!B22&lt;=1,(C21+C22)*F26*F25/2,(C21+C22)*(POWER((1+F26),F25/2)-1)),0)</f>
        <v>0</v>
      </c>
      <c r="D25" s="2595" t="str">
        <f>IF(F25&lt;=1,"(建造成本+管理费用)×利率×(建设周期÷2)","(建造成本+管理费用)×((1+利率)^(建设周期÷2)-1)")</f>
        <v>(建造成本+管理费用)×((1+利率)^(建设周期÷2)-1)</v>
      </c>
      <c r="E25" s="784" t="s">
        <v>678</v>
      </c>
      <c r="F25" s="640">
        <f>'数据-取费表'!B20</f>
        <v>1.5</v>
      </c>
      <c r="G25" s="1592"/>
      <c r="H25" s="803" t="s">
        <v>1878</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1849</v>
      </c>
      <c r="B26" s="784" t="s">
        <v>681</v>
      </c>
      <c r="C26" s="53">
        <f ca="1">ROUND(IF('数据-取费表'!B22&lt;=1,F23*F26*F25/2,F23*(POWER((1+F26),F25/2)-1)),4)</f>
        <v>4.0000000000000002E-4</v>
      </c>
      <c r="D26" s="2595" t="str">
        <f>IF(F25&lt;=1,"销售费用×利率×(建设周期÷2)","销售费用×((1+利率)^(建设周期÷2)-1)")</f>
        <v>销售费用×((1+利率)^(建设周期÷2)-1)</v>
      </c>
      <c r="E26" s="784" t="s">
        <v>682</v>
      </c>
      <c r="F26" s="819">
        <f ca="1">'数据-取费表'!B40</f>
        <v>4.7500000000000001E-2</v>
      </c>
      <c r="G26" s="1592"/>
      <c r="H26" s="803" t="s">
        <v>1879</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1881</v>
      </c>
      <c r="B27" s="784" t="s">
        <v>684</v>
      </c>
      <c r="C27" s="53"/>
      <c r="D27" s="260" t="s">
        <v>685</v>
      </c>
      <c r="E27" s="1982"/>
      <c r="F27" s="56"/>
      <c r="G27" s="1591"/>
      <c r="H27" s="797" t="s">
        <v>1828</v>
      </c>
      <c r="I27" s="3037" t="s">
        <v>2827</v>
      </c>
      <c r="J27" s="799">
        <f ca="1">J7-J18</f>
        <v>0</v>
      </c>
      <c r="K27" s="1979" t="s">
        <v>700</v>
      </c>
      <c r="L27" s="1981"/>
      <c r="M27" s="820"/>
    </row>
    <row r="28" spans="1:25" ht="18" customHeight="1">
      <c r="A28" s="803" t="s">
        <v>1875</v>
      </c>
      <c r="B28" s="784" t="s">
        <v>2439</v>
      </c>
      <c r="C28" s="53">
        <f ca="1">ROUND((C21+C22)*F28,0)</f>
        <v>0</v>
      </c>
      <c r="D28" s="812" t="s">
        <v>701</v>
      </c>
      <c r="E28" s="795" t="s">
        <v>702</v>
      </c>
      <c r="F28" s="794">
        <f ca="1">INDIRECT("'数据-取费表'!q"&amp;$G$1)</f>
        <v>0</v>
      </c>
      <c r="G28" s="1591"/>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91"/>
      <c r="H29" s="786"/>
      <c r="I29" s="787"/>
      <c r="J29" s="788"/>
      <c r="K29" s="821" t="s">
        <v>707</v>
      </c>
      <c r="L29" s="784" t="s">
        <v>708</v>
      </c>
      <c r="M29" s="822">
        <f ca="1">INDIRECT("'数据-取费表'!ag"&amp;$G$1)</f>
        <v>0</v>
      </c>
    </row>
    <row r="30" spans="1:25" s="2064" customFormat="1" ht="18" customHeight="1">
      <c r="A30" s="803" t="s">
        <v>1882</v>
      </c>
      <c r="B30" s="784" t="s">
        <v>687</v>
      </c>
      <c r="C30" s="53">
        <f>ROUND(F30/(1+'数据-取费表'!C42),4)</f>
        <v>5.33E-2</v>
      </c>
      <c r="D30" s="812" t="s">
        <v>709</v>
      </c>
      <c r="E30" s="784" t="s">
        <v>649</v>
      </c>
      <c r="F30" s="809">
        <f>'数据-取费表'!B41</f>
        <v>5.6000000000000001E-2</v>
      </c>
      <c r="G30" s="1592"/>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1883</v>
      </c>
      <c r="B31" s="2565" t="s">
        <v>2828</v>
      </c>
      <c r="C31" s="2568">
        <f ca="1">ROUND((C21+C22+C25+C28)/(1-F23-C26-C29-C30),0)</f>
        <v>0</v>
      </c>
      <c r="D31" s="2569"/>
      <c r="E31" s="2570"/>
      <c r="F31" s="2571"/>
      <c r="G31" s="1592"/>
      <c r="H31" s="823" t="s">
        <v>1872</v>
      </c>
      <c r="I31" s="3038" t="s">
        <v>2829</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689</v>
      </c>
      <c r="C32" s="792">
        <f ca="1">ROUND(C33+C38+C39+C40,0)</f>
        <v>0</v>
      </c>
      <c r="D32" s="1821" t="s">
        <v>652</v>
      </c>
      <c r="E32" s="2511"/>
      <c r="F32" s="2515"/>
      <c r="G32" s="2062"/>
      <c r="H32" s="2065"/>
      <c r="I32" s="2066"/>
      <c r="J32" s="2067"/>
      <c r="K32" s="2068"/>
      <c r="L32" s="2069"/>
      <c r="M32" s="2070"/>
    </row>
    <row r="33" spans="1:18" ht="18" customHeight="1">
      <c r="A33" s="803" t="s">
        <v>1876</v>
      </c>
      <c r="B33" s="784" t="s">
        <v>656</v>
      </c>
      <c r="C33" s="53">
        <f ca="1">ROUND(IF(项目基本情况!B11="自然人",C7*F33,C34+C35+C36),1)</f>
        <v>0</v>
      </c>
      <c r="D33" s="1979" t="s">
        <v>657</v>
      </c>
      <c r="E33" s="1977" t="s">
        <v>690</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1849</v>
      </c>
      <c r="B35" s="784" t="s">
        <v>664</v>
      </c>
      <c r="C35" s="53">
        <f ca="1">IF(D35="按租金收入计税",ROUND(C7*F35,1),IF(D35="按房产原值计税",ROUND(C31*F35*0.7,1),INDIRECT("'数据-取费表'!Aj"&amp;$G$1)))</f>
        <v>0</v>
      </c>
      <c r="D35" s="811" t="s">
        <v>1680</v>
      </c>
      <c r="E35" s="784" t="s">
        <v>649</v>
      </c>
      <c r="F35" s="809">
        <f>IF(D35="按租金收入计税",'数据-取费表'!B51,'数据-取费表'!B50)</f>
        <v>1.2E-2</v>
      </c>
      <c r="G35" s="2062"/>
      <c r="H35" s="2077"/>
      <c r="I35" s="2077"/>
      <c r="J35" s="2077"/>
      <c r="K35" s="2078"/>
      <c r="L35" s="2077"/>
      <c r="M35" s="2077"/>
    </row>
    <row r="36" spans="1:18" ht="18" customHeight="1">
      <c r="A36" s="813" t="s">
        <v>1880</v>
      </c>
      <c r="B36" s="343" t="s">
        <v>668</v>
      </c>
      <c r="C36" s="54">
        <f ca="1">ROUND(F36*F37/10000,1)</f>
        <v>0</v>
      </c>
      <c r="D36" s="814" t="s">
        <v>669</v>
      </c>
      <c r="E36" s="784" t="s">
        <v>670</v>
      </c>
      <c r="F36" s="640">
        <f>'数据-取费表'!B52</f>
        <v>8</v>
      </c>
      <c r="G36" s="2062"/>
      <c r="H36" s="2065"/>
      <c r="I36" s="3427"/>
      <c r="J36" s="2079"/>
      <c r="K36" s="2080"/>
      <c r="L36" s="2079"/>
      <c r="M36" s="2079"/>
    </row>
    <row r="37" spans="1:18" ht="18" customHeight="1">
      <c r="A37" s="815"/>
      <c r="B37" s="793"/>
      <c r="C37" s="69"/>
      <c r="D37" s="816"/>
      <c r="E37" s="784" t="s">
        <v>674</v>
      </c>
      <c r="F37" s="785">
        <f ca="1">INDIRECT("'数据-取费表'!r"&amp;$G$1)</f>
        <v>0</v>
      </c>
      <c r="G37" s="2062"/>
      <c r="H37" s="2065"/>
      <c r="I37" s="3427"/>
      <c r="J37" s="2077"/>
      <c r="K37" s="2078"/>
      <c r="L37" s="2077"/>
      <c r="M37" s="2077"/>
    </row>
    <row r="38" spans="1:18" ht="18" customHeight="1">
      <c r="A38" s="803" t="s">
        <v>1877</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1878</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84" t="s">
        <v>1879</v>
      </c>
      <c r="B40" s="2570" t="s">
        <v>666</v>
      </c>
      <c r="C40" s="2568">
        <f ca="1">ROUND(C7*F40,1)</f>
        <v>0</v>
      </c>
      <c r="D40" s="2569" t="s">
        <v>683</v>
      </c>
      <c r="E40" s="2570" t="s">
        <v>649</v>
      </c>
      <c r="F40" s="2566">
        <f ca="1">INDIRECT("'数据-取费表'!Am"&amp;$G$1)</f>
        <v>0</v>
      </c>
      <c r="G40" s="2062"/>
      <c r="H40" s="2077"/>
      <c r="I40" s="2081"/>
      <c r="J40" s="1988"/>
      <c r="K40" s="2083"/>
      <c r="L40" s="2077"/>
      <c r="M40" s="2077"/>
    </row>
    <row r="41" spans="1:18" ht="18" customHeight="1" thickTop="1">
      <c r="A41" s="1829">
        <v>4</v>
      </c>
      <c r="B41" s="1827" t="s">
        <v>692</v>
      </c>
      <c r="C41" s="1352"/>
      <c r="D41" s="1353"/>
      <c r="E41" s="1353"/>
      <c r="F41" s="1354"/>
      <c r="G41" s="2062"/>
      <c r="H41" s="2062"/>
      <c r="I41" s="2062"/>
      <c r="J41" s="2062"/>
      <c r="K41" s="2083"/>
      <c r="L41" s="2062"/>
      <c r="M41" s="2062"/>
    </row>
    <row r="42" spans="1:18" ht="18" customHeight="1">
      <c r="A42" s="803" t="s">
        <v>1876</v>
      </c>
      <c r="B42" s="835" t="s">
        <v>693</v>
      </c>
      <c r="C42" s="829">
        <f ca="1">C7-C32</f>
        <v>0</v>
      </c>
      <c r="D42" s="1979" t="s">
        <v>694</v>
      </c>
      <c r="E42" s="1981"/>
      <c r="F42" s="820"/>
      <c r="G42" s="2062"/>
      <c r="H42" s="2062"/>
      <c r="I42" s="2062"/>
      <c r="J42" s="2062"/>
      <c r="K42" s="2083"/>
      <c r="L42" s="2062"/>
      <c r="M42" s="2062"/>
    </row>
    <row r="43" spans="1:18" ht="18" customHeight="1">
      <c r="A43" s="803" t="s">
        <v>1877</v>
      </c>
      <c r="B43" s="835" t="s">
        <v>711</v>
      </c>
      <c r="C43" s="836">
        <f ca="1">ROUND(C15*F43,0)</f>
        <v>0</v>
      </c>
      <c r="D43" s="1355" t="s">
        <v>712</v>
      </c>
      <c r="E43" s="3152" t="s">
        <v>2965</v>
      </c>
      <c r="F43" s="3153">
        <f ca="1">INDIRECT("'数据-取费表'!j"&amp;$G$1)</f>
        <v>0</v>
      </c>
      <c r="G43" s="2062"/>
      <c r="H43" s="2062"/>
      <c r="I43" s="2062"/>
      <c r="J43" s="2062"/>
      <c r="K43" s="2083"/>
      <c r="L43" s="2062"/>
      <c r="M43" s="2062"/>
    </row>
    <row r="44" spans="1:18" ht="18" customHeight="1">
      <c r="A44" s="803" t="s">
        <v>1878</v>
      </c>
      <c r="B44" s="835" t="s">
        <v>713</v>
      </c>
      <c r="C44" s="1356">
        <f ca="1">C42-C43</f>
        <v>0</v>
      </c>
      <c r="D44" s="465" t="s">
        <v>714</v>
      </c>
      <c r="E44" s="466"/>
      <c r="F44" s="467"/>
      <c r="G44" s="2062"/>
      <c r="H44" s="2062"/>
      <c r="I44" s="2062"/>
      <c r="J44" s="2062"/>
      <c r="K44" s="2083"/>
      <c r="L44" s="2062"/>
      <c r="M44" s="2062"/>
    </row>
    <row r="45" spans="1:18" ht="18" customHeight="1">
      <c r="A45" s="803" t="s">
        <v>1879</v>
      </c>
      <c r="B45" s="1355" t="s">
        <v>715</v>
      </c>
      <c r="C45" s="3064">
        <f ca="1">ROUND(-PV(F45,F46,C44,0),0)</f>
        <v>0</v>
      </c>
      <c r="D45" s="1357" t="s">
        <v>716</v>
      </c>
      <c r="E45" s="806" t="s">
        <v>717</v>
      </c>
      <c r="F45" s="830">
        <f ca="1">INDIRECT("'数据-取费表'!h"&amp;$G$1)</f>
        <v>0</v>
      </c>
      <c r="G45" s="2062"/>
      <c r="H45" s="2062"/>
      <c r="I45" s="2062"/>
      <c r="J45" s="2062"/>
      <c r="K45" s="2083"/>
      <c r="L45" s="2062"/>
      <c r="M45" s="2062"/>
    </row>
    <row r="46" spans="1:18" ht="18" customHeight="1" thickBot="1">
      <c r="A46" s="831"/>
      <c r="B46" s="1358"/>
      <c r="C46" s="1359"/>
      <c r="D46" s="1360"/>
      <c r="E46" s="3154" t="s">
        <v>2968</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2343</v>
      </c>
      <c r="J47" s="2379"/>
      <c r="K47" s="2380"/>
      <c r="L47" s="2381" t="str">
        <f ca="1">IF(M48="住宅",0,IF(L49&gt;J52,L61,J61))</f>
        <v>0</v>
      </c>
      <c r="O47" s="2418" t="s">
        <v>2411</v>
      </c>
      <c r="P47" s="1591"/>
      <c r="Q47" s="1603"/>
      <c r="R47" s="1591"/>
    </row>
    <row r="48" spans="1:18" s="2059" customFormat="1" ht="18" customHeight="1" thickBot="1">
      <c r="A48" s="2084"/>
      <c r="C48" s="2087"/>
      <c r="D48" s="2088"/>
      <c r="E48" s="2088"/>
      <c r="F48" s="2089"/>
      <c r="G48" s="2090"/>
      <c r="I48" s="2382" t="s">
        <v>2344</v>
      </c>
      <c r="J48" s="2387"/>
      <c r="K48" s="2388" t="s">
        <v>2350</v>
      </c>
      <c r="L48" s="2389">
        <f ca="1">INDIRECT("'数据-取费表'!d"&amp;$G$1)</f>
        <v>0</v>
      </c>
      <c r="M48" s="3149" t="str">
        <f>IF(ISNUMBER(FIND("住宅",C1)),"住宅","非住宅")</f>
        <v>非住宅</v>
      </c>
      <c r="O48" s="2419" t="s">
        <v>2376</v>
      </c>
      <c r="P48" s="2420" t="s">
        <v>2377</v>
      </c>
      <c r="Q48" s="2421" t="s">
        <v>2378</v>
      </c>
      <c r="R48" s="2420" t="s">
        <v>2379</v>
      </c>
    </row>
    <row r="49" spans="1:18" s="2059" customFormat="1" ht="18" customHeight="1" thickBot="1">
      <c r="A49" s="2084"/>
      <c r="D49" s="2091"/>
      <c r="E49" s="2092"/>
      <c r="F49" s="2089"/>
      <c r="G49" s="2090"/>
      <c r="H49" s="2093"/>
      <c r="I49" s="2383" t="s">
        <v>2345</v>
      </c>
      <c r="J49" s="2390"/>
      <c r="K49" s="2391" t="s">
        <v>2352</v>
      </c>
      <c r="L49" s="2392">
        <f ca="1">INDIRECT("'数据-取费表'!f"&amp;$G$1)</f>
        <v>0</v>
      </c>
      <c r="O49" s="2422" t="s">
        <v>2380</v>
      </c>
      <c r="P49" s="2423" t="s">
        <v>2406</v>
      </c>
      <c r="Q49" s="2424">
        <f ca="1">C41+J31</f>
        <v>0</v>
      </c>
      <c r="R49" s="2423" t="s">
        <v>2381</v>
      </c>
    </row>
    <row r="50" spans="1:18" s="2059" customFormat="1" ht="18" customHeight="1" thickBot="1">
      <c r="A50" s="2084"/>
      <c r="D50" s="2094"/>
      <c r="E50" s="2094"/>
      <c r="F50" s="2088"/>
      <c r="G50" s="2095"/>
      <c r="H50" s="2093"/>
      <c r="I50" s="2383" t="s">
        <v>2346</v>
      </c>
      <c r="J50" s="2393"/>
      <c r="K50" s="2394" t="s">
        <v>2353</v>
      </c>
      <c r="L50" s="2395"/>
      <c r="O50" s="2422" t="s">
        <v>2382</v>
      </c>
      <c r="P50" s="2423" t="s">
        <v>2407</v>
      </c>
      <c r="Q50" s="2424" t="str">
        <f ca="1">J61</f>
        <v>0</v>
      </c>
      <c r="R50" s="2423" t="s">
        <v>2383</v>
      </c>
    </row>
    <row r="51" spans="1:18" s="2059" customFormat="1" ht="18" customHeight="1" thickBot="1">
      <c r="A51" s="2096"/>
      <c r="D51" s="2094"/>
      <c r="E51" s="2094"/>
      <c r="F51" s="2085"/>
      <c r="H51" s="2093"/>
      <c r="I51" s="2383" t="s">
        <v>2347</v>
      </c>
      <c r="J51" s="2396">
        <f>SUMPRODUCT((I64:I66=J48)*(J63:L63=J49)*(J64:L66))</f>
        <v>0</v>
      </c>
      <c r="K51" s="2394" t="s">
        <v>2354</v>
      </c>
      <c r="L51" s="2395"/>
      <c r="O51" s="2425" t="s">
        <v>2384</v>
      </c>
      <c r="P51" s="2423" t="s">
        <v>2408</v>
      </c>
      <c r="Q51" s="2424">
        <f ca="1">C31</f>
        <v>0</v>
      </c>
      <c r="R51" s="2423" t="s">
        <v>2381</v>
      </c>
    </row>
    <row r="52" spans="1:18" s="2059" customFormat="1" ht="18" customHeight="1" thickBot="1">
      <c r="A52" s="2096"/>
      <c r="F52" s="2085"/>
      <c r="I52" s="2384" t="s">
        <v>2348</v>
      </c>
      <c r="J52" s="2397">
        <f>IF(J50="",J51,J50+J51-YEAR('数据-取费表'!B3))</f>
        <v>0</v>
      </c>
      <c r="K52" s="2383" t="s">
        <v>2355</v>
      </c>
      <c r="L52" s="2398">
        <f ca="1">ROUND(-PV(INDIRECT("'数据-取费表'!h"&amp;$G$1),L49,(C40-C14*J36),0),0)</f>
        <v>0</v>
      </c>
      <c r="O52" s="2425" t="s">
        <v>2385</v>
      </c>
      <c r="P52" s="2423" t="s">
        <v>2386</v>
      </c>
      <c r="Q52" s="2426" t="e">
        <f ca="1">J59</f>
        <v>#VALUE!</v>
      </c>
      <c r="R52" s="2427"/>
    </row>
    <row r="53" spans="1:18" s="2059" customFormat="1" ht="18" customHeight="1" thickBot="1">
      <c r="A53" s="2096"/>
      <c r="F53" s="2085"/>
      <c r="I53" s="2385" t="s">
        <v>2422</v>
      </c>
      <c r="J53" s="2399"/>
      <c r="K53" s="2385" t="s">
        <v>2421</v>
      </c>
      <c r="L53" s="2399"/>
      <c r="O53" s="2425" t="s">
        <v>2387</v>
      </c>
      <c r="P53" s="2423" t="s">
        <v>2388</v>
      </c>
      <c r="Q53" s="2426">
        <f>J53</f>
        <v>0</v>
      </c>
      <c r="R53" s="2427"/>
    </row>
    <row r="54" spans="1:18" s="2059" customFormat="1" ht="43.5" thickBot="1">
      <c r="A54" s="2096"/>
      <c r="I54" s="2386" t="s">
        <v>2349</v>
      </c>
      <c r="J54" s="2400">
        <f ca="1">IF(M48="住宅",J52,IF(J52&gt;L49,L49-'数据-取费表'!B25,J52))</f>
        <v>0</v>
      </c>
      <c r="K54" s="3432"/>
      <c r="L54" s="3433"/>
      <c r="O54" s="2425" t="s">
        <v>2389</v>
      </c>
      <c r="P54" s="2423" t="s">
        <v>2390</v>
      </c>
      <c r="Q54" s="2424">
        <f ca="1">J54</f>
        <v>0</v>
      </c>
      <c r="R54" s="2423" t="s">
        <v>2391</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2392</v>
      </c>
      <c r="P55" s="2423" t="s">
        <v>2409</v>
      </c>
      <c r="Q55" s="2424">
        <f ca="1">Q49+Q50</f>
        <v>0</v>
      </c>
      <c r="R55" s="2427" t="s">
        <v>2393</v>
      </c>
    </row>
    <row r="56" spans="1:18" s="2059" customFormat="1" ht="16.5" thickBot="1">
      <c r="A56" s="2096"/>
      <c r="B56" s="2097"/>
      <c r="C56" s="2097"/>
      <c r="I56" s="3126" t="s">
        <v>2356</v>
      </c>
      <c r="J56" s="3150" t="e">
        <f ca="1">ROUND(IF(J48="钢混",J58/J51,1-(1-2%)*(J51-J58)/J51),3)</f>
        <v>#VALUE!</v>
      </c>
      <c r="K56" s="2401" t="s">
        <v>2357</v>
      </c>
      <c r="L56" s="2402"/>
      <c r="O56" s="2428" t="s">
        <v>2412</v>
      </c>
      <c r="P56" s="1591"/>
      <c r="Q56" s="1603"/>
      <c r="R56" s="1591"/>
    </row>
    <row r="57" spans="1:18" s="2059" customFormat="1" ht="43.5" thickBot="1">
      <c r="A57" s="2096"/>
      <c r="B57" s="2097"/>
      <c r="C57" s="2097"/>
      <c r="I57" s="2403" t="s">
        <v>2358</v>
      </c>
      <c r="J57" s="3149" t="s">
        <v>1678</v>
      </c>
      <c r="K57" s="2383" t="s">
        <v>2363</v>
      </c>
      <c r="L57" s="2392">
        <f ca="1">IF(L49&lt;J52,"——",L49-J52)</f>
        <v>0</v>
      </c>
      <c r="O57" s="2419" t="s">
        <v>2376</v>
      </c>
      <c r="P57" s="2420" t="s">
        <v>2377</v>
      </c>
      <c r="Q57" s="2421" t="s">
        <v>2378</v>
      </c>
      <c r="R57" s="2420" t="s">
        <v>2379</v>
      </c>
    </row>
    <row r="58" spans="1:18" s="2059" customFormat="1" ht="29.25" thickBot="1">
      <c r="A58" s="2096"/>
      <c r="B58" s="2097"/>
      <c r="C58" s="2097"/>
      <c r="I58" s="2404" t="s">
        <v>2359</v>
      </c>
      <c r="J58" s="2406" t="str">
        <f ca="1">IF(OR(M48="住宅",J52&lt;L49,J57="是"),"——",J52-L49)</f>
        <v>——</v>
      </c>
      <c r="K58" s="2383" t="s">
        <v>2364</v>
      </c>
      <c r="L58" s="2392">
        <f ca="1">IF(L49&lt;J52,"——",IF(L56="比较法",L50,IF(L56="基准地价",L51,L52)))</f>
        <v>0</v>
      </c>
      <c r="O58" s="2422" t="s">
        <v>2380</v>
      </c>
      <c r="P58" s="2423" t="s">
        <v>2406</v>
      </c>
      <c r="Q58" s="2424">
        <f ca="1">C41+J31</f>
        <v>0</v>
      </c>
      <c r="R58" s="2423" t="s">
        <v>2381</v>
      </c>
    </row>
    <row r="59" spans="1:18" s="2059" customFormat="1" ht="29.25" thickBot="1">
      <c r="A59" s="2096"/>
      <c r="B59" s="2097"/>
      <c r="C59" s="2097"/>
      <c r="I59" s="2404" t="s">
        <v>2360</v>
      </c>
      <c r="J59" s="3151" t="e">
        <f ca="1">IF(J56&lt;0.4,0.4,J56)</f>
        <v>#VALUE!</v>
      </c>
      <c r="K59" s="2383" t="s">
        <v>2365</v>
      </c>
      <c r="L59" s="2392">
        <f ca="1">IF(ISERROR(POWER(1+L53,L48-L49)*(POWER(1+L53,L49)-1)/(POWER(1+L53,L48)-1)),0,POWER(1+L53,L48-L49)*(POWER(1+L53,L49)-1)/(POWER(1+L53,L48)-1))</f>
        <v>0</v>
      </c>
      <c r="O59" s="2422" t="s">
        <v>2382</v>
      </c>
      <c r="P59" s="2423" t="s">
        <v>2413</v>
      </c>
      <c r="Q59" s="2424" t="e">
        <f ca="1">L61</f>
        <v>#DIV/0!</v>
      </c>
      <c r="R59" s="2427" t="s">
        <v>2415</v>
      </c>
    </row>
    <row r="60" spans="1:18" s="2059" customFormat="1" ht="29.25" thickBot="1">
      <c r="A60" s="2096"/>
      <c r="B60" s="2097"/>
      <c r="C60" s="2097"/>
      <c r="I60" s="2404" t="s">
        <v>2361</v>
      </c>
      <c r="J60" s="2406" t="str">
        <f ca="1">IF(OR(M48="住宅",J52&lt;L49,J57="是"),"——",ROUND(C30*J59,0))</f>
        <v>——</v>
      </c>
      <c r="K60" s="2383" t="s">
        <v>2366</v>
      </c>
      <c r="L60" s="2392">
        <f ca="1">IF(ISERROR(POWER(1+L53,L48-J52)*(POWER(1+L53,J52)-1)/(POWER(1+L53,L48)-1)),0,POWER(1+L53,L48-J52)*(POWER(1+L53,J52)-1)/(POWER(1+L53,L48)-1))</f>
        <v>0</v>
      </c>
      <c r="O60" s="2425" t="s">
        <v>2384</v>
      </c>
      <c r="P60" s="2423" t="s">
        <v>2414</v>
      </c>
      <c r="Q60" s="2424">
        <f>IF(L56="比较法",L50,IF(L56="基准地价",L51,0))</f>
        <v>0</v>
      </c>
      <c r="R60" s="2423" t="s">
        <v>2381</v>
      </c>
    </row>
    <row r="61" spans="1:18" s="2059" customFormat="1" ht="15.75" thickBot="1">
      <c r="A61" s="2096"/>
      <c r="B61" s="2097"/>
      <c r="C61" s="2097"/>
      <c r="I61" s="2405" t="s">
        <v>2362</v>
      </c>
      <c r="J61" s="2407" t="str">
        <f ca="1">IF(OR(M48="住宅",J52&lt;L49,J57="是"),"0",ROUND(J60/(1+J53)^J54,0))</f>
        <v>0</v>
      </c>
      <c r="K61" s="2408" t="s">
        <v>2367</v>
      </c>
      <c r="L61" s="2407" t="e">
        <f ca="1">IF(OR(M48="住宅",L49&lt;J52),0,ROUND(L58*(L59/L60-1),0))</f>
        <v>#DIV/0!</v>
      </c>
      <c r="O61" s="2425" t="s">
        <v>2385</v>
      </c>
      <c r="P61" s="2423" t="s">
        <v>2394</v>
      </c>
      <c r="Q61" s="2426">
        <f>L53</f>
        <v>0</v>
      </c>
      <c r="R61" s="2427"/>
    </row>
    <row r="62" spans="1:18" s="2059" customFormat="1" ht="20.25" thickBot="1">
      <c r="A62" s="2096"/>
      <c r="B62" s="2097"/>
      <c r="C62" s="2097"/>
      <c r="K62" s="2086"/>
      <c r="O62" s="2425" t="s">
        <v>2387</v>
      </c>
      <c r="P62" s="2423" t="s">
        <v>2395</v>
      </c>
      <c r="Q62" s="2424">
        <f ca="1">L59</f>
        <v>0</v>
      </c>
      <c r="R62" s="2427" t="s">
        <v>2396</v>
      </c>
    </row>
    <row r="63" spans="1:18" s="2059" customFormat="1" ht="20.25" thickBot="1">
      <c r="A63" s="2096"/>
      <c r="B63" s="2097"/>
      <c r="C63" s="2097"/>
      <c r="I63" s="2409" t="s">
        <v>2368</v>
      </c>
      <c r="J63" s="2410" t="s">
        <v>2369</v>
      </c>
      <c r="K63" s="2410" t="s">
        <v>2370</v>
      </c>
      <c r="L63" s="2410" t="s">
        <v>2351</v>
      </c>
      <c r="M63" s="3128" t="s">
        <v>2944</v>
      </c>
      <c r="O63" s="2425" t="s">
        <v>2389</v>
      </c>
      <c r="P63" s="2423" t="s">
        <v>2397</v>
      </c>
      <c r="Q63" s="2424">
        <f ca="1">L60</f>
        <v>0</v>
      </c>
      <c r="R63" s="2427" t="s">
        <v>2398</v>
      </c>
    </row>
    <row r="64" spans="1:18" s="2059" customFormat="1" ht="15.75" thickBot="1">
      <c r="A64" s="2096"/>
      <c r="B64" s="2097"/>
      <c r="C64" s="2097"/>
      <c r="I64" s="2409" t="s">
        <v>2371</v>
      </c>
      <c r="J64" s="2410">
        <v>70</v>
      </c>
      <c r="K64" s="2410">
        <v>50</v>
      </c>
      <c r="L64" s="2410">
        <v>80</v>
      </c>
      <c r="M64" s="3129">
        <v>0.02</v>
      </c>
      <c r="O64" s="2422" t="s">
        <v>2392</v>
      </c>
      <c r="P64" s="2423" t="s">
        <v>2409</v>
      </c>
      <c r="Q64" s="2424" t="e">
        <f ca="1">Q58+Q59</f>
        <v>#DIV/0!</v>
      </c>
      <c r="R64" s="2427" t="s">
        <v>2393</v>
      </c>
    </row>
    <row r="65" spans="1:18" s="2059" customFormat="1" ht="16.5" thickBot="1">
      <c r="A65" s="2096"/>
      <c r="B65" s="2097"/>
      <c r="C65" s="2097"/>
      <c r="I65" s="2409" t="s">
        <v>2372</v>
      </c>
      <c r="J65" s="2410">
        <v>50</v>
      </c>
      <c r="K65" s="2410">
        <v>35</v>
      </c>
      <c r="L65" s="2410">
        <v>60</v>
      </c>
      <c r="M65" s="3130">
        <v>0</v>
      </c>
      <c r="O65" s="2428" t="s">
        <v>2416</v>
      </c>
      <c r="P65" s="1591"/>
      <c r="Q65" s="1603"/>
      <c r="R65" s="1591"/>
    </row>
    <row r="66" spans="1:18" s="2059" customFormat="1" ht="15.75" thickBot="1">
      <c r="A66" s="2096"/>
      <c r="B66" s="2097"/>
      <c r="C66" s="2097"/>
      <c r="I66" s="2409" t="s">
        <v>2373</v>
      </c>
      <c r="J66" s="2410">
        <v>40</v>
      </c>
      <c r="K66" s="2410">
        <v>30</v>
      </c>
      <c r="L66" s="2410">
        <v>50</v>
      </c>
      <c r="M66" s="3129">
        <v>0.02</v>
      </c>
      <c r="O66" s="2419" t="s">
        <v>2376</v>
      </c>
      <c r="P66" s="2420" t="s">
        <v>2377</v>
      </c>
      <c r="Q66" s="2421" t="s">
        <v>2378</v>
      </c>
      <c r="R66" s="2420" t="s">
        <v>2379</v>
      </c>
    </row>
    <row r="67" spans="1:18" s="2059" customFormat="1" ht="15.75" thickBot="1">
      <c r="A67" s="2096"/>
      <c r="B67" s="2097"/>
      <c r="C67" s="2097"/>
      <c r="K67" s="2086"/>
      <c r="O67" s="2422" t="s">
        <v>2380</v>
      </c>
      <c r="P67" s="2423" t="s">
        <v>2406</v>
      </c>
      <c r="Q67" s="2424">
        <f ca="1">C41+J31</f>
        <v>0</v>
      </c>
      <c r="R67" s="2423" t="s">
        <v>2381</v>
      </c>
    </row>
    <row r="68" spans="1:18" s="2059" customFormat="1" ht="20.25" thickBot="1">
      <c r="A68" s="2096"/>
      <c r="B68" s="2097"/>
      <c r="C68" s="2097"/>
      <c r="K68" s="2086"/>
      <c r="O68" s="2422" t="s">
        <v>2382</v>
      </c>
      <c r="P68" s="2423" t="s">
        <v>2413</v>
      </c>
      <c r="Q68" s="2424" t="e">
        <f ca="1">L61</f>
        <v>#DIV/0!</v>
      </c>
      <c r="R68" s="2427" t="s">
        <v>2415</v>
      </c>
    </row>
    <row r="69" spans="1:18" s="2059" customFormat="1" ht="21.75" thickBot="1">
      <c r="A69" s="2096"/>
      <c r="B69" s="2097"/>
      <c r="C69" s="2097"/>
      <c r="K69" s="2086"/>
      <c r="O69" s="2425" t="s">
        <v>2384</v>
      </c>
      <c r="P69" s="2423" t="s">
        <v>2414</v>
      </c>
      <c r="Q69" s="2429">
        <f ca="1">L52</f>
        <v>0</v>
      </c>
      <c r="R69" s="2430" t="s">
        <v>2417</v>
      </c>
    </row>
    <row r="70" spans="1:18" s="2059" customFormat="1" ht="20.25" thickBot="1">
      <c r="A70" s="2096"/>
      <c r="B70" s="2097"/>
      <c r="C70" s="2097"/>
      <c r="K70" s="2086"/>
      <c r="O70" s="2425" t="s">
        <v>2385</v>
      </c>
      <c r="P70" s="2431" t="s">
        <v>2399</v>
      </c>
      <c r="Q70" s="2424">
        <f ca="1">ROUND(Q71-Q72*Q73,0)</f>
        <v>0</v>
      </c>
      <c r="R70" s="2427"/>
    </row>
    <row r="71" spans="1:18" s="2059" customFormat="1" ht="15.75" thickBot="1">
      <c r="A71" s="2096"/>
      <c r="B71" s="2097"/>
      <c r="C71" s="2097"/>
      <c r="K71" s="2086"/>
      <c r="O71" s="2425" t="s">
        <v>2400</v>
      </c>
      <c r="P71" s="2431" t="s">
        <v>2401</v>
      </c>
      <c r="Q71" s="2424">
        <f ca="1">C42</f>
        <v>0</v>
      </c>
      <c r="R71" s="2423" t="s">
        <v>2381</v>
      </c>
    </row>
    <row r="72" spans="1:18" s="2059" customFormat="1" ht="15.75" thickBot="1">
      <c r="A72" s="2096"/>
      <c r="B72" s="2097"/>
      <c r="C72" s="2097"/>
      <c r="K72" s="2086"/>
      <c r="O72" s="2425" t="s">
        <v>2402</v>
      </c>
      <c r="P72" s="2431" t="s">
        <v>2403</v>
      </c>
      <c r="Q72" s="2424">
        <f ca="1">C15</f>
        <v>0</v>
      </c>
      <c r="R72" s="2423" t="s">
        <v>2381</v>
      </c>
    </row>
    <row r="73" spans="1:18" s="2059" customFormat="1" ht="15.75" thickBot="1">
      <c r="A73" s="2096"/>
      <c r="B73" s="2097"/>
      <c r="C73" s="2097"/>
      <c r="K73" s="2086"/>
      <c r="O73" s="2425" t="s">
        <v>2404</v>
      </c>
      <c r="P73" s="2431" t="s">
        <v>2405</v>
      </c>
      <c r="Q73" s="2426">
        <f ca="1">F43</f>
        <v>0</v>
      </c>
      <c r="R73" s="2427"/>
    </row>
    <row r="74" spans="1:18" s="2059" customFormat="1" ht="15.75" thickBot="1">
      <c r="A74" s="2096"/>
      <c r="B74" s="2097"/>
      <c r="C74" s="2097"/>
      <c r="K74" s="2086"/>
      <c r="O74" s="2425" t="s">
        <v>2387</v>
      </c>
      <c r="P74" s="2423" t="s">
        <v>2394</v>
      </c>
      <c r="Q74" s="2426">
        <f>L53</f>
        <v>0</v>
      </c>
      <c r="R74" s="2427"/>
    </row>
    <row r="75" spans="1:18" s="2059" customFormat="1" ht="20.25" thickBot="1">
      <c r="A75" s="2096"/>
      <c r="B75" s="2097"/>
      <c r="C75" s="2097"/>
      <c r="K75" s="2086"/>
      <c r="O75" s="2425" t="s">
        <v>2389</v>
      </c>
      <c r="P75" s="2423" t="s">
        <v>2395</v>
      </c>
      <c r="Q75" s="2424">
        <f ca="1">L59</f>
        <v>0</v>
      </c>
      <c r="R75" s="2427" t="s">
        <v>2396</v>
      </c>
    </row>
    <row r="76" spans="1:18" s="2059" customFormat="1" ht="20.25" thickBot="1">
      <c r="A76" s="2096"/>
      <c r="B76" s="2097"/>
      <c r="C76" s="2097"/>
      <c r="K76" s="2086"/>
      <c r="O76" s="2425" t="s">
        <v>2418</v>
      </c>
      <c r="P76" s="2423" t="s">
        <v>2397</v>
      </c>
      <c r="Q76" s="2424">
        <f ca="1">L60</f>
        <v>0</v>
      </c>
      <c r="R76" s="2427" t="s">
        <v>2398</v>
      </c>
    </row>
    <row r="77" spans="1:18" s="2059" customFormat="1" ht="15.75" thickBot="1">
      <c r="A77" s="2096"/>
      <c r="B77" s="2097"/>
      <c r="C77" s="2097"/>
      <c r="K77" s="2086"/>
      <c r="O77" s="2422" t="s">
        <v>2392</v>
      </c>
      <c r="P77" s="2423" t="s">
        <v>2409</v>
      </c>
      <c r="Q77" s="2424" t="e">
        <f ca="1">Q67+Q68</f>
        <v>#DIV/0!</v>
      </c>
      <c r="R77" s="2427" t="s">
        <v>2393</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36" t="s">
        <v>2579</v>
      </c>
      <c r="C1" s="3436"/>
      <c r="D1" s="3436"/>
      <c r="E1" s="3436"/>
      <c r="F1" s="3436"/>
      <c r="G1" s="3435" t="s">
        <v>2580</v>
      </c>
      <c r="H1" s="3435"/>
      <c r="I1" s="3435"/>
      <c r="J1" s="3435"/>
      <c r="K1" s="3435"/>
      <c r="L1" s="3435"/>
      <c r="N1" s="3435" t="s">
        <v>2581</v>
      </c>
      <c r="O1" s="3435"/>
      <c r="P1" s="3435"/>
      <c r="Q1" s="3435"/>
      <c r="R1" s="2679"/>
      <c r="S1" s="3435" t="s">
        <v>2582</v>
      </c>
      <c r="T1" s="3435"/>
      <c r="U1" s="3435"/>
      <c r="V1" s="3435"/>
      <c r="X1" s="3434" t="s">
        <v>2643</v>
      </c>
      <c r="Y1" s="3435"/>
      <c r="Z1" s="3435"/>
      <c r="AA1" s="3435"/>
      <c r="AB1" s="3435"/>
      <c r="AD1" s="3434" t="s">
        <v>2648</v>
      </c>
      <c r="AE1" s="3435"/>
      <c r="AF1" s="3435"/>
      <c r="AG1" s="3435"/>
      <c r="AH1" s="3435"/>
    </row>
    <row r="2" spans="1:34" s="2781" customFormat="1" ht="14.25" thickBot="1">
      <c r="B2" s="2790" t="s">
        <v>2583</v>
      </c>
      <c r="C2" s="2790" t="s">
        <v>2646</v>
      </c>
      <c r="D2" s="2782" t="s">
        <v>1644</v>
      </c>
      <c r="E2" s="2782" t="s">
        <v>1951</v>
      </c>
      <c r="F2" s="2790" t="s">
        <v>2647</v>
      </c>
      <c r="G2" s="2785"/>
      <c r="H2" s="2784"/>
      <c r="I2" s="2790" t="s">
        <v>2959</v>
      </c>
      <c r="J2" s="2782" t="s">
        <v>2961</v>
      </c>
      <c r="K2" s="2782" t="s">
        <v>2962</v>
      </c>
      <c r="L2" s="2790" t="s">
        <v>2963</v>
      </c>
      <c r="N2" s="2790" t="s">
        <v>2583</v>
      </c>
      <c r="O2" s="2782" t="s">
        <v>2960</v>
      </c>
      <c r="P2" s="2782" t="s">
        <v>1951</v>
      </c>
      <c r="Q2" s="2790" t="s">
        <v>2647</v>
      </c>
      <c r="R2" s="2783"/>
      <c r="S2" s="2790" t="s">
        <v>2583</v>
      </c>
      <c r="T2" s="2782" t="s">
        <v>2960</v>
      </c>
      <c r="U2" s="2782" t="s">
        <v>1951</v>
      </c>
      <c r="V2" s="2790" t="s">
        <v>2647</v>
      </c>
      <c r="X2" s="2790" t="s">
        <v>2583</v>
      </c>
      <c r="Y2" s="2790" t="s">
        <v>2646</v>
      </c>
      <c r="Z2" s="2782" t="s">
        <v>1644</v>
      </c>
      <c r="AA2" s="2782" t="s">
        <v>1951</v>
      </c>
      <c r="AB2" s="2790" t="s">
        <v>2647</v>
      </c>
      <c r="AD2" s="2790" t="s">
        <v>2583</v>
      </c>
      <c r="AE2" s="2790" t="s">
        <v>2646</v>
      </c>
      <c r="AF2" s="2782" t="s">
        <v>1644</v>
      </c>
      <c r="AG2" s="2782" t="s">
        <v>1951</v>
      </c>
      <c r="AH2" s="2790" t="s">
        <v>2647</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2971</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2970</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43">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2644</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2584</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38"/>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2585</v>
      </c>
      <c r="B7" s="2694">
        <f t="shared" si="18"/>
        <v>419.31181600000002</v>
      </c>
      <c r="C7" s="2694">
        <f t="shared" si="18"/>
        <v>313.95436800000004</v>
      </c>
      <c r="D7" s="2694">
        <f t="shared" si="3"/>
        <v>313.95436800000004</v>
      </c>
      <c r="E7" s="2694">
        <f t="shared" si="19"/>
        <v>596.63028431999999</v>
      </c>
      <c r="F7" s="2694">
        <f t="shared" si="19"/>
        <v>274.74220703999998</v>
      </c>
      <c r="G7" s="3438"/>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2586</v>
      </c>
      <c r="B8" s="2694">
        <f t="shared" si="18"/>
        <v>405.524</v>
      </c>
      <c r="C8" s="2694">
        <f t="shared" si="18"/>
        <v>307.79840000000002</v>
      </c>
      <c r="D8" s="2694">
        <f t="shared" si="3"/>
        <v>307.79840000000002</v>
      </c>
      <c r="E8" s="2694">
        <f t="shared" si="19"/>
        <v>574.67759999999998</v>
      </c>
      <c r="F8" s="2694">
        <f t="shared" si="19"/>
        <v>270.20280000000002</v>
      </c>
      <c r="G8" s="3439"/>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970</v>
      </c>
      <c r="B9" s="2686">
        <v>392</v>
      </c>
      <c r="C9" s="2686">
        <v>302</v>
      </c>
      <c r="D9" s="2686">
        <f t="shared" si="3"/>
        <v>302</v>
      </c>
      <c r="E9" s="2686">
        <v>553</v>
      </c>
      <c r="F9" s="2687">
        <v>266</v>
      </c>
      <c r="G9" s="3443">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969</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38"/>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959</v>
      </c>
      <c r="B11" s="2694">
        <f t="shared" si="27"/>
        <v>360.06949782209392</v>
      </c>
      <c r="C11" s="2694">
        <f t="shared" si="27"/>
        <v>289.84672674747821</v>
      </c>
      <c r="D11" s="2694">
        <f t="shared" si="28"/>
        <v>289.84672674747821</v>
      </c>
      <c r="E11" s="2694">
        <f t="shared" si="29"/>
        <v>501.06543001181495</v>
      </c>
      <c r="F11" s="2694">
        <f t="shared" si="29"/>
        <v>256.82882500744967</v>
      </c>
      <c r="G11" s="3438"/>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968</v>
      </c>
      <c r="B12" s="2694">
        <f t="shared" si="27"/>
        <v>346.720748986128</v>
      </c>
      <c r="C12" s="2694">
        <f t="shared" si="27"/>
        <v>284.30282172386285</v>
      </c>
      <c r="D12" s="2694">
        <f t="shared" si="28"/>
        <v>284.30282172386285</v>
      </c>
      <c r="E12" s="2694">
        <f t="shared" si="29"/>
        <v>479.58023546306947</v>
      </c>
      <c r="F12" s="2694">
        <f t="shared" si="29"/>
        <v>253.25788877571213</v>
      </c>
      <c r="G12" s="3439"/>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967</v>
      </c>
      <c r="B13" s="2686">
        <v>333</v>
      </c>
      <c r="C13" s="2686">
        <v>277</v>
      </c>
      <c r="D13" s="2686">
        <f t="shared" si="28"/>
        <v>277</v>
      </c>
      <c r="E13" s="2686">
        <v>459</v>
      </c>
      <c r="F13" s="2687">
        <v>249</v>
      </c>
      <c r="G13" s="3437">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966</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38"/>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965</v>
      </c>
      <c r="B15" s="2694">
        <f t="shared" si="31"/>
        <v>322.34053690220776</v>
      </c>
      <c r="C15" s="2694">
        <f t="shared" si="31"/>
        <v>271.46160770422546</v>
      </c>
      <c r="D15" s="2694">
        <f t="shared" si="28"/>
        <v>271.46160770422546</v>
      </c>
      <c r="E15" s="2694">
        <f t="shared" si="32"/>
        <v>442.69434542172456</v>
      </c>
      <c r="F15" s="2694">
        <f t="shared" si="32"/>
        <v>241.34030753190925</v>
      </c>
      <c r="G15" s="3438"/>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964</v>
      </c>
      <c r="B16" s="2694">
        <f t="shared" si="31"/>
        <v>319.87748030386797</v>
      </c>
      <c r="C16" s="2694">
        <f t="shared" si="31"/>
        <v>269.60135833173649</v>
      </c>
      <c r="D16" s="2694">
        <f t="shared" si="28"/>
        <v>269.60135833173649</v>
      </c>
      <c r="E16" s="2694">
        <f t="shared" si="32"/>
        <v>439.18089823583784</v>
      </c>
      <c r="F16" s="2694">
        <f t="shared" si="32"/>
        <v>239.23503918706311</v>
      </c>
      <c r="G16" s="3439"/>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963</v>
      </c>
      <c r="B17" s="2708">
        <v>318</v>
      </c>
      <c r="C17" s="2708">
        <v>268</v>
      </c>
      <c r="D17" s="2708">
        <f t="shared" si="28"/>
        <v>268</v>
      </c>
      <c r="E17" s="2708">
        <v>437</v>
      </c>
      <c r="F17" s="2709">
        <v>237</v>
      </c>
      <c r="G17" s="3437">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962</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38"/>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961</v>
      </c>
      <c r="B19" s="2694">
        <f t="shared" si="33"/>
        <v>314.72141172386546</v>
      </c>
      <c r="C19" s="2694">
        <f t="shared" si="33"/>
        <v>263.03901319069001</v>
      </c>
      <c r="D19" s="2694">
        <f t="shared" si="28"/>
        <v>263.03901319069001</v>
      </c>
      <c r="E19" s="2694">
        <f t="shared" si="34"/>
        <v>433.65745506782821</v>
      </c>
      <c r="F19" s="2694">
        <f t="shared" si="34"/>
        <v>233.23005080045735</v>
      </c>
      <c r="G19" s="3438"/>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960</v>
      </c>
      <c r="B20" s="2713">
        <f t="shared" si="33"/>
        <v>307.34512863658733</v>
      </c>
      <c r="C20" s="2713">
        <f t="shared" si="33"/>
        <v>257.80556031626975</v>
      </c>
      <c r="D20" s="2713">
        <f t="shared" si="28"/>
        <v>257.80556031626975</v>
      </c>
      <c r="E20" s="2713">
        <f t="shared" si="34"/>
        <v>422.70928459677179</v>
      </c>
      <c r="F20" s="2713">
        <f t="shared" si="34"/>
        <v>229.73803270336617</v>
      </c>
      <c r="G20" s="3439"/>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2645</v>
      </c>
      <c r="X20" s="2791">
        <v>1</v>
      </c>
      <c r="Y20" s="2791">
        <v>1</v>
      </c>
      <c r="Z20" s="2791">
        <v>1</v>
      </c>
      <c r="AA20" s="2791">
        <v>1</v>
      </c>
      <c r="AB20" s="2791">
        <v>1</v>
      </c>
      <c r="AD20" s="3035">
        <f>I20/100</f>
        <v>2.9700000000000001E-2</v>
      </c>
      <c r="AE20" s="3035">
        <f>J20/100</f>
        <v>2.3399999999999997E-2</v>
      </c>
      <c r="AF20" s="3035">
        <f>AE20</f>
        <v>2.3399999999999997E-2</v>
      </c>
      <c r="AG20" s="3035">
        <f>K20/100</f>
        <v>3.2799999999999996E-2</v>
      </c>
      <c r="AH20" s="3035">
        <f>L20/100</f>
        <v>1.3600000000000001E-2</v>
      </c>
    </row>
    <row r="21" spans="1:34" ht="13.5" thickBot="1">
      <c r="A21" s="2680" t="s">
        <v>2587</v>
      </c>
      <c r="B21" s="2686">
        <v>299</v>
      </c>
      <c r="C21" s="2686">
        <v>252</v>
      </c>
      <c r="D21" s="2686">
        <f t="shared" si="28"/>
        <v>252</v>
      </c>
      <c r="E21" s="2686">
        <v>409</v>
      </c>
      <c r="F21" s="2687">
        <v>227</v>
      </c>
      <c r="G21" s="3440">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2588</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41"/>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2589</v>
      </c>
      <c r="B23" s="2694">
        <f t="shared" si="37"/>
        <v>288.2649053828776</v>
      </c>
      <c r="C23" s="2694">
        <f t="shared" si="37"/>
        <v>243.64564425013293</v>
      </c>
      <c r="D23" s="2694">
        <f t="shared" si="28"/>
        <v>243.64564425013293</v>
      </c>
      <c r="E23" s="2694">
        <f t="shared" si="38"/>
        <v>393.31080825986544</v>
      </c>
      <c r="F23" s="2694">
        <f t="shared" si="38"/>
        <v>223.07903790551154</v>
      </c>
      <c r="G23" s="3441"/>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2590</v>
      </c>
      <c r="B24" s="2694">
        <f t="shared" si="37"/>
        <v>282.50186729015837</v>
      </c>
      <c r="C24" s="2694">
        <f t="shared" si="37"/>
        <v>238.09796174155468</v>
      </c>
      <c r="D24" s="2694">
        <f t="shared" si="28"/>
        <v>238.09796174155468</v>
      </c>
      <c r="E24" s="2694">
        <f t="shared" si="38"/>
        <v>385.33438646014054</v>
      </c>
      <c r="F24" s="2694">
        <f t="shared" si="38"/>
        <v>221.55034055567739</v>
      </c>
      <c r="G24" s="3442"/>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2591</v>
      </c>
      <c r="B25" s="2724">
        <v>278</v>
      </c>
      <c r="C25" s="2724">
        <v>234</v>
      </c>
      <c r="D25" s="2724">
        <f t="shared" si="28"/>
        <v>234</v>
      </c>
      <c r="E25" s="2724">
        <v>379</v>
      </c>
      <c r="F25" s="2725">
        <v>220</v>
      </c>
      <c r="G25" s="3437">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2592</v>
      </c>
      <c r="B26" s="2694">
        <f>B25/(1+N25)</f>
        <v>275.49301357645425</v>
      </c>
      <c r="C26" s="2694">
        <f>C25/(1+O25)</f>
        <v>232.41954707985698</v>
      </c>
      <c r="D26" s="2694">
        <f t="shared" si="28"/>
        <v>232.41954707985698</v>
      </c>
      <c r="E26" s="2694">
        <f t="shared" ref="E26:F28" si="39">E25/(1+P25)</f>
        <v>375.32184591008121</v>
      </c>
      <c r="F26" s="2694">
        <f t="shared" si="39"/>
        <v>218.03766105054513</v>
      </c>
      <c r="G26" s="3438"/>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2593</v>
      </c>
      <c r="B27" s="2694">
        <f>B26/(1+N26)</f>
        <v>275.24529281292263</v>
      </c>
      <c r="C27" s="2694">
        <f>C26/(1+O26)</f>
        <v>231.74747938962707</v>
      </c>
      <c r="D27" s="2694">
        <f t="shared" si="28"/>
        <v>231.74747938962707</v>
      </c>
      <c r="E27" s="2694">
        <f t="shared" si="39"/>
        <v>375.35938184826603</v>
      </c>
      <c r="F27" s="2694">
        <f t="shared" si="39"/>
        <v>216.78033510692495</v>
      </c>
      <c r="G27" s="3438"/>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2594</v>
      </c>
      <c r="B28" s="2694">
        <f>B27/(1+N27)</f>
        <v>275.19025476197027</v>
      </c>
      <c r="C28" s="2726">
        <v>232</v>
      </c>
      <c r="D28" s="2726">
        <f t="shared" si="28"/>
        <v>232</v>
      </c>
      <c r="E28" s="2694">
        <f t="shared" si="39"/>
        <v>375.65990977608692</v>
      </c>
      <c r="F28" s="2694">
        <f t="shared" si="39"/>
        <v>214.12518283971252</v>
      </c>
      <c r="G28" s="3439"/>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2595</v>
      </c>
      <c r="B29" s="2686">
        <v>275</v>
      </c>
      <c r="C29" s="2686">
        <v>232</v>
      </c>
      <c r="D29" s="2686">
        <f t="shared" si="28"/>
        <v>232</v>
      </c>
      <c r="E29" s="2686">
        <v>376</v>
      </c>
      <c r="F29" s="2687">
        <v>213</v>
      </c>
      <c r="G29" s="3437">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2596</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38">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2597</v>
      </c>
      <c r="B31" s="2694">
        <f t="shared" si="40"/>
        <v>275.19335084830601</v>
      </c>
      <c r="C31" s="2694">
        <f t="shared" si="40"/>
        <v>230.18088050139744</v>
      </c>
      <c r="D31" s="2694">
        <f t="shared" si="28"/>
        <v>230.18088050139744</v>
      </c>
      <c r="E31" s="2694">
        <f t="shared" si="41"/>
        <v>377.58482925212331</v>
      </c>
      <c r="F31" s="2694">
        <f t="shared" si="41"/>
        <v>210.90687997847917</v>
      </c>
      <c r="G31" s="3438">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2598</v>
      </c>
      <c r="B32" s="2694">
        <f t="shared" si="40"/>
        <v>276.29854502841971</v>
      </c>
      <c r="C32" s="2694">
        <f t="shared" si="40"/>
        <v>229.79023709833027</v>
      </c>
      <c r="D32" s="2694">
        <f t="shared" si="28"/>
        <v>229.79023709833027</v>
      </c>
      <c r="E32" s="2694">
        <f t="shared" si="41"/>
        <v>379.78759731655936</v>
      </c>
      <c r="F32" s="2694">
        <f t="shared" si="41"/>
        <v>211.32953905659235</v>
      </c>
      <c r="G32" s="3439">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2599</v>
      </c>
      <c r="B33" s="2686">
        <v>269</v>
      </c>
      <c r="C33" s="2686">
        <v>221</v>
      </c>
      <c r="D33" s="2686">
        <f t="shared" si="28"/>
        <v>221</v>
      </c>
      <c r="E33" s="2686">
        <v>373</v>
      </c>
      <c r="F33" s="2687">
        <v>196</v>
      </c>
      <c r="G33" s="3437">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2600</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38">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2601</v>
      </c>
      <c r="B35" s="2694">
        <f t="shared" si="42"/>
        <v>242.95398227588385</v>
      </c>
      <c r="C35" s="2694">
        <f t="shared" si="42"/>
        <v>199.59137053614126</v>
      </c>
      <c r="D35" s="2694">
        <f t="shared" si="28"/>
        <v>199.59137053614126</v>
      </c>
      <c r="E35" s="2694">
        <f t="shared" si="43"/>
        <v>335.92189522342125</v>
      </c>
      <c r="F35" s="2694">
        <f t="shared" si="43"/>
        <v>183.10139991109489</v>
      </c>
      <c r="G35" s="3438">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2602</v>
      </c>
      <c r="B36" s="2694">
        <f t="shared" si="42"/>
        <v>232.06990378821649</v>
      </c>
      <c r="C36" s="2694">
        <f t="shared" si="42"/>
        <v>192.74878854286936</v>
      </c>
      <c r="D36" s="2694">
        <f t="shared" si="28"/>
        <v>192.74878854286936</v>
      </c>
      <c r="E36" s="2694">
        <f t="shared" si="43"/>
        <v>319.71247284992984</v>
      </c>
      <c r="F36" s="2694">
        <f t="shared" si="43"/>
        <v>175.67053622862409</v>
      </c>
      <c r="G36" s="3439">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2603</v>
      </c>
      <c r="B37" s="2686">
        <v>220</v>
      </c>
      <c r="C37" s="2686">
        <v>187</v>
      </c>
      <c r="D37" s="2686">
        <f t="shared" si="28"/>
        <v>187</v>
      </c>
      <c r="E37" s="2686">
        <v>301</v>
      </c>
      <c r="F37" s="2687">
        <v>168</v>
      </c>
      <c r="G37" s="3437">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2604</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38">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2605</v>
      </c>
      <c r="B39" s="2694">
        <f t="shared" si="44"/>
        <v>210.630522469011</v>
      </c>
      <c r="C39" s="2694">
        <f t="shared" si="44"/>
        <v>181.69567812247232</v>
      </c>
      <c r="D39" s="2694">
        <f t="shared" si="28"/>
        <v>181.69567812247232</v>
      </c>
      <c r="E39" s="2694">
        <f t="shared" si="45"/>
        <v>286.13517466736738</v>
      </c>
      <c r="F39" s="2694">
        <f t="shared" si="45"/>
        <v>165.47535084591149</v>
      </c>
      <c r="G39" s="3438">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2606</v>
      </c>
      <c r="B40" s="2694">
        <f t="shared" si="44"/>
        <v>208.83454537875372</v>
      </c>
      <c r="C40" s="2694">
        <f t="shared" si="44"/>
        <v>183.77230517090351</v>
      </c>
      <c r="D40" s="2694">
        <f t="shared" si="28"/>
        <v>183.77230517090351</v>
      </c>
      <c r="E40" s="2694">
        <f t="shared" si="45"/>
        <v>281.10342338870947</v>
      </c>
      <c r="F40" s="2694">
        <f t="shared" si="45"/>
        <v>168.97309388942256</v>
      </c>
      <c r="G40" s="3439">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2607</v>
      </c>
      <c r="B41" s="2724">
        <v>214</v>
      </c>
      <c r="C41" s="2724">
        <v>188</v>
      </c>
      <c r="D41" s="2724">
        <f t="shared" si="28"/>
        <v>188</v>
      </c>
      <c r="E41" s="2724">
        <v>289</v>
      </c>
      <c r="F41" s="2725">
        <v>166</v>
      </c>
      <c r="G41" s="3437">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2608</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38">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2609</v>
      </c>
      <c r="B43" s="2694">
        <f t="shared" si="46"/>
        <v>206.31694671589116</v>
      </c>
      <c r="C43" s="2694">
        <f t="shared" si="46"/>
        <v>183.61041121036101</v>
      </c>
      <c r="D43" s="2694">
        <f t="shared" si="28"/>
        <v>183.61041121036101</v>
      </c>
      <c r="E43" s="2694">
        <f t="shared" si="47"/>
        <v>276.66850301795557</v>
      </c>
      <c r="F43" s="2694">
        <f t="shared" si="47"/>
        <v>165.1360938278614</v>
      </c>
      <c r="G43" s="3438">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2610</v>
      </c>
      <c r="B44" s="2727">
        <f t="shared" si="46"/>
        <v>196.62341248059772</v>
      </c>
      <c r="C44" s="2727">
        <f t="shared" si="46"/>
        <v>170.99125648199012</v>
      </c>
      <c r="D44" s="2727">
        <f t="shared" si="28"/>
        <v>170.99125648199012</v>
      </c>
      <c r="E44" s="2727">
        <f t="shared" si="47"/>
        <v>266.07857570490052</v>
      </c>
      <c r="F44" s="2727">
        <f t="shared" si="47"/>
        <v>154.53499328828505</v>
      </c>
      <c r="G44" s="3439">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2611</v>
      </c>
      <c r="B45" s="2686">
        <v>188</v>
      </c>
      <c r="C45" s="2686">
        <v>165</v>
      </c>
      <c r="D45" s="2686">
        <f t="shared" si="28"/>
        <v>165</v>
      </c>
      <c r="E45" s="2686">
        <v>254</v>
      </c>
      <c r="F45" s="2687">
        <v>148</v>
      </c>
      <c r="G45" s="3437">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2612</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38">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2613</v>
      </c>
      <c r="B47" s="2694">
        <f t="shared" si="50"/>
        <v>168.82017748715555</v>
      </c>
      <c r="C47" s="2694">
        <f t="shared" si="50"/>
        <v>148.06267029972753</v>
      </c>
      <c r="D47" s="2694">
        <f t="shared" si="28"/>
        <v>148.06267029972753</v>
      </c>
      <c r="E47" s="2694">
        <f t="shared" si="51"/>
        <v>216.46288379323747</v>
      </c>
      <c r="F47" s="2694">
        <f t="shared" si="51"/>
        <v>134.23529411764704</v>
      </c>
      <c r="G47" s="3438">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2614</v>
      </c>
      <c r="B48" s="2694">
        <f t="shared" si="50"/>
        <v>163.84913591779542</v>
      </c>
      <c r="C48" s="2694">
        <f t="shared" si="50"/>
        <v>145.0283378746594</v>
      </c>
      <c r="D48" s="2694">
        <f t="shared" si="28"/>
        <v>145.0283378746594</v>
      </c>
      <c r="E48" s="2694">
        <f t="shared" si="51"/>
        <v>204.95180722891567</v>
      </c>
      <c r="F48" s="2694">
        <f t="shared" si="51"/>
        <v>125.95920303605313</v>
      </c>
      <c r="G48" s="3439">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2615</v>
      </c>
      <c r="B49" s="2708">
        <v>159</v>
      </c>
      <c r="C49" s="2708">
        <v>141</v>
      </c>
      <c r="D49" s="2708">
        <f t="shared" si="28"/>
        <v>141</v>
      </c>
      <c r="E49" s="2708">
        <v>195</v>
      </c>
      <c r="F49" s="2709">
        <v>122</v>
      </c>
      <c r="G49" s="3437">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2616</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38">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2617</v>
      </c>
      <c r="B51" s="2694">
        <f t="shared" si="54"/>
        <v>146.57412060301507</v>
      </c>
      <c r="C51" s="2694">
        <f t="shared" si="54"/>
        <v>136.46831955922866</v>
      </c>
      <c r="D51" s="2694">
        <f t="shared" si="28"/>
        <v>136.46831955922866</v>
      </c>
      <c r="E51" s="2694">
        <f t="shared" si="55"/>
        <v>166.73864894795128</v>
      </c>
      <c r="F51" s="2694">
        <f t="shared" si="55"/>
        <v>115.05882352941177</v>
      </c>
      <c r="G51" s="3438">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2618</v>
      </c>
      <c r="B52" s="2694">
        <f t="shared" si="54"/>
        <v>144.04145728643215</v>
      </c>
      <c r="C52" s="2694">
        <f t="shared" si="54"/>
        <v>136.12396694214877</v>
      </c>
      <c r="D52" s="2694">
        <f t="shared" si="28"/>
        <v>136.12396694214877</v>
      </c>
      <c r="E52" s="2694">
        <f t="shared" si="55"/>
        <v>158.32225913621264</v>
      </c>
      <c r="F52" s="2694">
        <f t="shared" si="55"/>
        <v>114.04278074866311</v>
      </c>
      <c r="G52" s="3439">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2619</v>
      </c>
      <c r="B53" s="2708">
        <v>138</v>
      </c>
      <c r="C53" s="2708">
        <v>131</v>
      </c>
      <c r="D53" s="2708">
        <f t="shared" si="28"/>
        <v>131</v>
      </c>
      <c r="E53" s="2708">
        <v>155</v>
      </c>
      <c r="F53" s="2709">
        <v>114</v>
      </c>
      <c r="G53" s="3437">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2620</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38">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2621</v>
      </c>
      <c r="B55" s="2694">
        <f t="shared" si="58"/>
        <v>124.29032258064517</v>
      </c>
      <c r="C55" s="2694">
        <f t="shared" si="58"/>
        <v>123.8968609865471</v>
      </c>
      <c r="D55" s="2694">
        <f t="shared" si="28"/>
        <v>123.8968609865471</v>
      </c>
      <c r="E55" s="2694">
        <f t="shared" si="59"/>
        <v>138.00507614213197</v>
      </c>
      <c r="F55" s="2694">
        <f t="shared" si="59"/>
        <v>107.96106557377048</v>
      </c>
      <c r="G55" s="3438">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2622</v>
      </c>
      <c r="B56" s="2694">
        <f t="shared" si="58"/>
        <v>122.57204301075269</v>
      </c>
      <c r="C56" s="2694">
        <f t="shared" si="58"/>
        <v>123.4932735426009</v>
      </c>
      <c r="D56" s="2694">
        <f t="shared" si="28"/>
        <v>123.4932735426009</v>
      </c>
      <c r="E56" s="2694">
        <f t="shared" si="59"/>
        <v>129.82233502538071</v>
      </c>
      <c r="F56" s="2694">
        <f t="shared" si="59"/>
        <v>107.39446721311475</v>
      </c>
      <c r="G56" s="3439">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2623</v>
      </c>
      <c r="B57" s="2724">
        <v>121</v>
      </c>
      <c r="C57" s="2724">
        <v>122</v>
      </c>
      <c r="D57" s="2724">
        <f t="shared" si="28"/>
        <v>122</v>
      </c>
      <c r="E57" s="2724">
        <v>124</v>
      </c>
      <c r="F57" s="2725">
        <v>107</v>
      </c>
      <c r="G57" s="3437">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2624</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38">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2625</v>
      </c>
      <c r="B59" s="2694">
        <f t="shared" si="62"/>
        <v>116.99099099099099</v>
      </c>
      <c r="C59" s="2694">
        <f t="shared" si="62"/>
        <v>118.84848484848486</v>
      </c>
      <c r="D59" s="2694">
        <f t="shared" si="28"/>
        <v>118.84848484848486</v>
      </c>
      <c r="E59" s="2694">
        <f t="shared" si="63"/>
        <v>117.60960960960961</v>
      </c>
      <c r="F59" s="2694">
        <f t="shared" si="63"/>
        <v>104</v>
      </c>
      <c r="G59" s="3438">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2626</v>
      </c>
      <c r="B60" s="2727">
        <f t="shared" si="62"/>
        <v>112.48648648648648</v>
      </c>
      <c r="C60" s="2727">
        <f t="shared" si="62"/>
        <v>115.21212121212122</v>
      </c>
      <c r="D60" s="2727">
        <f t="shared" si="28"/>
        <v>115.21212121212122</v>
      </c>
      <c r="E60" s="2727">
        <f t="shared" si="63"/>
        <v>110.4024024024024</v>
      </c>
      <c r="F60" s="2727">
        <f t="shared" si="63"/>
        <v>104</v>
      </c>
      <c r="G60" s="3439">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2627</v>
      </c>
      <c r="B61" s="2745">
        <v>111</v>
      </c>
      <c r="C61" s="2745">
        <v>114</v>
      </c>
      <c r="D61" s="2745">
        <f t="shared" si="28"/>
        <v>114</v>
      </c>
      <c r="E61" s="2745">
        <v>108</v>
      </c>
      <c r="F61" s="2746">
        <v>104</v>
      </c>
      <c r="G61" s="3437">
        <v>2003</v>
      </c>
      <c r="H61" s="2735">
        <v>4</v>
      </c>
      <c r="I61" s="2747"/>
      <c r="J61" s="2747"/>
      <c r="K61" s="2747"/>
      <c r="L61" s="2747"/>
      <c r="N61" s="2748"/>
      <c r="O61" s="2747"/>
      <c r="P61" s="2747"/>
      <c r="Q61" s="2747"/>
      <c r="S61" s="2748"/>
      <c r="T61" s="2747"/>
      <c r="U61" s="2747"/>
      <c r="V61" s="2747"/>
      <c r="X61" s="2739"/>
      <c r="Y61" s="2739"/>
      <c r="Z61" s="2739"/>
    </row>
    <row r="62" spans="1:26">
      <c r="A62" s="2680" t="s">
        <v>2628</v>
      </c>
      <c r="B62" s="2749">
        <f t="shared" ref="B62:C64" si="64">B63+(B$61-B$65)/4</f>
        <v>109.75</v>
      </c>
      <c r="C62" s="2749">
        <f t="shared" si="64"/>
        <v>112.25</v>
      </c>
      <c r="D62" s="2749">
        <f t="shared" si="28"/>
        <v>112.25</v>
      </c>
      <c r="E62" s="2749">
        <f t="shared" ref="E62:F64" si="65">E63+(E$61-E$65)/4</f>
        <v>107.25</v>
      </c>
      <c r="F62" s="2749">
        <f t="shared" si="65"/>
        <v>103.5</v>
      </c>
      <c r="G62" s="3438">
        <v>2003</v>
      </c>
      <c r="H62" s="2705">
        <v>3</v>
      </c>
      <c r="I62" s="2747"/>
      <c r="J62" s="2747"/>
      <c r="K62" s="2747"/>
      <c r="L62" s="2747"/>
      <c r="X62" s="2739"/>
      <c r="Y62" s="2739"/>
      <c r="Z62" s="2739"/>
    </row>
    <row r="63" spans="1:26">
      <c r="A63" s="2680" t="s">
        <v>2629</v>
      </c>
      <c r="B63" s="2749">
        <f t="shared" si="64"/>
        <v>108.5</v>
      </c>
      <c r="C63" s="2749">
        <f t="shared" si="64"/>
        <v>110.5</v>
      </c>
      <c r="D63" s="2749">
        <f t="shared" si="28"/>
        <v>110.5</v>
      </c>
      <c r="E63" s="2749">
        <f t="shared" si="65"/>
        <v>106.5</v>
      </c>
      <c r="F63" s="2749">
        <f t="shared" si="65"/>
        <v>103</v>
      </c>
      <c r="G63" s="3438">
        <v>2003</v>
      </c>
      <c r="H63" s="2685">
        <v>2</v>
      </c>
      <c r="I63" s="2747"/>
      <c r="J63" s="2747"/>
      <c r="K63" s="2747"/>
      <c r="L63" s="2747"/>
      <c r="X63" s="2739"/>
      <c r="Y63" s="2739"/>
      <c r="Z63" s="2739"/>
    </row>
    <row r="64" spans="1:26" ht="13.5" thickBot="1">
      <c r="A64" s="2680" t="s">
        <v>2630</v>
      </c>
      <c r="B64" s="2749">
        <f t="shared" si="64"/>
        <v>107.25</v>
      </c>
      <c r="C64" s="2749">
        <f t="shared" si="64"/>
        <v>108.75</v>
      </c>
      <c r="D64" s="2749">
        <f t="shared" si="28"/>
        <v>108.75</v>
      </c>
      <c r="E64" s="2749">
        <f t="shared" si="65"/>
        <v>105.75</v>
      </c>
      <c r="F64" s="2749">
        <f t="shared" si="65"/>
        <v>102.5</v>
      </c>
      <c r="G64" s="3439">
        <v>2003</v>
      </c>
      <c r="H64" s="2750">
        <v>1</v>
      </c>
      <c r="I64" s="2747"/>
      <c r="J64" s="2747"/>
      <c r="K64" s="2747"/>
      <c r="L64" s="2747"/>
      <c r="S64" s="2689"/>
      <c r="T64" s="2690"/>
      <c r="U64" s="2690"/>
      <c r="X64" s="2739"/>
      <c r="Y64" s="2739"/>
      <c r="Z64" s="2739"/>
    </row>
    <row r="65" spans="1:26" ht="13.5" thickBot="1">
      <c r="A65" s="2680" t="s">
        <v>2631</v>
      </c>
      <c r="B65" s="2751">
        <v>106</v>
      </c>
      <c r="C65" s="2751">
        <v>107</v>
      </c>
      <c r="D65" s="2751">
        <f t="shared" si="28"/>
        <v>107</v>
      </c>
      <c r="E65" s="2751">
        <v>105</v>
      </c>
      <c r="F65" s="2752">
        <v>102</v>
      </c>
      <c r="G65" s="3437">
        <v>2002</v>
      </c>
      <c r="H65" s="2700">
        <v>4</v>
      </c>
      <c r="I65" s="2747"/>
      <c r="J65" s="2747"/>
      <c r="K65" s="2747"/>
      <c r="L65" s="2747"/>
      <c r="N65" s="2748"/>
      <c r="O65" s="2747"/>
      <c r="P65" s="2747"/>
      <c r="Q65" s="2747"/>
      <c r="S65" s="2748"/>
      <c r="T65" s="2747"/>
      <c r="U65" s="2747"/>
      <c r="V65" s="2747"/>
      <c r="X65" s="2739"/>
      <c r="Y65" s="2739"/>
      <c r="Z65" s="2739"/>
    </row>
    <row r="66" spans="1:26">
      <c r="A66" s="2680" t="s">
        <v>2632</v>
      </c>
      <c r="B66" s="2749">
        <f t="shared" ref="B66:C68" si="66">B67+(B$65-B$69)/4</f>
        <v>105</v>
      </c>
      <c r="C66" s="2749">
        <f t="shared" si="66"/>
        <v>106</v>
      </c>
      <c r="D66" s="2749">
        <f t="shared" si="28"/>
        <v>106</v>
      </c>
      <c r="E66" s="2749">
        <f t="shared" ref="E66:F68" si="67">E67+(E$65-E$69)/4</f>
        <v>104.5</v>
      </c>
      <c r="F66" s="2749">
        <f t="shared" si="67"/>
        <v>101.5</v>
      </c>
      <c r="G66" s="3438">
        <v>2002</v>
      </c>
      <c r="H66" s="2705">
        <v>3</v>
      </c>
      <c r="I66" s="2747"/>
      <c r="J66" s="2747"/>
      <c r="K66" s="2747"/>
      <c r="L66" s="2747"/>
      <c r="X66" s="2739"/>
      <c r="Y66" s="2739"/>
      <c r="Z66" s="2739"/>
    </row>
    <row r="67" spans="1:26">
      <c r="A67" s="2680" t="s">
        <v>2633</v>
      </c>
      <c r="B67" s="2749">
        <f t="shared" si="66"/>
        <v>104</v>
      </c>
      <c r="C67" s="2749">
        <f t="shared" si="66"/>
        <v>105</v>
      </c>
      <c r="D67" s="2749">
        <f t="shared" si="28"/>
        <v>105</v>
      </c>
      <c r="E67" s="2749">
        <f t="shared" si="67"/>
        <v>104</v>
      </c>
      <c r="F67" s="2749">
        <f t="shared" si="67"/>
        <v>101</v>
      </c>
      <c r="G67" s="3438">
        <v>2002</v>
      </c>
      <c r="H67" s="2685">
        <v>2</v>
      </c>
      <c r="I67" s="2747"/>
      <c r="J67" s="2747"/>
      <c r="K67" s="2747"/>
      <c r="L67" s="2747"/>
      <c r="X67" s="2739"/>
      <c r="Y67" s="2739"/>
      <c r="Z67" s="2739"/>
    </row>
    <row r="68" spans="1:26" s="2716" customFormat="1" ht="13.5" thickBot="1">
      <c r="A68" s="2712" t="s">
        <v>2634</v>
      </c>
      <c r="B68" s="2753">
        <f t="shared" si="66"/>
        <v>103</v>
      </c>
      <c r="C68" s="2753">
        <f t="shared" si="66"/>
        <v>104</v>
      </c>
      <c r="D68" s="2753">
        <f t="shared" si="28"/>
        <v>104</v>
      </c>
      <c r="E68" s="2753">
        <f t="shared" si="67"/>
        <v>103.5</v>
      </c>
      <c r="F68" s="2753">
        <f t="shared" si="67"/>
        <v>100.5</v>
      </c>
      <c r="G68" s="3439">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2635</v>
      </c>
      <c r="G71" s="2763"/>
      <c r="N71" s="2763"/>
      <c r="S71" s="2763"/>
    </row>
    <row r="72" spans="1:26" s="2762" customFormat="1">
      <c r="A72" s="2762" t="s">
        <v>2636</v>
      </c>
      <c r="G72" s="2763"/>
      <c r="N72" s="2763"/>
      <c r="S72" s="2763"/>
    </row>
    <row r="73" spans="1:26" s="2762" customFormat="1">
      <c r="A73" s="2762" t="s">
        <v>2637</v>
      </c>
      <c r="G73" s="2763"/>
      <c r="I73" s="2764"/>
      <c r="J73" s="2764"/>
      <c r="K73" s="2764"/>
      <c r="L73" s="2764"/>
      <c r="N73" s="2765"/>
      <c r="O73" s="2764"/>
      <c r="P73" s="2764"/>
      <c r="Q73" s="2764"/>
      <c r="S73" s="2765"/>
      <c r="T73" s="2764"/>
      <c r="U73" s="2764"/>
      <c r="V73" s="2764"/>
    </row>
    <row r="74" spans="1:26" s="2762" customFormat="1">
      <c r="A74" s="2762" t="s">
        <v>2638</v>
      </c>
      <c r="G74" s="2763"/>
      <c r="N74" s="2763"/>
      <c r="S74" s="2763"/>
    </row>
    <row r="81" spans="7:22" ht="13.5" thickBot="1"/>
    <row r="82" spans="7:22">
      <c r="G82" s="2688"/>
      <c r="S82" s="2766" t="s">
        <v>2639</v>
      </c>
      <c r="T82" s="2767" t="s">
        <v>2640</v>
      </c>
      <c r="U82" s="2767" t="s">
        <v>2641</v>
      </c>
      <c r="V82" s="2767" t="s">
        <v>2642</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56.25">
      <c r="A7" s="1795" t="s">
        <v>2752</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2943</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18.75">
      <c r="A21" s="1791" t="s">
        <v>2075</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本次估价对象为出让国有建设用地使用权，《可研报告》证载土地终止日期为住宅2087年8月7日、商业2057年8月7日。截至估价期日，出让国有建设用地使用权剩余土地使用年限为。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18.75">
      <c r="A26" s="1791" t="str">
        <f>IF(项目基本情况!B9="市场价格","——",IF(项目基本情况!E8="抵押价格",定义!C54,IF(项目基本情况!E8="已注销",定义!C55,定义!C56)))</f>
        <v>——</v>
      </c>
    </row>
    <row r="27" spans="1:1" ht="18.7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791" t="str">
        <f>IF(项目基本情况!B9="市场价格","——",IF(项目基本情况!E9="——","",定义!C57))</f>
        <v>——</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22" zoomScale="80" zoomScaleNormal="80" workbookViewId="0">
      <selection activeCell="R47" sqref="R47:W48"/>
    </sheetView>
  </sheetViews>
  <sheetFormatPr defaultRowHeight="14.25"/>
  <cols>
    <col min="1" max="1" width="10.5" style="1336" customWidth="1"/>
    <col min="2" max="2" width="15.75" style="1336" customWidth="1"/>
    <col min="3" max="3" width="19.125" style="1336" customWidth="1"/>
    <col min="4" max="4" width="12.25" style="1336" customWidth="1"/>
    <col min="5" max="5" width="17" style="1336" customWidth="1"/>
    <col min="6" max="6" width="12.25" style="1336" customWidth="1"/>
    <col min="7" max="7" width="16.875" style="1336" customWidth="1"/>
    <col min="8" max="8" width="12.25" style="1336" customWidth="1"/>
    <col min="9" max="9" width="18.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2647" t="s">
        <v>719</v>
      </c>
      <c r="C1" s="2648" t="s">
        <v>720</v>
      </c>
      <c r="D1" s="2649" t="s">
        <v>3004</v>
      </c>
      <c r="E1" s="2650"/>
      <c r="F1" s="2833" t="s">
        <v>3071</v>
      </c>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5" t="s">
        <v>466</v>
      </c>
      <c r="B2" s="2646">
        <f>ROUND(B3*D3/10000,0)</f>
        <v>158175</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11" t="s">
        <v>519</v>
      </c>
      <c r="B3" s="851">
        <f>C49</f>
        <v>7031</v>
      </c>
      <c r="C3" s="852" t="s">
        <v>722</v>
      </c>
      <c r="D3" s="851">
        <f>SUMIF('数据-汇总表'!$C19:$C33,D1,'数据-汇总表'!$E19:$E33)</f>
        <v>224968.58</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4" t="s">
        <v>521</v>
      </c>
      <c r="B4" s="515"/>
      <c r="C4" s="3374" t="s">
        <v>522</v>
      </c>
      <c r="D4" s="3375"/>
      <c r="E4" s="3398" t="s">
        <v>523</v>
      </c>
      <c r="F4" s="3399"/>
      <c r="G4" s="3374" t="s">
        <v>524</v>
      </c>
      <c r="H4" s="3375"/>
      <c r="I4" s="3374" t="s">
        <v>525</v>
      </c>
      <c r="J4" s="3375"/>
      <c r="K4" s="853" t="s">
        <v>526</v>
      </c>
      <c r="L4" s="2133"/>
      <c r="M4" s="2134"/>
      <c r="N4" s="2134"/>
      <c r="O4" s="2134"/>
      <c r="P4" s="3376" t="s">
        <v>527</v>
      </c>
      <c r="Q4" s="3377"/>
      <c r="R4" s="3362" t="s">
        <v>523</v>
      </c>
      <c r="S4" s="3363"/>
      <c r="T4" s="3362" t="s">
        <v>524</v>
      </c>
      <c r="U4" s="3363"/>
      <c r="V4" s="3382" t="s">
        <v>525</v>
      </c>
      <c r="W4" s="3382"/>
      <c r="X4" s="1566"/>
      <c r="Y4" s="3362" t="s">
        <v>527</v>
      </c>
      <c r="Z4" s="3363"/>
      <c r="AA4" s="3357" t="s">
        <v>523</v>
      </c>
      <c r="AB4" s="3357" t="s">
        <v>524</v>
      </c>
      <c r="AC4" s="3357" t="s">
        <v>525</v>
      </c>
    </row>
    <row r="5" spans="1:29" ht="15">
      <c r="A5" s="517"/>
      <c r="B5" s="518"/>
      <c r="C5" s="3385" t="s">
        <v>2929</v>
      </c>
      <c r="D5" s="3386"/>
      <c r="E5" s="3444" t="s">
        <v>3122</v>
      </c>
      <c r="F5" s="3401"/>
      <c r="G5" s="3445" t="s">
        <v>3126</v>
      </c>
      <c r="H5" s="3386"/>
      <c r="I5" s="3445" t="s">
        <v>3155</v>
      </c>
      <c r="J5" s="3386"/>
      <c r="K5" s="854"/>
      <c r="L5" s="2133"/>
      <c r="M5" s="2134"/>
      <c r="N5" s="2134"/>
      <c r="O5" s="2134"/>
      <c r="P5" s="3378"/>
      <c r="Q5" s="3379"/>
      <c r="R5" s="3364"/>
      <c r="S5" s="3365"/>
      <c r="T5" s="3364"/>
      <c r="U5" s="3365"/>
      <c r="V5" s="3382"/>
      <c r="W5" s="3382"/>
      <c r="X5" s="1566"/>
      <c r="Y5" s="3364"/>
      <c r="Z5" s="3365"/>
      <c r="AA5" s="3358"/>
      <c r="AB5" s="3358"/>
      <c r="AC5" s="3358"/>
    </row>
    <row r="6" spans="1:29" ht="15.75" thickBot="1">
      <c r="A6" s="519"/>
      <c r="B6" s="520"/>
      <c r="C6" s="3383" t="s">
        <v>2933</v>
      </c>
      <c r="D6" s="3384"/>
      <c r="E6" s="3402" t="s">
        <v>2933</v>
      </c>
      <c r="F6" s="3403"/>
      <c r="G6" s="3383" t="s">
        <v>2933</v>
      </c>
      <c r="H6" s="3384"/>
      <c r="I6" s="3383" t="s">
        <v>2933</v>
      </c>
      <c r="J6" s="3384"/>
      <c r="K6" s="854" t="s">
        <v>528</v>
      </c>
      <c r="L6" s="2133"/>
      <c r="M6" s="2134"/>
      <c r="N6" s="2134"/>
      <c r="O6" s="2134"/>
      <c r="P6" s="3380"/>
      <c r="Q6" s="3381"/>
      <c r="R6" s="3364"/>
      <c r="S6" s="3365"/>
      <c r="T6" s="3366"/>
      <c r="U6" s="3367"/>
      <c r="V6" s="3382"/>
      <c r="W6" s="3382"/>
      <c r="X6" s="1566"/>
      <c r="Y6" s="3366"/>
      <c r="Z6" s="3367"/>
      <c r="AA6" s="3359"/>
      <c r="AB6" s="3359"/>
      <c r="AC6" s="3359"/>
    </row>
    <row r="7" spans="1:29" s="1219" customFormat="1" ht="15.75" thickBot="1">
      <c r="A7" s="2938"/>
      <c r="B7" s="2945" t="s">
        <v>529</v>
      </c>
      <c r="C7" s="521">
        <f>'数据-取费表'!B2</f>
        <v>43083</v>
      </c>
      <c r="D7" s="522">
        <v>100</v>
      </c>
      <c r="E7" s="523">
        <v>43080</v>
      </c>
      <c r="F7" s="524">
        <f>SUMIF(58:58,YEAR(E7)&amp;"-"&amp;MONTH(E7),59:59)</f>
        <v>100</v>
      </c>
      <c r="G7" s="525">
        <f>E7</f>
        <v>43080</v>
      </c>
      <c r="H7" s="522">
        <f>SUMIF(58:58,YEAR(G7)&amp;"-"&amp;MONTH(G7),59:59)</f>
        <v>100</v>
      </c>
      <c r="I7" s="525">
        <f>G7</f>
        <v>43080</v>
      </c>
      <c r="J7" s="522">
        <f>SUMIF(58:58,YEAR(I7)&amp;"-"&amp;MONTH(I7),59:59)</f>
        <v>100</v>
      </c>
      <c r="K7" s="855"/>
      <c r="L7" s="2135"/>
      <c r="M7" s="2136"/>
      <c r="N7" s="2136"/>
      <c r="O7" s="2136"/>
      <c r="P7" s="3360" t="s">
        <v>530</v>
      </c>
      <c r="Q7" s="3369"/>
      <c r="R7" s="1567" t="s">
        <v>13</v>
      </c>
      <c r="S7" s="1568">
        <f t="shared" ref="S7:S15" si="0">F7</f>
        <v>100</v>
      </c>
      <c r="T7" s="1567" t="s">
        <v>13</v>
      </c>
      <c r="U7" s="1568">
        <f t="shared" ref="U7:U15" si="1">H7</f>
        <v>100</v>
      </c>
      <c r="V7" s="1567" t="s">
        <v>13</v>
      </c>
      <c r="W7" s="1568">
        <f t="shared" ref="W7:W15" si="2">J7</f>
        <v>100</v>
      </c>
      <c r="X7" s="1569"/>
      <c r="Y7" s="3360" t="s">
        <v>530</v>
      </c>
      <c r="Z7" s="3361"/>
      <c r="AA7" s="1570">
        <f>D7/F7</f>
        <v>1</v>
      </c>
      <c r="AB7" s="1570">
        <f>D7/H7</f>
        <v>1</v>
      </c>
      <c r="AC7" s="1570">
        <f>D7/J7</f>
        <v>1</v>
      </c>
    </row>
    <row r="8" spans="1:29" s="1219" customFormat="1" ht="15.75" thickBot="1">
      <c r="A8" s="2939"/>
      <c r="B8" s="2946" t="s">
        <v>531</v>
      </c>
      <c r="C8" s="527" t="s">
        <v>576</v>
      </c>
      <c r="D8" s="522">
        <v>100</v>
      </c>
      <c r="E8" s="527" t="s">
        <v>576</v>
      </c>
      <c r="F8" s="524">
        <f>SUMIF(61:61,E8,62:62)-SUMIF(61:61,C8,62:62)+100</f>
        <v>100</v>
      </c>
      <c r="G8" s="527" t="s">
        <v>576</v>
      </c>
      <c r="H8" s="522">
        <f>SUMIF(61:61,G8,62:62)-SUMIF(61:61,C8,62:62)+100</f>
        <v>100</v>
      </c>
      <c r="I8" s="527" t="s">
        <v>576</v>
      </c>
      <c r="J8" s="522">
        <f>SUMIF(61:61,I8,62:62)-SUMIF(61:61,C8,62:62)+100</f>
        <v>100</v>
      </c>
      <c r="K8" s="855"/>
      <c r="L8" s="2135"/>
      <c r="M8" s="2136"/>
      <c r="N8" s="2136"/>
      <c r="O8" s="2136"/>
      <c r="P8" s="3360" t="s">
        <v>533</v>
      </c>
      <c r="Q8" s="3361"/>
      <c r="R8" s="1567" t="s">
        <v>13</v>
      </c>
      <c r="S8" s="1568">
        <f t="shared" si="0"/>
        <v>100</v>
      </c>
      <c r="T8" s="1567" t="s">
        <v>13</v>
      </c>
      <c r="U8" s="1568">
        <f t="shared" si="1"/>
        <v>100</v>
      </c>
      <c r="V8" s="1567" t="s">
        <v>13</v>
      </c>
      <c r="W8" s="1568">
        <f t="shared" si="2"/>
        <v>100</v>
      </c>
      <c r="X8" s="1569"/>
      <c r="Y8" s="3360" t="s">
        <v>533</v>
      </c>
      <c r="Z8" s="3361"/>
      <c r="AA8" s="1570">
        <f t="shared" ref="AA8:AA46" si="3">D8/F8</f>
        <v>1</v>
      </c>
      <c r="AB8" s="1570">
        <f t="shared" ref="AB8:AB46" si="4">D8/H8</f>
        <v>1</v>
      </c>
      <c r="AC8" s="1570">
        <f t="shared" ref="AC8:AC46" si="5">D8/J8</f>
        <v>1</v>
      </c>
    </row>
    <row r="9" spans="1:29" s="1219" customFormat="1" ht="15">
      <c r="A9" s="2940"/>
      <c r="B9" s="2947" t="s">
        <v>2761</v>
      </c>
      <c r="C9" s="3176" t="s">
        <v>3057</v>
      </c>
      <c r="D9" s="253">
        <v>100</v>
      </c>
      <c r="E9" s="3176" t="s">
        <v>3057</v>
      </c>
      <c r="F9" s="859">
        <f>SUMIF(63:63,E9,64:64)-SUMIF(63:63,C9,64:64)+100</f>
        <v>100</v>
      </c>
      <c r="G9" s="3176" t="s">
        <v>3057</v>
      </c>
      <c r="H9" s="253">
        <f>SUMIF(63:63,G9,64:64)-SUMIF(63:63,C9,64:64)+100</f>
        <v>100</v>
      </c>
      <c r="I9" s="3176" t="s">
        <v>3057</v>
      </c>
      <c r="J9" s="253">
        <f>SUMIF(63:63,I9,64:64)-SUMIF(63:63,C9,64:64)+100</f>
        <v>100</v>
      </c>
      <c r="K9" s="855"/>
      <c r="L9" s="2135"/>
      <c r="M9" s="2136"/>
      <c r="N9" s="2136"/>
      <c r="O9" s="2137"/>
      <c r="P9" s="3368" t="s">
        <v>535</v>
      </c>
      <c r="Q9" s="1150" t="str">
        <f t="shared" ref="Q9:Q15" si="6">B9</f>
        <v>用途</v>
      </c>
      <c r="R9" s="1567" t="s">
        <v>8</v>
      </c>
      <c r="S9" s="1568">
        <f t="shared" si="0"/>
        <v>100</v>
      </c>
      <c r="T9" s="1567" t="s">
        <v>8</v>
      </c>
      <c r="U9" s="1568">
        <f t="shared" si="1"/>
        <v>100</v>
      </c>
      <c r="V9" s="1567" t="s">
        <v>8</v>
      </c>
      <c r="W9" s="1568">
        <f t="shared" si="2"/>
        <v>100</v>
      </c>
      <c r="X9" s="1569"/>
      <c r="Y9" s="3325" t="s">
        <v>536</v>
      </c>
      <c r="Z9" s="1149" t="str">
        <f t="shared" ref="Z9:Z15" si="7">Q9</f>
        <v>用途</v>
      </c>
      <c r="AA9" s="1570">
        <f t="shared" si="3"/>
        <v>1</v>
      </c>
      <c r="AB9" s="1570">
        <f t="shared" si="4"/>
        <v>1</v>
      </c>
      <c r="AC9" s="1570">
        <f t="shared" si="5"/>
        <v>1</v>
      </c>
    </row>
    <row r="10" spans="1:29" s="1337" customFormat="1" ht="27">
      <c r="A10" s="2941"/>
      <c r="B10" s="2946" t="s">
        <v>2762</v>
      </c>
      <c r="C10" s="861" t="s">
        <v>3058</v>
      </c>
      <c r="D10" s="254">
        <v>100</v>
      </c>
      <c r="E10" s="861" t="s">
        <v>3058</v>
      </c>
      <c r="F10" s="863">
        <f>SUMIF(65:65,E10,66:66)-SUMIF(65:65,C10,66:66)+100</f>
        <v>100</v>
      </c>
      <c r="G10" s="861" t="s">
        <v>3058</v>
      </c>
      <c r="H10" s="254">
        <f>SUMIF(65:65,G10,66:66)-SUMIF(65:65,C10,66:66)+100</f>
        <v>100</v>
      </c>
      <c r="I10" s="861" t="s">
        <v>3058</v>
      </c>
      <c r="J10" s="254">
        <f>SUMIF(65:65,I10,66:66)-SUMIF(65:65,C10,66:66)+100</f>
        <v>100</v>
      </c>
      <c r="K10" s="864">
        <v>1</v>
      </c>
      <c r="L10" s="2138"/>
      <c r="M10" s="2178"/>
      <c r="N10" s="2178"/>
      <c r="O10" s="2139"/>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2"/>
      <c r="B11" s="2946" t="s">
        <v>2763</v>
      </c>
      <c r="C11" s="533">
        <f>'比较法-住宅、综合'!C13</f>
        <v>2.2000000000000002</v>
      </c>
      <c r="D11" s="254">
        <v>100</v>
      </c>
      <c r="E11" s="534">
        <v>3.5</v>
      </c>
      <c r="F11" s="863">
        <f>LOOKUP(E11,68:68,69:69)-LOOKUP(C11,68:68,69:69)+100</f>
        <v>98</v>
      </c>
      <c r="G11" s="533">
        <v>3.5</v>
      </c>
      <c r="H11" s="254">
        <f>LOOKUP(G11,68:68,69:69)-LOOKUP(C11,68:68,69:69)+100</f>
        <v>98</v>
      </c>
      <c r="I11" s="533">
        <v>2.77</v>
      </c>
      <c r="J11" s="254">
        <f>LOOKUP(I11,68:68,69:69)-LOOKUP(C11,68:68,69:69)+100</f>
        <v>100</v>
      </c>
      <c r="K11" s="864">
        <v>2</v>
      </c>
      <c r="L11" s="2140"/>
      <c r="M11" s="2134"/>
      <c r="N11" s="2134"/>
      <c r="O11" s="2141"/>
      <c r="P11" s="3368"/>
      <c r="Q11" s="1150" t="str">
        <f t="shared" si="6"/>
        <v>容积率</v>
      </c>
      <c r="R11" s="1567" t="s">
        <v>11</v>
      </c>
      <c r="S11" s="1568">
        <f t="shared" si="0"/>
        <v>98</v>
      </c>
      <c r="T11" s="1567" t="s">
        <v>11</v>
      </c>
      <c r="U11" s="1568">
        <f t="shared" si="1"/>
        <v>98</v>
      </c>
      <c r="V11" s="1567" t="s">
        <v>11</v>
      </c>
      <c r="W11" s="1568">
        <f t="shared" si="2"/>
        <v>100</v>
      </c>
      <c r="X11" s="1569"/>
      <c r="Y11" s="3325"/>
      <c r="Z11" s="1149" t="str">
        <f t="shared" si="7"/>
        <v>容积率</v>
      </c>
      <c r="AA11" s="1570">
        <f t="shared" si="3"/>
        <v>1.0204081632653061</v>
      </c>
      <c r="AB11" s="1570">
        <f t="shared" si="4"/>
        <v>1.0204081632653061</v>
      </c>
      <c r="AC11" s="1570">
        <f t="shared" si="5"/>
        <v>1</v>
      </c>
    </row>
    <row r="12" spans="1:29" s="1219" customFormat="1" ht="15">
      <c r="A12" s="2943"/>
      <c r="B12" s="2949">
        <v>111</v>
      </c>
      <c r="C12" s="530"/>
      <c r="D12" s="538">
        <v>100</v>
      </c>
      <c r="E12" s="530"/>
      <c r="F12" s="863">
        <f>SUMIF(70:70,E12,71:71)-SUMIF(70:70,C12,71:71)+100</f>
        <v>100</v>
      </c>
      <c r="G12" s="530"/>
      <c r="H12" s="254">
        <f>SUMIF(70:70,G12,71:71)-SUMIF(70:70,C12,71:71)+100</f>
        <v>100</v>
      </c>
      <c r="I12" s="530"/>
      <c r="J12" s="254">
        <f>SUMIF(70:70,I12,71:71)-SUMIF(70:70,C12,71:71)+100</f>
        <v>100</v>
      </c>
      <c r="K12" s="865"/>
      <c r="L12" s="2135"/>
      <c r="M12" s="2136"/>
      <c r="N12" s="2136"/>
      <c r="O12" s="2137"/>
      <c r="P12" s="3368"/>
      <c r="Q12" s="1150">
        <f t="shared" si="6"/>
        <v>111</v>
      </c>
      <c r="R12" s="1567" t="s">
        <v>11</v>
      </c>
      <c r="S12" s="1568">
        <f t="shared" si="0"/>
        <v>100</v>
      </c>
      <c r="T12" s="1567" t="s">
        <v>11</v>
      </c>
      <c r="U12" s="1568">
        <f t="shared" si="1"/>
        <v>100</v>
      </c>
      <c r="V12" s="1567" t="s">
        <v>11</v>
      </c>
      <c r="W12" s="1568">
        <f t="shared" si="2"/>
        <v>100</v>
      </c>
      <c r="X12" s="1569"/>
      <c r="Y12" s="3325"/>
      <c r="Z12" s="1149">
        <f t="shared" si="7"/>
        <v>111</v>
      </c>
      <c r="AA12" s="1570">
        <f>D12/F12</f>
        <v>1</v>
      </c>
      <c r="AB12" s="1570">
        <f>D12/H12</f>
        <v>1</v>
      </c>
      <c r="AC12" s="1570">
        <f>D12/J12</f>
        <v>1</v>
      </c>
    </row>
    <row r="13" spans="1:29" ht="15">
      <c r="A13" s="2943"/>
      <c r="B13" s="2949">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8"/>
      <c r="Q13" s="1150">
        <f t="shared" si="6"/>
        <v>111</v>
      </c>
      <c r="R13" s="1567" t="s">
        <v>11</v>
      </c>
      <c r="S13" s="1568">
        <f t="shared" si="0"/>
        <v>100</v>
      </c>
      <c r="T13" s="1567" t="s">
        <v>11</v>
      </c>
      <c r="U13" s="1568">
        <f t="shared" si="1"/>
        <v>100</v>
      </c>
      <c r="V13" s="1567" t="s">
        <v>11</v>
      </c>
      <c r="W13" s="1568">
        <f t="shared" si="2"/>
        <v>100</v>
      </c>
      <c r="X13" s="1569"/>
      <c r="Y13" s="3325"/>
      <c r="Z13" s="1149">
        <f t="shared" si="7"/>
        <v>111</v>
      </c>
      <c r="AA13" s="1570">
        <f t="shared" si="3"/>
        <v>1</v>
      </c>
      <c r="AB13" s="1570">
        <f t="shared" si="4"/>
        <v>1</v>
      </c>
      <c r="AC13" s="1570">
        <f t="shared" si="5"/>
        <v>1</v>
      </c>
    </row>
    <row r="14" spans="1:29" ht="15.75" thickBot="1">
      <c r="A14" s="2944"/>
      <c r="B14" s="2950">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8"/>
      <c r="Q14" s="1150">
        <f t="shared" si="6"/>
        <v>111</v>
      </c>
      <c r="R14" s="1567" t="s">
        <v>11</v>
      </c>
      <c r="S14" s="1568">
        <f t="shared" si="0"/>
        <v>100</v>
      </c>
      <c r="T14" s="1567" t="s">
        <v>11</v>
      </c>
      <c r="U14" s="1568">
        <f t="shared" si="1"/>
        <v>100</v>
      </c>
      <c r="V14" s="1567" t="s">
        <v>11</v>
      </c>
      <c r="W14" s="1568">
        <f t="shared" si="2"/>
        <v>100</v>
      </c>
      <c r="X14" s="1569"/>
      <c r="Y14" s="3325"/>
      <c r="Z14" s="1149">
        <f t="shared" si="7"/>
        <v>111</v>
      </c>
      <c r="AA14" s="1570">
        <f t="shared" si="3"/>
        <v>1</v>
      </c>
      <c r="AB14" s="1570">
        <f t="shared" si="4"/>
        <v>1</v>
      </c>
      <c r="AC14" s="1570">
        <f t="shared" si="5"/>
        <v>1</v>
      </c>
    </row>
    <row r="15" spans="1:29" ht="71.25">
      <c r="A15" s="2936" t="s">
        <v>2759</v>
      </c>
      <c r="B15" s="166" t="s">
        <v>294</v>
      </c>
      <c r="C15" s="867" t="str">
        <f>估价对象房地状况!C3</f>
        <v>估价对象周边居住用地比例较低、周边1公里有大汉汉园等项目、综合评价居住社区成熟度较差</v>
      </c>
      <c r="D15" s="549">
        <v>100</v>
      </c>
      <c r="E15" s="3172" t="s">
        <v>3154</v>
      </c>
      <c r="F15" s="551">
        <f>SUMIF(76:76,E16,77:77)-SUMIF(76:76,C16,77:77)+100</f>
        <v>104</v>
      </c>
      <c r="G15" s="3172" t="s">
        <v>3154</v>
      </c>
      <c r="H15" s="549">
        <f>SUMIF(76:76,G16,77:77)-SUMIF(76:76,C16,77:77)+100</f>
        <v>104</v>
      </c>
      <c r="I15" s="3172" t="s">
        <v>3127</v>
      </c>
      <c r="J15" s="549">
        <f>SUMIF(76:76,I16,77:77)-SUMIF(76:76,C16,77:77)+100</f>
        <v>102</v>
      </c>
      <c r="K15" s="868">
        <f>'比较法-住宅、综合'!K17</f>
        <v>2</v>
      </c>
      <c r="L15" s="2142"/>
      <c r="M15" s="2134"/>
      <c r="N15" s="2134"/>
      <c r="O15" s="2141"/>
      <c r="P15" s="3370" t="s">
        <v>540</v>
      </c>
      <c r="Q15" s="1571" t="str">
        <f t="shared" si="6"/>
        <v>居住社区成熟度</v>
      </c>
      <c r="R15" s="1572" t="s">
        <v>11</v>
      </c>
      <c r="S15" s="1573">
        <f t="shared" si="0"/>
        <v>104</v>
      </c>
      <c r="T15" s="1572" t="s">
        <v>11</v>
      </c>
      <c r="U15" s="1573">
        <f t="shared" si="1"/>
        <v>104</v>
      </c>
      <c r="V15" s="1572" t="s">
        <v>11</v>
      </c>
      <c r="W15" s="1573">
        <f t="shared" si="2"/>
        <v>102</v>
      </c>
      <c r="X15" s="1566"/>
      <c r="Y15" s="3370" t="s">
        <v>540</v>
      </c>
      <c r="Z15" s="1574" t="str">
        <f t="shared" si="7"/>
        <v>居住社区成熟度</v>
      </c>
      <c r="AA15" s="1575">
        <f t="shared" si="3"/>
        <v>0.96153846153846156</v>
      </c>
      <c r="AB15" s="1575">
        <f t="shared" si="4"/>
        <v>0.96153846153846156</v>
      </c>
      <c r="AC15" s="1575">
        <f t="shared" si="5"/>
        <v>0.98039215686274506</v>
      </c>
    </row>
    <row r="16" spans="1:29" ht="15">
      <c r="A16" s="532"/>
      <c r="B16" s="869"/>
      <c r="C16" s="576" t="s">
        <v>3114</v>
      </c>
      <c r="D16" s="555"/>
      <c r="E16" s="556" t="s">
        <v>3044</v>
      </c>
      <c r="F16" s="557"/>
      <c r="G16" s="558" t="s">
        <v>3044</v>
      </c>
      <c r="H16" s="559"/>
      <c r="I16" s="556" t="s">
        <v>3043</v>
      </c>
      <c r="J16" s="555"/>
      <c r="K16" s="870"/>
      <c r="L16" s="2142"/>
      <c r="M16" s="2134"/>
      <c r="N16" s="2134"/>
      <c r="O16" s="2141"/>
      <c r="P16" s="3371"/>
      <c r="Q16" s="1571"/>
      <c r="R16" s="1572"/>
      <c r="S16" s="1573"/>
      <c r="T16" s="1572"/>
      <c r="U16" s="1573"/>
      <c r="V16" s="1572"/>
      <c r="W16" s="1573"/>
      <c r="X16" s="1566"/>
      <c r="Y16" s="3371"/>
      <c r="Z16" s="1574"/>
      <c r="AA16" s="1575">
        <v>1</v>
      </c>
      <c r="AB16" s="1575">
        <v>1</v>
      </c>
      <c r="AC16" s="1575">
        <v>1</v>
      </c>
    </row>
    <row r="17" spans="1:29" ht="103.5" customHeight="1">
      <c r="A17" s="532"/>
      <c r="B17" s="871" t="s">
        <v>295</v>
      </c>
      <c r="C17" s="872" t="str">
        <f>估价对象房地状况!C6</f>
        <v>估价对象周边1公里有357、355路等公交车经过，公共交通通达情况一般、停车便捷程度较好，综合评价交通便捷度较差</v>
      </c>
      <c r="D17" s="559">
        <v>100</v>
      </c>
      <c r="E17" s="564" t="s">
        <v>3152</v>
      </c>
      <c r="F17" s="563">
        <f>SUMIF(78:78,E18,79:79)-SUMIF(78:78,C18,79:79)+100</f>
        <v>100</v>
      </c>
      <c r="G17" s="564" t="s">
        <v>3138</v>
      </c>
      <c r="H17" s="565">
        <f>SUMIF(78:78,G18,79:79)-SUMIF(78:78,C18,79:79)+100</f>
        <v>102</v>
      </c>
      <c r="I17" s="564" t="s">
        <v>3153</v>
      </c>
      <c r="J17" s="565">
        <f>SUMIF(78:78,I18,79:79)-SUMIF(78:78,C18,79:79)+100</f>
        <v>100</v>
      </c>
      <c r="K17" s="868">
        <f>'比较法-住宅、综合'!K19</f>
        <v>2</v>
      </c>
      <c r="L17" s="2142"/>
      <c r="M17" s="2134"/>
      <c r="N17" s="2134"/>
      <c r="O17" s="2141"/>
      <c r="P17" s="3371"/>
      <c r="Q17" s="1571" t="str">
        <f>B17</f>
        <v>交通便捷度</v>
      </c>
      <c r="R17" s="1572" t="s">
        <v>11</v>
      </c>
      <c r="S17" s="1573">
        <f>F17</f>
        <v>100</v>
      </c>
      <c r="T17" s="1572" t="s">
        <v>11</v>
      </c>
      <c r="U17" s="1573">
        <f>H17</f>
        <v>102</v>
      </c>
      <c r="V17" s="1572" t="s">
        <v>11</v>
      </c>
      <c r="W17" s="1573">
        <f>J17</f>
        <v>100</v>
      </c>
      <c r="X17" s="1566"/>
      <c r="Y17" s="3371"/>
      <c r="Z17" s="1574" t="str">
        <f>Q17</f>
        <v>交通便捷度</v>
      </c>
      <c r="AA17" s="1575">
        <f t="shared" si="3"/>
        <v>1</v>
      </c>
      <c r="AB17" s="1575">
        <f t="shared" si="4"/>
        <v>0.98039215686274506</v>
      </c>
      <c r="AC17" s="1575">
        <f t="shared" si="5"/>
        <v>1</v>
      </c>
    </row>
    <row r="18" spans="1:29" ht="15">
      <c r="A18" s="532"/>
      <c r="B18" s="595"/>
      <c r="C18" s="873" t="s">
        <v>3114</v>
      </c>
      <c r="D18" s="559"/>
      <c r="E18" s="568" t="s">
        <v>3114</v>
      </c>
      <c r="F18" s="563"/>
      <c r="G18" s="569" t="s">
        <v>3043</v>
      </c>
      <c r="H18" s="555"/>
      <c r="I18" s="568" t="s">
        <v>3114</v>
      </c>
      <c r="J18" s="555"/>
      <c r="K18" s="870"/>
      <c r="L18" s="2142"/>
      <c r="M18" s="2134"/>
      <c r="N18" s="2134"/>
      <c r="O18" s="2141"/>
      <c r="P18" s="3371"/>
      <c r="Q18" s="1571"/>
      <c r="R18" s="1572"/>
      <c r="S18" s="1573"/>
      <c r="T18" s="1572"/>
      <c r="U18" s="1573"/>
      <c r="V18" s="1572"/>
      <c r="W18" s="1573"/>
      <c r="X18" s="1566"/>
      <c r="Y18" s="3371"/>
      <c r="Z18" s="1574"/>
      <c r="AA18" s="1575">
        <v>1</v>
      </c>
      <c r="AB18" s="1575">
        <v>1</v>
      </c>
      <c r="AC18" s="1575">
        <v>1</v>
      </c>
    </row>
    <row r="19" spans="1:29" ht="42.75">
      <c r="A19" s="532"/>
      <c r="B19" s="2624" t="s">
        <v>2549</v>
      </c>
      <c r="C19" s="872" t="str">
        <f>估价对象房地状况!C7</f>
        <v>估价对象所在区域公共配套设施齐备情况一般</v>
      </c>
      <c r="D19" s="565">
        <v>100</v>
      </c>
      <c r="E19" s="3173" t="s">
        <v>3151</v>
      </c>
      <c r="F19" s="571">
        <f>SUMIF(80:80,E20,81:81)-SUMIF(80:80,C20,81:81)+100</f>
        <v>101</v>
      </c>
      <c r="G19" s="3173" t="s">
        <v>3151</v>
      </c>
      <c r="H19" s="559">
        <f>SUMIF(80:80,G20,81:81)-SUMIF(80:80,C20,81:81)+100</f>
        <v>101</v>
      </c>
      <c r="I19" s="570" t="s">
        <v>3038</v>
      </c>
      <c r="J19" s="559">
        <f>SUMIF(80:80,I20,81:81)-SUMIF(80:80,C20,81:81)+100</f>
        <v>100</v>
      </c>
      <c r="K19" s="868">
        <f>'比较法-住宅、综合'!K23</f>
        <v>1</v>
      </c>
      <c r="L19" s="2142"/>
      <c r="M19" s="2134"/>
      <c r="N19" s="2134"/>
      <c r="O19" s="2141"/>
      <c r="P19" s="3371"/>
      <c r="Q19" s="1571" t="str">
        <f>B19</f>
        <v>公共配套设施</v>
      </c>
      <c r="R19" s="1572" t="s">
        <v>11</v>
      </c>
      <c r="S19" s="1573">
        <f>F19</f>
        <v>101</v>
      </c>
      <c r="T19" s="1572" t="s">
        <v>11</v>
      </c>
      <c r="U19" s="1573">
        <f>H19</f>
        <v>101</v>
      </c>
      <c r="V19" s="1572" t="s">
        <v>11</v>
      </c>
      <c r="W19" s="1573">
        <f>J19</f>
        <v>100</v>
      </c>
      <c r="X19" s="1566"/>
      <c r="Y19" s="3371"/>
      <c r="Z19" s="1574" t="str">
        <f>Q19</f>
        <v>公共配套设施</v>
      </c>
      <c r="AA19" s="1575">
        <f t="shared" si="3"/>
        <v>0.99009900990099009</v>
      </c>
      <c r="AB19" s="1575">
        <f t="shared" si="4"/>
        <v>0.99009900990099009</v>
      </c>
      <c r="AC19" s="1575">
        <f t="shared" si="5"/>
        <v>1</v>
      </c>
    </row>
    <row r="20" spans="1:29" ht="15">
      <c r="A20" s="532"/>
      <c r="B20" s="595"/>
      <c r="C20" s="576" t="s">
        <v>3043</v>
      </c>
      <c r="D20" s="555"/>
      <c r="E20" s="576" t="s">
        <v>3044</v>
      </c>
      <c r="F20" s="557"/>
      <c r="G20" s="576" t="s">
        <v>3044</v>
      </c>
      <c r="H20" s="555"/>
      <c r="I20" s="556" t="s">
        <v>3043</v>
      </c>
      <c r="J20" s="555"/>
      <c r="K20" s="870"/>
      <c r="L20" s="2142"/>
      <c r="M20" s="2134"/>
      <c r="N20" s="2134"/>
      <c r="O20" s="2141"/>
      <c r="P20" s="3371"/>
      <c r="Q20" s="1571"/>
      <c r="R20" s="1572"/>
      <c r="S20" s="1573"/>
      <c r="T20" s="1572"/>
      <c r="U20" s="1573"/>
      <c r="V20" s="1572"/>
      <c r="W20" s="1573"/>
      <c r="X20" s="1566"/>
      <c r="Y20" s="3371"/>
      <c r="Z20" s="1574"/>
      <c r="AA20" s="1575">
        <v>1</v>
      </c>
      <c r="AB20" s="1575">
        <v>1</v>
      </c>
      <c r="AC20" s="1575">
        <v>1</v>
      </c>
    </row>
    <row r="21" spans="1:29" ht="28.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68">
        <f>'比较法-住宅、综合'!K31</f>
        <v>1</v>
      </c>
      <c r="L21" s="2142"/>
      <c r="M21" s="2134"/>
      <c r="N21" s="2134"/>
      <c r="O21" s="2141"/>
      <c r="P21" s="3371"/>
      <c r="Q21" s="2603" t="str">
        <f>B21</f>
        <v>基础设施水平</v>
      </c>
      <c r="R21" s="1572" t="s">
        <v>11</v>
      </c>
      <c r="S21" s="1573">
        <f>F21</f>
        <v>100</v>
      </c>
      <c r="T21" s="1572" t="s">
        <v>11</v>
      </c>
      <c r="U21" s="1573">
        <f>H21</f>
        <v>100</v>
      </c>
      <c r="V21" s="1572" t="s">
        <v>11</v>
      </c>
      <c r="W21" s="1573">
        <f>J21</f>
        <v>100</v>
      </c>
      <c r="X21" s="2605"/>
      <c r="Y21" s="3371"/>
      <c r="Z21" s="2604" t="str">
        <f>Q21</f>
        <v>基础设施水平</v>
      </c>
      <c r="AA21" s="1575">
        <f t="shared" ref="AA21" si="8">D21/F21</f>
        <v>1</v>
      </c>
      <c r="AB21" s="1575">
        <f t="shared" ref="AB21" si="9">D21/H21</f>
        <v>1</v>
      </c>
      <c r="AC21" s="1575">
        <f t="shared" ref="AC21" si="10">D21/J21</f>
        <v>1</v>
      </c>
    </row>
    <row r="22" spans="1:29" ht="15">
      <c r="A22" s="532"/>
      <c r="B22" s="921"/>
      <c r="C22" s="873" t="s">
        <v>3045</v>
      </c>
      <c r="D22" s="555"/>
      <c r="E22" s="873" t="s">
        <v>3045</v>
      </c>
      <c r="F22" s="557"/>
      <c r="G22" s="873" t="s">
        <v>3045</v>
      </c>
      <c r="H22" s="555"/>
      <c r="I22" s="873" t="s">
        <v>3045</v>
      </c>
      <c r="J22" s="555"/>
      <c r="K22" s="2623"/>
      <c r="L22" s="2142"/>
      <c r="M22" s="2134"/>
      <c r="N22" s="2134"/>
      <c r="O22" s="2141"/>
      <c r="P22" s="3371"/>
      <c r="Q22" s="2603"/>
      <c r="R22" s="1572"/>
      <c r="S22" s="1573"/>
      <c r="T22" s="1572"/>
      <c r="U22" s="1573"/>
      <c r="V22" s="1572"/>
      <c r="W22" s="1573"/>
      <c r="X22" s="2605"/>
      <c r="Y22" s="3371"/>
      <c r="Z22" s="2604"/>
      <c r="AA22" s="1575">
        <v>1</v>
      </c>
      <c r="AB22" s="1575">
        <v>1</v>
      </c>
      <c r="AC22" s="1575">
        <v>1</v>
      </c>
    </row>
    <row r="23" spans="1:29" ht="46.5" customHeight="1">
      <c r="A23" s="532"/>
      <c r="B23" s="871" t="s">
        <v>296</v>
      </c>
      <c r="C23" s="872" t="str">
        <f>估价对象房地状况!C9</f>
        <v>周边2公里内有长沙医学院、观音岩水库，区域自然环境较好</v>
      </c>
      <c r="D23" s="559">
        <v>100</v>
      </c>
      <c r="E23" s="564" t="s">
        <v>3081</v>
      </c>
      <c r="F23" s="563">
        <f>SUMIF(84:84,E24,85:85)-SUMIF(84:84,C24,85:85)+100</f>
        <v>100</v>
      </c>
      <c r="G23" s="564" t="s">
        <v>3081</v>
      </c>
      <c r="H23" s="559">
        <f>SUMIF(84:84,G24,85:85)-SUMIF(84:84,C24,85:85)+100</f>
        <v>100</v>
      </c>
      <c r="I23" s="564" t="s">
        <v>3128</v>
      </c>
      <c r="J23" s="559">
        <f>SUMIF(84:84,I24,85:85)-SUMIF(84:84,C24,85:85)+100</f>
        <v>95</v>
      </c>
      <c r="K23" s="868">
        <f>'比较法-住宅、综合'!K27</f>
        <v>5</v>
      </c>
      <c r="L23" s="2142"/>
      <c r="M23" s="2134"/>
      <c r="N23" s="2134"/>
      <c r="O23" s="2141"/>
      <c r="P23" s="3371"/>
      <c r="Q23" s="1571" t="str">
        <f>B23</f>
        <v>自然及人文环境</v>
      </c>
      <c r="R23" s="1572" t="s">
        <v>11</v>
      </c>
      <c r="S23" s="1573">
        <f>F23</f>
        <v>100</v>
      </c>
      <c r="T23" s="1572" t="s">
        <v>11</v>
      </c>
      <c r="U23" s="1573">
        <f>H23</f>
        <v>100</v>
      </c>
      <c r="V23" s="1572" t="s">
        <v>11</v>
      </c>
      <c r="W23" s="1573">
        <f>J23</f>
        <v>95</v>
      </c>
      <c r="X23" s="1566"/>
      <c r="Y23" s="3371"/>
      <c r="Z23" s="1574" t="str">
        <f>Q23</f>
        <v>自然及人文环境</v>
      </c>
      <c r="AA23" s="1575">
        <f t="shared" si="3"/>
        <v>1</v>
      </c>
      <c r="AB23" s="1575">
        <f t="shared" si="4"/>
        <v>1</v>
      </c>
      <c r="AC23" s="1575">
        <f t="shared" si="5"/>
        <v>1.0526315789473684</v>
      </c>
    </row>
    <row r="24" spans="1:29" ht="15">
      <c r="A24" s="532"/>
      <c r="B24" s="595"/>
      <c r="C24" s="576" t="s">
        <v>3044</v>
      </c>
      <c r="D24" s="555"/>
      <c r="E24" s="576" t="s">
        <v>3044</v>
      </c>
      <c r="F24" s="557"/>
      <c r="G24" s="576" t="s">
        <v>3044</v>
      </c>
      <c r="H24" s="555"/>
      <c r="I24" s="556" t="s">
        <v>3043</v>
      </c>
      <c r="J24" s="555"/>
      <c r="K24" s="870"/>
      <c r="L24" s="2142"/>
      <c r="M24" s="2134"/>
      <c r="N24" s="2134"/>
      <c r="O24" s="2141"/>
      <c r="P24" s="3371"/>
      <c r="Q24" s="1571"/>
      <c r="R24" s="1572"/>
      <c r="S24" s="1573"/>
      <c r="T24" s="1572"/>
      <c r="U24" s="1573"/>
      <c r="V24" s="1572"/>
      <c r="W24" s="1573"/>
      <c r="X24" s="1566"/>
      <c r="Y24" s="3371"/>
      <c r="Z24" s="1574"/>
      <c r="AA24" s="1575">
        <v>1</v>
      </c>
      <c r="AB24" s="1575">
        <v>1</v>
      </c>
      <c r="AC24" s="1575">
        <v>1</v>
      </c>
    </row>
    <row r="25" spans="1:29" ht="15">
      <c r="A25" s="532"/>
      <c r="B25" s="1895" t="s">
        <v>2257</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371"/>
      <c r="Q25" s="1571" t="str">
        <f t="shared" ref="Q25:Q46" si="11">B25</f>
        <v>楼层-1</v>
      </c>
      <c r="R25" s="1572" t="s">
        <v>11</v>
      </c>
      <c r="S25" s="1573">
        <f>F25</f>
        <v>100</v>
      </c>
      <c r="T25" s="1572" t="s">
        <v>11</v>
      </c>
      <c r="U25" s="1573">
        <f>H25</f>
        <v>100</v>
      </c>
      <c r="V25" s="1572" t="s">
        <v>11</v>
      </c>
      <c r="W25" s="1573">
        <f>J25</f>
        <v>100</v>
      </c>
      <c r="X25" s="1566"/>
      <c r="Y25" s="3371"/>
      <c r="Z25" s="1574" t="str">
        <f>Q25</f>
        <v>楼层-1</v>
      </c>
      <c r="AA25" s="1575">
        <f t="shared" si="3"/>
        <v>1</v>
      </c>
      <c r="AB25" s="1575">
        <f t="shared" si="4"/>
        <v>1</v>
      </c>
      <c r="AC25" s="1575">
        <f t="shared" si="5"/>
        <v>1</v>
      </c>
    </row>
    <row r="26" spans="1:29" ht="15">
      <c r="A26" s="532"/>
      <c r="B26" s="529"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371"/>
      <c r="Q26" s="1571" t="str">
        <f t="shared" si="11"/>
        <v>朝向</v>
      </c>
      <c r="R26" s="1572" t="s">
        <v>11</v>
      </c>
      <c r="S26" s="1573">
        <f>F26</f>
        <v>100</v>
      </c>
      <c r="T26" s="1572" t="s">
        <v>11</v>
      </c>
      <c r="U26" s="1573">
        <f>H26</f>
        <v>100</v>
      </c>
      <c r="V26" s="1572" t="s">
        <v>11</v>
      </c>
      <c r="W26" s="1573">
        <f>J26</f>
        <v>100</v>
      </c>
      <c r="X26" s="1566"/>
      <c r="Y26" s="3371"/>
      <c r="Z26" s="1574" t="str">
        <f>Q26</f>
        <v>朝向</v>
      </c>
      <c r="AA26" s="1575">
        <f t="shared" si="3"/>
        <v>1</v>
      </c>
      <c r="AB26" s="1575">
        <f t="shared" si="4"/>
        <v>1</v>
      </c>
      <c r="AC26" s="1575">
        <f t="shared" si="5"/>
        <v>1</v>
      </c>
    </row>
    <row r="27" spans="1:29" s="1219" customFormat="1" ht="15">
      <c r="A27" s="536"/>
      <c r="B27" s="537" t="s">
        <v>724</v>
      </c>
      <c r="C27" s="530" t="str">
        <f>'比较法-住宅、综合'!C35</f>
        <v>快速路</v>
      </c>
      <c r="D27" s="875">
        <v>100</v>
      </c>
      <c r="E27" s="530" t="s">
        <v>3123</v>
      </c>
      <c r="F27" s="876">
        <f>SUMIF(90:90,E27,91:91)-SUMIF(90:90,C27,91:91)+100</f>
        <v>99</v>
      </c>
      <c r="G27" s="530" t="str">
        <f>'比较法-住宅、综合'!G35</f>
        <v>快速路</v>
      </c>
      <c r="H27" s="875">
        <f>SUMIF(90:90,G27,91:91)-SUMIF(90:90,C27,91:91)+100</f>
        <v>100</v>
      </c>
      <c r="I27" s="3186" t="s">
        <v>3130</v>
      </c>
      <c r="J27" s="875">
        <f>SUMIF(90:90,I27,91:91)-SUMIF(90:90,C27,91:91)+100</f>
        <v>97</v>
      </c>
      <c r="K27" s="865"/>
      <c r="L27" s="2135"/>
      <c r="M27" s="2136"/>
      <c r="N27" s="2136"/>
      <c r="O27" s="2137"/>
      <c r="P27" s="3371"/>
      <c r="Q27" s="1150" t="str">
        <f t="shared" si="11"/>
        <v>道路级别</v>
      </c>
      <c r="R27" s="1567" t="s">
        <v>11</v>
      </c>
      <c r="S27" s="1568">
        <f>F27</f>
        <v>99</v>
      </c>
      <c r="T27" s="1567" t="s">
        <v>11</v>
      </c>
      <c r="U27" s="1568">
        <f>H27</f>
        <v>100</v>
      </c>
      <c r="V27" s="1567" t="s">
        <v>11</v>
      </c>
      <c r="W27" s="1568">
        <f>J27</f>
        <v>97</v>
      </c>
      <c r="X27" s="1569"/>
      <c r="Y27" s="3371"/>
      <c r="Z27" s="1149" t="str">
        <f>Q27</f>
        <v>道路级别</v>
      </c>
      <c r="AA27" s="1575">
        <f>D27/F27</f>
        <v>1.0101010101010102</v>
      </c>
      <c r="AB27" s="1575">
        <f>D27/H27</f>
        <v>1</v>
      </c>
      <c r="AC27" s="1575">
        <f>D27/J27</f>
        <v>1.0309278350515463</v>
      </c>
    </row>
    <row r="28" spans="1:29" ht="15">
      <c r="A28" s="532"/>
      <c r="B28" s="877"/>
      <c r="C28" s="539"/>
      <c r="D28" s="540">
        <v>100</v>
      </c>
      <c r="E28" s="3185" t="s">
        <v>3124</v>
      </c>
      <c r="F28" s="575">
        <f>SUMIF(92:92,E28,93:93)-SUMIF(92:92,C28,93:93)+100</f>
        <v>100</v>
      </c>
      <c r="G28" s="539"/>
      <c r="H28" s="540">
        <f>SUMIF(92:92,G28,93:93)-SUMIF(92:92,C28,93:93)+100</f>
        <v>100</v>
      </c>
      <c r="I28" s="3185" t="s">
        <v>3129</v>
      </c>
      <c r="J28" s="540">
        <f>SUMIF(92:92,I28,93:93)-SUMIF(92:92,C28,93:93)+100</f>
        <v>100</v>
      </c>
      <c r="K28" s="865"/>
      <c r="L28" s="2142"/>
      <c r="M28" s="2134"/>
      <c r="N28" s="2134"/>
      <c r="O28" s="2141"/>
      <c r="P28" s="3371"/>
      <c r="Q28" s="1571">
        <f t="shared" si="11"/>
        <v>0</v>
      </c>
      <c r="R28" s="1572" t="s">
        <v>11</v>
      </c>
      <c r="S28" s="1573">
        <f t="shared" ref="S28:S46" si="12">F28</f>
        <v>100</v>
      </c>
      <c r="T28" s="1572" t="s">
        <v>11</v>
      </c>
      <c r="U28" s="1573">
        <f t="shared" ref="U28:U46" si="13">H28</f>
        <v>100</v>
      </c>
      <c r="V28" s="1572" t="s">
        <v>11</v>
      </c>
      <c r="W28" s="1573">
        <f t="shared" ref="W28:W46" si="14">J28</f>
        <v>100</v>
      </c>
      <c r="X28" s="1566"/>
      <c r="Y28" s="3371"/>
      <c r="Z28" s="1574">
        <f t="shared" ref="Z28:Z46" si="15">Q28</f>
        <v>0</v>
      </c>
      <c r="AA28" s="1575">
        <f t="shared" si="3"/>
        <v>1</v>
      </c>
      <c r="AB28" s="1575">
        <f t="shared" si="4"/>
        <v>1</v>
      </c>
      <c r="AC28" s="1575">
        <f t="shared" si="5"/>
        <v>1</v>
      </c>
    </row>
    <row r="29" spans="1:29" ht="15">
      <c r="A29" s="532"/>
      <c r="B29" s="877"/>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371"/>
      <c r="Q29" s="1571">
        <f t="shared" si="11"/>
        <v>0</v>
      </c>
      <c r="R29" s="1572" t="s">
        <v>11</v>
      </c>
      <c r="S29" s="1573">
        <f t="shared" si="12"/>
        <v>100</v>
      </c>
      <c r="T29" s="1572" t="s">
        <v>11</v>
      </c>
      <c r="U29" s="1573">
        <f t="shared" si="13"/>
        <v>100</v>
      </c>
      <c r="V29" s="1572" t="s">
        <v>11</v>
      </c>
      <c r="W29" s="1573">
        <f t="shared" si="14"/>
        <v>100</v>
      </c>
      <c r="X29" s="1566"/>
      <c r="Y29" s="3371"/>
      <c r="Z29" s="1574">
        <f t="shared" si="15"/>
        <v>0</v>
      </c>
      <c r="AA29" s="1575">
        <f t="shared" si="3"/>
        <v>1</v>
      </c>
      <c r="AB29" s="1575">
        <f t="shared" si="4"/>
        <v>1</v>
      </c>
      <c r="AC29" s="1575">
        <f t="shared" si="5"/>
        <v>1</v>
      </c>
    </row>
    <row r="30" spans="1:29" ht="15">
      <c r="A30" s="532"/>
      <c r="B30" s="877"/>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371"/>
      <c r="Q30" s="1571">
        <f t="shared" si="11"/>
        <v>0</v>
      </c>
      <c r="R30" s="1572" t="s">
        <v>11</v>
      </c>
      <c r="S30" s="1573">
        <f t="shared" si="12"/>
        <v>100</v>
      </c>
      <c r="T30" s="1572" t="s">
        <v>11</v>
      </c>
      <c r="U30" s="1573">
        <f t="shared" si="13"/>
        <v>100</v>
      </c>
      <c r="V30" s="1572" t="s">
        <v>11</v>
      </c>
      <c r="W30" s="1573">
        <f t="shared" si="14"/>
        <v>100</v>
      </c>
      <c r="X30" s="1566"/>
      <c r="Y30" s="3371"/>
      <c r="Z30" s="1574">
        <f t="shared" si="15"/>
        <v>0</v>
      </c>
      <c r="AA30" s="1575">
        <f t="shared" si="3"/>
        <v>1</v>
      </c>
      <c r="AB30" s="1575">
        <f t="shared" si="4"/>
        <v>1</v>
      </c>
      <c r="AC30" s="1575">
        <f t="shared" si="5"/>
        <v>1</v>
      </c>
    </row>
    <row r="31" spans="1:29" ht="15.75" thickBot="1">
      <c r="A31" s="543"/>
      <c r="B31" s="877"/>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371"/>
      <c r="Q31" s="1571">
        <f t="shared" si="11"/>
        <v>0</v>
      </c>
      <c r="R31" s="1572" t="s">
        <v>11</v>
      </c>
      <c r="S31" s="1573">
        <f t="shared" si="12"/>
        <v>100</v>
      </c>
      <c r="T31" s="1572" t="s">
        <v>11</v>
      </c>
      <c r="U31" s="1573">
        <f t="shared" si="13"/>
        <v>100</v>
      </c>
      <c r="V31" s="1572" t="s">
        <v>11</v>
      </c>
      <c r="W31" s="1573">
        <f t="shared" si="14"/>
        <v>100</v>
      </c>
      <c r="X31" s="1566"/>
      <c r="Y31" s="3371"/>
      <c r="Z31" s="1574">
        <f t="shared" si="15"/>
        <v>0</v>
      </c>
      <c r="AA31" s="1575">
        <f t="shared" si="3"/>
        <v>1</v>
      </c>
      <c r="AB31" s="1575">
        <f t="shared" si="4"/>
        <v>1</v>
      </c>
      <c r="AC31" s="1575">
        <f t="shared" si="5"/>
        <v>1</v>
      </c>
    </row>
    <row r="32" spans="1:29" ht="15">
      <c r="A32" s="2933" t="s">
        <v>2760</v>
      </c>
      <c r="B32" s="172" t="s">
        <v>725</v>
      </c>
      <c r="C32" s="878" t="s">
        <v>3048</v>
      </c>
      <c r="D32" s="597">
        <v>100</v>
      </c>
      <c r="E32" s="878" t="s">
        <v>3048</v>
      </c>
      <c r="F32" s="575">
        <f>SUMIF(100:100,E32,101:101)-SUMIF(100:100,C32,101:101)+100</f>
        <v>100</v>
      </c>
      <c r="G32" s="878" t="s">
        <v>3048</v>
      </c>
      <c r="H32" s="597">
        <f>SUMIF(100:100,G32,101:101)-SUMIF(100:100,C32,101:101)+100</f>
        <v>100</v>
      </c>
      <c r="I32" s="878" t="s">
        <v>3048</v>
      </c>
      <c r="J32" s="540">
        <f>SUMIF(100:100,I32,101:101)-SUMIF(100:100,C32,101:101)+100</f>
        <v>100</v>
      </c>
      <c r="K32" s="864">
        <v>5</v>
      </c>
      <c r="L32" s="2142"/>
      <c r="M32" s="2134"/>
      <c r="N32" s="2134"/>
      <c r="O32" s="2141"/>
      <c r="P32" s="3372" t="s">
        <v>550</v>
      </c>
      <c r="Q32" s="1571" t="str">
        <f t="shared" si="11"/>
        <v>建筑类型</v>
      </c>
      <c r="R32" s="1572" t="s">
        <v>11</v>
      </c>
      <c r="S32" s="1573">
        <f t="shared" si="12"/>
        <v>100</v>
      </c>
      <c r="T32" s="1572" t="s">
        <v>11</v>
      </c>
      <c r="U32" s="1573">
        <f t="shared" si="13"/>
        <v>100</v>
      </c>
      <c r="V32" s="1572" t="s">
        <v>11</v>
      </c>
      <c r="W32" s="1573">
        <f t="shared" si="14"/>
        <v>100</v>
      </c>
      <c r="X32" s="1566"/>
      <c r="Y32" s="3373" t="s">
        <v>550</v>
      </c>
      <c r="Z32" s="1574" t="str">
        <f t="shared" si="15"/>
        <v>建筑类型</v>
      </c>
      <c r="AA32" s="1575">
        <f t="shared" si="3"/>
        <v>1</v>
      </c>
      <c r="AB32" s="1575">
        <f t="shared" si="4"/>
        <v>1</v>
      </c>
      <c r="AC32" s="1575">
        <f t="shared" si="5"/>
        <v>1</v>
      </c>
    </row>
    <row r="33" spans="1:29" s="1338" customFormat="1" ht="15">
      <c r="A33" s="603"/>
      <c r="B33" s="529" t="s">
        <v>726</v>
      </c>
      <c r="C33" s="879"/>
      <c r="D33" s="254">
        <v>100</v>
      </c>
      <c r="E33" s="879"/>
      <c r="F33" s="863">
        <f>LOOKUP(E33,103:103,104:104)-LOOKUP(C33,103:103,104:104)+100</f>
        <v>100</v>
      </c>
      <c r="G33" s="879"/>
      <c r="H33" s="254">
        <f>LOOKUP(G33,103:103,104:104)-LOOKUP(C33,103:103,104:104)+100</f>
        <v>100</v>
      </c>
      <c r="I33" s="879"/>
      <c r="J33" s="254">
        <f>LOOKUP(I33,103:103,104:104)-LOOKUP(C33,103:103,104:104)+100</f>
        <v>100</v>
      </c>
      <c r="K33" s="865"/>
      <c r="L33" s="2140"/>
      <c r="M33" s="2171"/>
      <c r="N33" s="2171"/>
      <c r="O33" s="2143"/>
      <c r="P33" s="3373"/>
      <c r="Q33" s="1604" t="str">
        <f t="shared" si="11"/>
        <v>项目建筑规模</v>
      </c>
      <c r="R33" s="1576" t="s">
        <v>11</v>
      </c>
      <c r="S33" s="1577">
        <f t="shared" si="12"/>
        <v>100</v>
      </c>
      <c r="T33" s="1576" t="s">
        <v>11</v>
      </c>
      <c r="U33" s="1577">
        <f t="shared" si="13"/>
        <v>100</v>
      </c>
      <c r="V33" s="1576" t="s">
        <v>11</v>
      </c>
      <c r="W33" s="1577">
        <f t="shared" si="14"/>
        <v>100</v>
      </c>
      <c r="X33" s="1578"/>
      <c r="Y33" s="3373"/>
      <c r="Z33" s="1579" t="str">
        <f t="shared" si="15"/>
        <v>项目建筑规模</v>
      </c>
      <c r="AA33" s="1575">
        <f t="shared" si="3"/>
        <v>1</v>
      </c>
      <c r="AB33" s="1575">
        <f t="shared" si="4"/>
        <v>1</v>
      </c>
      <c r="AC33" s="1575">
        <f t="shared" si="5"/>
        <v>1</v>
      </c>
    </row>
    <row r="34" spans="1:29" ht="15">
      <c r="A34" s="594"/>
      <c r="B34" s="529" t="s">
        <v>727</v>
      </c>
      <c r="C34" s="880" t="s">
        <v>3009</v>
      </c>
      <c r="D34" s="540">
        <v>100</v>
      </c>
      <c r="E34" s="880" t="s">
        <v>3009</v>
      </c>
      <c r="F34" s="575">
        <f>SUMIF(105:105,E34,106:106)-SUMIF(105:105,C34,106:106)+100</f>
        <v>100</v>
      </c>
      <c r="G34" s="880" t="s">
        <v>3009</v>
      </c>
      <c r="H34" s="540">
        <f>SUMIF(105:105,G34,106:106)-SUMIF(105:105,C34,106:106)+100</f>
        <v>100</v>
      </c>
      <c r="I34" s="881" t="s">
        <v>3009</v>
      </c>
      <c r="J34" s="540">
        <f>SUMIF(105:105,I34,106:106)-SUMIF(105:105,C34,106:106)+100</f>
        <v>100</v>
      </c>
      <c r="K34" s="864">
        <v>1</v>
      </c>
      <c r="L34" s="2142"/>
      <c r="M34" s="2134"/>
      <c r="N34" s="2134"/>
      <c r="O34" s="2141"/>
      <c r="P34" s="3373"/>
      <c r="Q34" s="1571" t="str">
        <f t="shared" si="11"/>
        <v>建筑结构</v>
      </c>
      <c r="R34" s="1572" t="s">
        <v>11</v>
      </c>
      <c r="S34" s="1573">
        <f t="shared" si="12"/>
        <v>100</v>
      </c>
      <c r="T34" s="1572" t="s">
        <v>11</v>
      </c>
      <c r="U34" s="1573">
        <f t="shared" si="13"/>
        <v>100</v>
      </c>
      <c r="V34" s="1572" t="s">
        <v>11</v>
      </c>
      <c r="W34" s="1573">
        <f t="shared" si="14"/>
        <v>100</v>
      </c>
      <c r="X34" s="1566"/>
      <c r="Y34" s="3373"/>
      <c r="Z34" s="1574" t="str">
        <f t="shared" si="15"/>
        <v>建筑结构</v>
      </c>
      <c r="AA34" s="1575">
        <f t="shared" si="3"/>
        <v>1</v>
      </c>
      <c r="AB34" s="1575">
        <f t="shared" si="4"/>
        <v>1</v>
      </c>
      <c r="AC34" s="1575">
        <f t="shared" si="5"/>
        <v>1</v>
      </c>
    </row>
    <row r="35" spans="1:29" ht="15">
      <c r="A35" s="594"/>
      <c r="B35" s="529"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2"/>
      <c r="M35" s="2134"/>
      <c r="N35" s="2134"/>
      <c r="O35" s="2141"/>
      <c r="P35" s="3373"/>
      <c r="Q35" s="1571" t="str">
        <f t="shared" si="11"/>
        <v>建筑品质</v>
      </c>
      <c r="R35" s="1572" t="s">
        <v>11</v>
      </c>
      <c r="S35" s="1573">
        <f t="shared" si="12"/>
        <v>100</v>
      </c>
      <c r="T35" s="1572" t="s">
        <v>11</v>
      </c>
      <c r="U35" s="1573">
        <f t="shared" si="13"/>
        <v>100</v>
      </c>
      <c r="V35" s="1572" t="s">
        <v>11</v>
      </c>
      <c r="W35" s="1573">
        <f t="shared" si="14"/>
        <v>100</v>
      </c>
      <c r="X35" s="1566"/>
      <c r="Y35" s="3373"/>
      <c r="Z35" s="1574" t="str">
        <f t="shared" si="15"/>
        <v>建筑品质</v>
      </c>
      <c r="AA35" s="1575">
        <f t="shared" si="3"/>
        <v>1</v>
      </c>
      <c r="AB35" s="1575">
        <f t="shared" si="4"/>
        <v>1</v>
      </c>
      <c r="AC35" s="1575">
        <f t="shared" si="5"/>
        <v>1</v>
      </c>
    </row>
    <row r="36" spans="1:29" ht="15">
      <c r="A36" s="594"/>
      <c r="B36" s="529" t="s">
        <v>729</v>
      </c>
      <c r="C36" s="599" t="s">
        <v>3059</v>
      </c>
      <c r="D36" s="540">
        <v>100</v>
      </c>
      <c r="E36" s="599" t="s">
        <v>3059</v>
      </c>
      <c r="F36" s="575">
        <f>SUMIF(109:109,E36,110:110)-SUMIF(109:109,C36,110:110)+100</f>
        <v>100</v>
      </c>
      <c r="G36" s="599" t="s">
        <v>3059</v>
      </c>
      <c r="H36" s="540">
        <f>SUMIF(109:109,G36,110:110)-SUMIF(109:109,C36,110:110)+100</f>
        <v>100</v>
      </c>
      <c r="I36" s="599" t="s">
        <v>3059</v>
      </c>
      <c r="J36" s="540">
        <f>SUMIF(109:109,I36,110:110)-SUMIF(109:109,C36,110:110)+100</f>
        <v>100</v>
      </c>
      <c r="K36" s="864">
        <v>3</v>
      </c>
      <c r="L36" s="2142"/>
      <c r="M36" s="2134"/>
      <c r="N36" s="2134"/>
      <c r="O36" s="2141"/>
      <c r="P36" s="3373"/>
      <c r="Q36" s="1571" t="str">
        <f t="shared" si="11"/>
        <v>公共部分装修</v>
      </c>
      <c r="R36" s="1572" t="s">
        <v>11</v>
      </c>
      <c r="S36" s="1573">
        <f t="shared" si="12"/>
        <v>100</v>
      </c>
      <c r="T36" s="1572" t="s">
        <v>11</v>
      </c>
      <c r="U36" s="1573">
        <f t="shared" si="13"/>
        <v>100</v>
      </c>
      <c r="V36" s="1572" t="s">
        <v>11</v>
      </c>
      <c r="W36" s="1573">
        <f t="shared" si="14"/>
        <v>100</v>
      </c>
      <c r="X36" s="1566"/>
      <c r="Y36" s="3373"/>
      <c r="Z36" s="1574" t="str">
        <f t="shared" si="15"/>
        <v>公共部分装修</v>
      </c>
      <c r="AA36" s="1575">
        <f t="shared" si="3"/>
        <v>1</v>
      </c>
      <c r="AB36" s="1575">
        <f t="shared" si="4"/>
        <v>1</v>
      </c>
      <c r="AC36" s="1575">
        <f t="shared" si="5"/>
        <v>1</v>
      </c>
    </row>
    <row r="37" spans="1:29" s="1219" customFormat="1" ht="15">
      <c r="A37" s="600"/>
      <c r="B37" s="1895" t="s">
        <v>3074</v>
      </c>
      <c r="C37" s="882">
        <v>1</v>
      </c>
      <c r="D37" s="254">
        <v>100</v>
      </c>
      <c r="E37" s="3053">
        <f>ROUND(1-(1-0%)*(2017-2016)/60,2)</f>
        <v>0.98</v>
      </c>
      <c r="F37" s="863">
        <f>LOOKUP(E37,112:112,113:113)-LOOKUP(C37,112:112,113:113)+100</f>
        <v>100</v>
      </c>
      <c r="G37" s="3053">
        <f>ROUND(1-(1-0%)*(2017-2013)/60,2)</f>
        <v>0.93</v>
      </c>
      <c r="H37" s="254">
        <f>LOOKUP(G37,112:112,113:113)-LOOKUP(C37,112:112,113:113)+100</f>
        <v>100</v>
      </c>
      <c r="I37" s="3053">
        <v>1</v>
      </c>
      <c r="J37" s="254">
        <f>LOOKUP(I37,112:112,113:113)-LOOKUP(C37,112:112,113:113)+100</f>
        <v>100</v>
      </c>
      <c r="K37" s="864">
        <v>2</v>
      </c>
      <c r="L37" s="2135"/>
      <c r="M37" s="2136"/>
      <c r="N37" s="2136"/>
      <c r="O37" s="2137"/>
      <c r="P37" s="3373"/>
      <c r="Q37" s="1150" t="str">
        <f t="shared" si="11"/>
        <v>成新度</v>
      </c>
      <c r="R37" s="1567" t="s">
        <v>11</v>
      </c>
      <c r="S37" s="1568">
        <f t="shared" si="12"/>
        <v>100</v>
      </c>
      <c r="T37" s="1567" t="s">
        <v>11</v>
      </c>
      <c r="U37" s="1568">
        <f t="shared" si="13"/>
        <v>100</v>
      </c>
      <c r="V37" s="1567" t="s">
        <v>11</v>
      </c>
      <c r="W37" s="1568">
        <f t="shared" si="14"/>
        <v>100</v>
      </c>
      <c r="X37" s="1569"/>
      <c r="Y37" s="3373"/>
      <c r="Z37" s="1149" t="str">
        <f t="shared" si="15"/>
        <v>成新度</v>
      </c>
      <c r="AA37" s="1570">
        <f t="shared" si="3"/>
        <v>1</v>
      </c>
      <c r="AB37" s="1570">
        <f t="shared" si="4"/>
        <v>1</v>
      </c>
      <c r="AC37" s="1570">
        <f t="shared" si="5"/>
        <v>1</v>
      </c>
    </row>
    <row r="38" spans="1:29" ht="15">
      <c r="A38" s="594"/>
      <c r="B38" s="529" t="s">
        <v>730</v>
      </c>
      <c r="C38" s="599" t="s">
        <v>3069</v>
      </c>
      <c r="D38" s="540">
        <v>100</v>
      </c>
      <c r="E38" s="599" t="s">
        <v>3069</v>
      </c>
      <c r="F38" s="575">
        <f>SUMIF(114:114,E38,115:115)-SUMIF(114:114,C38,115:115)+100</f>
        <v>100</v>
      </c>
      <c r="G38" s="599" t="s">
        <v>3069</v>
      </c>
      <c r="H38" s="540">
        <f>SUMIF(114:114,G38,115:115)-SUMIF(114:114,C38,115:115)+100</f>
        <v>100</v>
      </c>
      <c r="I38" s="599" t="s">
        <v>3069</v>
      </c>
      <c r="J38" s="540">
        <f>SUMIF(114:114,I38,115:115)-SUMIF(114:114,C38,115:115)+100</f>
        <v>100</v>
      </c>
      <c r="K38" s="864">
        <v>2</v>
      </c>
      <c r="L38" s="2142"/>
      <c r="M38" s="2134"/>
      <c r="N38" s="2134"/>
      <c r="O38" s="2141"/>
      <c r="P38" s="3373" t="s">
        <v>550</v>
      </c>
      <c r="Q38" s="1571" t="str">
        <f t="shared" si="11"/>
        <v>物业管理</v>
      </c>
      <c r="R38" s="1572" t="s">
        <v>11</v>
      </c>
      <c r="S38" s="1573">
        <f t="shared" si="12"/>
        <v>100</v>
      </c>
      <c r="T38" s="1572" t="s">
        <v>11</v>
      </c>
      <c r="U38" s="1573">
        <f t="shared" si="13"/>
        <v>100</v>
      </c>
      <c r="V38" s="1572" t="s">
        <v>11</v>
      </c>
      <c r="W38" s="1573">
        <f t="shared" si="14"/>
        <v>100</v>
      </c>
      <c r="X38" s="1566"/>
      <c r="Y38" s="3373" t="s">
        <v>550</v>
      </c>
      <c r="Z38" s="1574" t="str">
        <f t="shared" si="15"/>
        <v>物业管理</v>
      </c>
      <c r="AA38" s="1575">
        <f t="shared" si="3"/>
        <v>1</v>
      </c>
      <c r="AB38" s="1575">
        <f t="shared" si="4"/>
        <v>1</v>
      </c>
      <c r="AC38" s="1575">
        <f t="shared" si="5"/>
        <v>1</v>
      </c>
    </row>
    <row r="39" spans="1:29" ht="15">
      <c r="A39" s="594"/>
      <c r="B39" s="1895" t="s">
        <v>2567</v>
      </c>
      <c r="C39" s="599" t="s">
        <v>3045</v>
      </c>
      <c r="D39" s="540">
        <v>100</v>
      </c>
      <c r="E39" s="599" t="s">
        <v>3045</v>
      </c>
      <c r="F39" s="575">
        <f>SUMIF(116:116,E39,117:117)-SUMIF(116:116,C39,117:117)+100</f>
        <v>100</v>
      </c>
      <c r="G39" s="599" t="s">
        <v>3045</v>
      </c>
      <c r="H39" s="540">
        <f>SUMIF(116:116,G39,117:117)-SUMIF(116:116,C39,117:117)+100</f>
        <v>100</v>
      </c>
      <c r="I39" s="599" t="s">
        <v>3045</v>
      </c>
      <c r="J39" s="540">
        <f>SUMIF(116:116,I39,117:117)-SUMIF(116:116,C39,117:117)+100</f>
        <v>100</v>
      </c>
      <c r="K39" s="864">
        <v>1</v>
      </c>
      <c r="L39" s="2142"/>
      <c r="M39" s="2134"/>
      <c r="N39" s="2134"/>
      <c r="O39" s="2141"/>
      <c r="P39" s="3373"/>
      <c r="Q39" s="1571" t="str">
        <f t="shared" si="11"/>
        <v>市政基础设施</v>
      </c>
      <c r="R39" s="1572" t="s">
        <v>11</v>
      </c>
      <c r="S39" s="1573">
        <f t="shared" si="12"/>
        <v>100</v>
      </c>
      <c r="T39" s="1572" t="s">
        <v>11</v>
      </c>
      <c r="U39" s="1573">
        <f t="shared" si="13"/>
        <v>100</v>
      </c>
      <c r="V39" s="1572" t="s">
        <v>11</v>
      </c>
      <c r="W39" s="1573">
        <f t="shared" si="14"/>
        <v>100</v>
      </c>
      <c r="X39" s="1566"/>
      <c r="Y39" s="3373"/>
      <c r="Z39" s="1574" t="str">
        <f t="shared" si="15"/>
        <v>市政基础设施</v>
      </c>
      <c r="AA39" s="1575">
        <f t="shared" si="3"/>
        <v>1</v>
      </c>
      <c r="AB39" s="1575">
        <f t="shared" si="4"/>
        <v>1</v>
      </c>
      <c r="AC39" s="1575">
        <f t="shared" si="5"/>
        <v>1</v>
      </c>
    </row>
    <row r="40" spans="1:29" ht="15">
      <c r="A40" s="594"/>
      <c r="B40" s="529"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373"/>
      <c r="Q40" s="1571" t="str">
        <f t="shared" si="11"/>
        <v>房型</v>
      </c>
      <c r="R40" s="1572" t="s">
        <v>11</v>
      </c>
      <c r="S40" s="1573">
        <f t="shared" si="12"/>
        <v>100</v>
      </c>
      <c r="T40" s="1572" t="s">
        <v>11</v>
      </c>
      <c r="U40" s="1573">
        <f t="shared" si="13"/>
        <v>100</v>
      </c>
      <c r="V40" s="1572" t="s">
        <v>11</v>
      </c>
      <c r="W40" s="1573">
        <f t="shared" si="14"/>
        <v>100</v>
      </c>
      <c r="X40" s="1566"/>
      <c r="Y40" s="3373"/>
      <c r="Z40" s="1574" t="str">
        <f t="shared" si="15"/>
        <v>房型</v>
      </c>
      <c r="AA40" s="1575">
        <f t="shared" si="3"/>
        <v>1</v>
      </c>
      <c r="AB40" s="1575">
        <f t="shared" si="4"/>
        <v>1</v>
      </c>
      <c r="AC40" s="1575">
        <f t="shared" si="5"/>
        <v>1</v>
      </c>
    </row>
    <row r="41" spans="1:29" s="1338" customFormat="1" ht="28.5">
      <c r="A41" s="603"/>
      <c r="B41" s="529" t="s">
        <v>732</v>
      </c>
      <c r="C41" s="3183"/>
      <c r="D41" s="254">
        <v>100</v>
      </c>
      <c r="E41" s="534"/>
      <c r="F41" s="863">
        <f>SUMIF(120:120,E41,121:121)-SUMIF(120:120,C41,121:121)+100</f>
        <v>100</v>
      </c>
      <c r="G41" s="533"/>
      <c r="H41" s="254">
        <f>SUMIF(120:120,G41,121:121)-SUMIF(120:120,C41,121:121)+100</f>
        <v>100</v>
      </c>
      <c r="I41" s="586"/>
      <c r="J41" s="540">
        <f>SUMIF(120:120,I41,121:121)-SUMIF(120:120,C41,121:121)+100</f>
        <v>100</v>
      </c>
      <c r="K41" s="865"/>
      <c r="L41" s="2140"/>
      <c r="M41" s="2171"/>
      <c r="N41" s="2171"/>
      <c r="O41" s="2143"/>
      <c r="P41" s="3373"/>
      <c r="Q41" s="1604" t="str">
        <f t="shared" si="11"/>
        <v>单套/主力户型建筑面积</v>
      </c>
      <c r="R41" s="1576" t="s">
        <v>11</v>
      </c>
      <c r="S41" s="1577">
        <f t="shared" si="12"/>
        <v>100</v>
      </c>
      <c r="T41" s="1576" t="s">
        <v>11</v>
      </c>
      <c r="U41" s="1577">
        <f t="shared" si="13"/>
        <v>100</v>
      </c>
      <c r="V41" s="1576" t="s">
        <v>11</v>
      </c>
      <c r="W41" s="1577">
        <f t="shared" si="14"/>
        <v>100</v>
      </c>
      <c r="X41" s="1578"/>
      <c r="Y41" s="3373"/>
      <c r="Z41" s="1579" t="str">
        <f t="shared" si="15"/>
        <v>单套/主力户型建筑面积</v>
      </c>
      <c r="AA41" s="1575">
        <f t="shared" si="3"/>
        <v>1</v>
      </c>
      <c r="AB41" s="1575">
        <f t="shared" si="4"/>
        <v>1</v>
      </c>
      <c r="AC41" s="1575">
        <f t="shared" si="5"/>
        <v>1</v>
      </c>
    </row>
    <row r="42" spans="1:29" ht="15">
      <c r="A42" s="594"/>
      <c r="B42" s="529" t="s">
        <v>733</v>
      </c>
      <c r="C42" s="874" t="s">
        <v>3070</v>
      </c>
      <c r="D42" s="540">
        <v>100</v>
      </c>
      <c r="E42" s="874" t="s">
        <v>3125</v>
      </c>
      <c r="F42" s="575">
        <f>SUMIF(122:122,E42,123:123)-SUMIF(122:122,C42,123:123)+100</f>
        <v>104</v>
      </c>
      <c r="G42" s="874" t="s">
        <v>3125</v>
      </c>
      <c r="H42" s="540">
        <f>SUMIF(122:122,G42,123:123)-SUMIF(122:122,C42,123:123)+100</f>
        <v>104</v>
      </c>
      <c r="I42" s="874" t="s">
        <v>3070</v>
      </c>
      <c r="J42" s="540">
        <f>SUMIF(122:122,I42,123:123)-SUMIF(122:122,C42,123:123)+100</f>
        <v>100</v>
      </c>
      <c r="K42" s="864">
        <v>2</v>
      </c>
      <c r="L42" s="2142"/>
      <c r="M42" s="2134"/>
      <c r="N42" s="2134"/>
      <c r="O42" s="2141"/>
      <c r="P42" s="3373"/>
      <c r="Q42" s="1571" t="str">
        <f t="shared" si="11"/>
        <v>内部装修</v>
      </c>
      <c r="R42" s="1572" t="s">
        <v>11</v>
      </c>
      <c r="S42" s="1573">
        <f t="shared" si="12"/>
        <v>104</v>
      </c>
      <c r="T42" s="1572" t="s">
        <v>11</v>
      </c>
      <c r="U42" s="1573">
        <f t="shared" si="13"/>
        <v>104</v>
      </c>
      <c r="V42" s="1572" t="s">
        <v>11</v>
      </c>
      <c r="W42" s="1573">
        <f t="shared" si="14"/>
        <v>100</v>
      </c>
      <c r="X42" s="1566"/>
      <c r="Y42" s="3373"/>
      <c r="Z42" s="1574" t="str">
        <f t="shared" si="15"/>
        <v>内部装修</v>
      </c>
      <c r="AA42" s="1575">
        <f t="shared" si="3"/>
        <v>0.96153846153846156</v>
      </c>
      <c r="AB42" s="1575">
        <f t="shared" si="4"/>
        <v>0.96153846153846156</v>
      </c>
      <c r="AC42" s="1575">
        <f t="shared" si="5"/>
        <v>1</v>
      </c>
    </row>
    <row r="43" spans="1:29" ht="27">
      <c r="A43" s="594"/>
      <c r="B43" s="529" t="s">
        <v>734</v>
      </c>
      <c r="C43" s="599" t="s">
        <v>3044</v>
      </c>
      <c r="D43" s="540">
        <v>100</v>
      </c>
      <c r="E43" s="599" t="s">
        <v>3044</v>
      </c>
      <c r="F43" s="575">
        <f>SUMIF(124:124,E43,125:125)-SUMIF(124:124,C43,125:125)+100</f>
        <v>100</v>
      </c>
      <c r="G43" s="599" t="s">
        <v>3044</v>
      </c>
      <c r="H43" s="540">
        <f>SUMIF(124:124,G43,125:125)-SUMIF(124:124,C43,125:125)+100</f>
        <v>100</v>
      </c>
      <c r="I43" s="599" t="s">
        <v>3044</v>
      </c>
      <c r="J43" s="540">
        <f>SUMIF(124:124,I43,125:125)-SUMIF(124:124,C43,125:125)+100</f>
        <v>100</v>
      </c>
      <c r="K43" s="864">
        <v>2</v>
      </c>
      <c r="L43" s="2142"/>
      <c r="M43" s="2134"/>
      <c r="N43" s="2134"/>
      <c r="O43" s="2141"/>
      <c r="P43" s="3373"/>
      <c r="Q43" s="1571" t="str">
        <f t="shared" si="11"/>
        <v>内部装修维护情况</v>
      </c>
      <c r="R43" s="1572" t="s">
        <v>11</v>
      </c>
      <c r="S43" s="1573">
        <f t="shared" si="12"/>
        <v>100</v>
      </c>
      <c r="T43" s="1572" t="s">
        <v>11</v>
      </c>
      <c r="U43" s="1573">
        <f t="shared" si="13"/>
        <v>100</v>
      </c>
      <c r="V43" s="1572" t="s">
        <v>11</v>
      </c>
      <c r="W43" s="1573">
        <f t="shared" si="14"/>
        <v>100</v>
      </c>
      <c r="X43" s="1566"/>
      <c r="Y43" s="3373"/>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879"/>
      <c r="F44" s="863">
        <f>SUMIF(126:126,E44,127:127)-SUMIF(126:126,C44,127:127)+100</f>
        <v>100</v>
      </c>
      <c r="G44" s="879"/>
      <c r="H44" s="254">
        <f>SUMIF(126:126,G44,127:127)-SUMIF(126:126,C44,127:127)+100</f>
        <v>100</v>
      </c>
      <c r="I44" s="879"/>
      <c r="J44" s="254">
        <f>SUMIF(126:126,I44,127:127)-SUMIF(126:126,C44,127:127)+100</f>
        <v>100</v>
      </c>
      <c r="K44" s="865"/>
      <c r="L44" s="2135"/>
      <c r="M44" s="2136"/>
      <c r="N44" s="2136"/>
      <c r="O44" s="2137"/>
      <c r="P44" s="3373"/>
      <c r="Q44" s="1150">
        <f t="shared" si="11"/>
        <v>111</v>
      </c>
      <c r="R44" s="1567" t="s">
        <v>11</v>
      </c>
      <c r="S44" s="1568">
        <f t="shared" si="12"/>
        <v>100</v>
      </c>
      <c r="T44" s="1567" t="s">
        <v>11</v>
      </c>
      <c r="U44" s="1568">
        <f t="shared" si="13"/>
        <v>100</v>
      </c>
      <c r="V44" s="1567" t="s">
        <v>11</v>
      </c>
      <c r="W44" s="1568">
        <f t="shared" si="14"/>
        <v>100</v>
      </c>
      <c r="X44" s="1569"/>
      <c r="Y44" s="337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373"/>
      <c r="Q45" s="1571">
        <f t="shared" si="11"/>
        <v>111</v>
      </c>
      <c r="R45" s="1572" t="s">
        <v>11</v>
      </c>
      <c r="S45" s="1573">
        <f t="shared" si="12"/>
        <v>100</v>
      </c>
      <c r="T45" s="1572" t="s">
        <v>11</v>
      </c>
      <c r="U45" s="1573">
        <f t="shared" si="13"/>
        <v>100</v>
      </c>
      <c r="V45" s="1572" t="s">
        <v>11</v>
      </c>
      <c r="W45" s="1573">
        <f t="shared" si="14"/>
        <v>100</v>
      </c>
      <c r="X45" s="1566"/>
      <c r="Y45" s="3373"/>
      <c r="Z45" s="1574">
        <f t="shared" si="15"/>
        <v>111</v>
      </c>
      <c r="AA45" s="1575">
        <f t="shared" si="3"/>
        <v>1</v>
      </c>
      <c r="AB45" s="1575">
        <f t="shared" si="4"/>
        <v>1</v>
      </c>
      <c r="AC45" s="1575">
        <f t="shared" si="5"/>
        <v>1</v>
      </c>
    </row>
    <row r="46" spans="1:29" ht="15.75"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48"/>
      <c r="Q46" s="1571">
        <f t="shared" si="11"/>
        <v>111</v>
      </c>
      <c r="R46" s="1572" t="s">
        <v>10</v>
      </c>
      <c r="S46" s="1573">
        <f t="shared" si="12"/>
        <v>100</v>
      </c>
      <c r="T46" s="1572" t="s">
        <v>10</v>
      </c>
      <c r="U46" s="1573">
        <f t="shared" si="13"/>
        <v>100</v>
      </c>
      <c r="V46" s="1572" t="s">
        <v>10</v>
      </c>
      <c r="W46" s="1573">
        <f t="shared" si="14"/>
        <v>100</v>
      </c>
      <c r="X46" s="1566"/>
      <c r="Y46" s="3448"/>
      <c r="Z46" s="1574">
        <f t="shared" si="15"/>
        <v>111</v>
      </c>
      <c r="AA46" s="1575">
        <f t="shared" si="3"/>
        <v>1</v>
      </c>
      <c r="AB46" s="1575">
        <f t="shared" si="4"/>
        <v>1</v>
      </c>
      <c r="AC46" s="1575">
        <f t="shared" si="5"/>
        <v>1</v>
      </c>
    </row>
    <row r="47" spans="1:29" ht="15">
      <c r="A47" s="607" t="s">
        <v>735</v>
      </c>
      <c r="B47" s="886"/>
      <c r="C47" s="2651" t="s">
        <v>9</v>
      </c>
      <c r="D47" s="2652"/>
      <c r="E47" s="2653">
        <f>ROUND(7835*0.95,0)</f>
        <v>7443</v>
      </c>
      <c r="F47" s="2654"/>
      <c r="G47" s="2653">
        <f>ROUND(7857*0.95,0)</f>
        <v>7464</v>
      </c>
      <c r="H47" s="2656"/>
      <c r="I47" s="2653">
        <v>6800</v>
      </c>
      <c r="J47" s="2656"/>
      <c r="K47" s="1605"/>
      <c r="L47" s="2144"/>
      <c r="M47" s="2145"/>
      <c r="N47" s="2134"/>
      <c r="O47" s="2145"/>
      <c r="P47" s="3368" t="str">
        <f>A47</f>
        <v>成交单价（元/平方米）</v>
      </c>
      <c r="Q47" s="3368"/>
      <c r="R47" s="3447">
        <f>E47</f>
        <v>7443</v>
      </c>
      <c r="S47" s="3447"/>
      <c r="T47" s="3447">
        <f>G47</f>
        <v>7464</v>
      </c>
      <c r="U47" s="3447"/>
      <c r="V47" s="3447">
        <f>I47</f>
        <v>6800</v>
      </c>
      <c r="W47" s="3447"/>
      <c r="X47" s="1558"/>
      <c r="Y47" s="1580"/>
      <c r="Z47" s="1558"/>
      <c r="AA47" s="1558"/>
      <c r="AB47" s="1558"/>
      <c r="AC47" s="1558"/>
    </row>
    <row r="48" spans="1:29" ht="15.75" thickBot="1">
      <c r="A48" s="615" t="s">
        <v>2765</v>
      </c>
      <c r="B48" s="887"/>
      <c r="C48" s="2657">
        <f>R49</f>
        <v>7031</v>
      </c>
      <c r="D48" s="2658"/>
      <c r="E48" s="2659">
        <f>R48</f>
        <v>7023</v>
      </c>
      <c r="F48" s="2659"/>
      <c r="G48" s="2657">
        <f>T48</f>
        <v>6835</v>
      </c>
      <c r="H48" s="2658"/>
      <c r="I48" s="2659">
        <f>V48</f>
        <v>7235</v>
      </c>
      <c r="J48" s="2658"/>
      <c r="K48" s="1606"/>
      <c r="L48" s="2144"/>
      <c r="M48" s="2145"/>
      <c r="N48" s="2145"/>
      <c r="O48" s="2145"/>
      <c r="P48" s="3368" t="str">
        <f>A48</f>
        <v>比较价格（元/平方米）</v>
      </c>
      <c r="Q48" s="3368"/>
      <c r="R48" s="3447">
        <f>IF(F1="售价",ROUND(PRODUCT(R47,AA7:AA46),0),ROUND(PRODUCT(R47,AA7:AA46),1))</f>
        <v>7023</v>
      </c>
      <c r="S48" s="3447"/>
      <c r="T48" s="3447">
        <f>IF(F1="售价",ROUND(PRODUCT(T47,AB7:AB46),0),ROUND(PRODUCT(T47,AB7:AB46),1))</f>
        <v>6835</v>
      </c>
      <c r="U48" s="3447"/>
      <c r="V48" s="3447">
        <f>IF(F1="售价",ROUND(PRODUCT(V47,AC7:AC46),0),ROUND(PRODUCT(V47,AC7:AC46),1))</f>
        <v>7235</v>
      </c>
      <c r="W48" s="3447"/>
      <c r="X48" s="1558"/>
      <c r="Y48" s="1558"/>
      <c r="Z48" s="1558"/>
      <c r="AA48" s="1558"/>
      <c r="AB48" s="1558"/>
      <c r="AC48" s="1558"/>
    </row>
    <row r="49" spans="1:29" ht="33" customHeight="1" thickBot="1">
      <c r="A49" s="621" t="s">
        <v>2935</v>
      </c>
      <c r="B49" s="622"/>
      <c r="C49" s="2660">
        <f>R49</f>
        <v>7031</v>
      </c>
      <c r="D49" s="2660"/>
      <c r="E49" s="2660"/>
      <c r="F49" s="2660"/>
      <c r="G49" s="2660"/>
      <c r="H49" s="2660"/>
      <c r="I49" s="2660"/>
      <c r="J49" s="2660"/>
      <c r="K49" s="1607"/>
      <c r="L49" s="2144"/>
      <c r="M49" s="2145"/>
      <c r="N49" s="2145"/>
      <c r="O49" s="2145"/>
      <c r="P49" s="3389" t="str">
        <f>A49</f>
        <v>估价对象XX用房的比较价格（楼面单价，元/平方米）</v>
      </c>
      <c r="Q49" s="3390"/>
      <c r="R49" s="3446">
        <f>IF(F1="售价",ROUND(AVERAGE(R48:V48),0),ROUND(AVERAGE(R48:V48),1))</f>
        <v>7031</v>
      </c>
      <c r="S49" s="3446"/>
      <c r="T49" s="3446"/>
      <c r="U49" s="3446"/>
      <c r="V49" s="3446"/>
      <c r="W49" s="34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5.98035027765913E-2</v>
      </c>
      <c r="F52" s="627" t="str">
        <f>IF(OR(E52&gt;=0.3,E52&lt;=-0.3),"超过30%","")</f>
        <v/>
      </c>
      <c r="G52" s="626">
        <f>IF(G47&lt;G48,G48/G47-1,G47/G48-1)</f>
        <v>9.2026335040234164E-2</v>
      </c>
      <c r="H52" s="627" t="str">
        <f>IF(OR(G52&gt;=0.3,G52&lt;=-0.3),"超过30%","")</f>
        <v/>
      </c>
      <c r="I52" s="626">
        <f>IF(I47&lt;I48,I48/I47-1,I47/I48-1)</f>
        <v>6.3970588235294112E-2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2.7505486466715467E-2</v>
      </c>
      <c r="F53" s="627" t="str">
        <f>IF(OR(E53&gt;=0.2,E53&lt;=-0.2),"超过20%","")</f>
        <v/>
      </c>
      <c r="G53" s="626">
        <f>IF(G48&lt;I48,I48/G48-1,G48/I48-1)</f>
        <v>5.8522311631309387E-2</v>
      </c>
      <c r="H53" s="627" t="str">
        <f>IF(OR(G53&gt;=0.2,G53&lt;=-0.2),"超过20%","")</f>
        <v/>
      </c>
      <c r="I53" s="626">
        <f>IF(I48&lt;E48,E48/I48-1,I48/E48-1)</f>
        <v>3.0186529972946019E-2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f>IF(E47&lt;G47,G47/E47-1,E47/G47-1)</f>
        <v>2.8214429665458507E-3</v>
      </c>
      <c r="F54" s="627" t="str">
        <f>IF(OR(E54&gt;=0.3,E54&lt;=-0.3),"超过30%","")</f>
        <v/>
      </c>
      <c r="G54" s="626">
        <f>IF(G47&lt;I47,I47/G47-1,G47/I47-1)</f>
        <v>9.764705882352942E-2</v>
      </c>
      <c r="H54" s="627" t="str">
        <f>IF(OR(G54&gt;=0.3,G54&lt;=-0.3),"超过30%","")</f>
        <v/>
      </c>
      <c r="I54" s="626">
        <f>IF(I47&lt;E47,E47/I47-1,I47/E47-1)</f>
        <v>9.4558823529411695E-2</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730">
        <v>99.8</v>
      </c>
      <c r="E59" s="730">
        <v>99.6</v>
      </c>
      <c r="F59" s="730">
        <v>99.4</v>
      </c>
      <c r="G59" s="730">
        <v>99.2</v>
      </c>
      <c r="H59" s="730">
        <v>99</v>
      </c>
      <c r="I59" s="730">
        <v>98.8</v>
      </c>
      <c r="J59" s="730">
        <v>98.6</v>
      </c>
      <c r="K59" s="730">
        <v>98.4</v>
      </c>
      <c r="L59" s="730">
        <v>98.2</v>
      </c>
      <c r="M59" s="2818">
        <v>98</v>
      </c>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0</v>
      </c>
      <c r="D68" s="541">
        <v>1</v>
      </c>
      <c r="E68" s="541">
        <v>2</v>
      </c>
      <c r="F68" s="541">
        <v>3</v>
      </c>
      <c r="G68" s="541">
        <v>4</v>
      </c>
      <c r="H68" s="541">
        <v>5</v>
      </c>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98</v>
      </c>
      <c r="E77" s="679">
        <f>D77-$K15</f>
        <v>96</v>
      </c>
      <c r="F77" s="679">
        <f>E77-$K15</f>
        <v>94</v>
      </c>
      <c r="G77" s="679">
        <f>F77-$K15</f>
        <v>92</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98</v>
      </c>
      <c r="E79" s="679">
        <f>D79-$K17</f>
        <v>96</v>
      </c>
      <c r="F79" s="679">
        <f>E79-$K17</f>
        <v>94</v>
      </c>
      <c r="G79" s="679">
        <f>F79-$K17</f>
        <v>92</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99</v>
      </c>
      <c r="E81" s="679">
        <f>D81-$K19</f>
        <v>98</v>
      </c>
      <c r="F81" s="679">
        <f>E81-$K19</f>
        <v>97</v>
      </c>
      <c r="G81" s="679">
        <f>F81-$K19</f>
        <v>96</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99</v>
      </c>
      <c r="E83" s="679">
        <f>D83-$K21</f>
        <v>98</v>
      </c>
      <c r="F83" s="679">
        <f>E83-$K21</f>
        <v>97</v>
      </c>
      <c r="G83" s="679">
        <f>F83-$K21</f>
        <v>96</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95</v>
      </c>
      <c r="E85" s="679">
        <f>D85-$K23</f>
        <v>90</v>
      </c>
      <c r="F85" s="679">
        <f>E85-$K23</f>
        <v>85</v>
      </c>
      <c r="G85" s="679">
        <f>F85-$K23</f>
        <v>80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2258</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688" t="s">
        <v>3014</v>
      </c>
      <c r="D90" s="688" t="s">
        <v>3015</v>
      </c>
      <c r="E90" s="688" t="s">
        <v>3016</v>
      </c>
      <c r="F90" s="688" t="s">
        <v>3017</v>
      </c>
      <c r="G90" s="688" t="s">
        <v>3018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0</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0</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0</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0</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746</v>
      </c>
      <c r="C100" s="3165" t="s">
        <v>3050</v>
      </c>
      <c r="D100" s="3165" t="s">
        <v>3049</v>
      </c>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0(含)-500000</v>
      </c>
      <c r="D102" s="708" t="str">
        <f t="shared" ref="D102:L102" si="23">D103&amp;"(含)"&amp;"-"&amp;E103</f>
        <v>500000(含)-1000000</v>
      </c>
      <c r="E102" s="708" t="str">
        <f t="shared" si="23"/>
        <v>1000000(含)-1500000</v>
      </c>
      <c r="F102" s="708" t="str">
        <f t="shared" si="23"/>
        <v>1500000(含)-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500000</v>
      </c>
      <c r="E103" s="730">
        <v>1000000</v>
      </c>
      <c r="F103" s="730">
        <v>1500000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103</v>
      </c>
      <c r="E104" s="671">
        <v>106</v>
      </c>
      <c r="F104" s="671">
        <v>109</v>
      </c>
      <c r="G104" s="671"/>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t="s">
        <v>3067</v>
      </c>
      <c r="D105" s="718" t="s">
        <v>3068</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718"/>
      <c r="D107" s="718"/>
      <c r="E107" s="71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100</v>
      </c>
      <c r="E108" s="679">
        <f t="shared" si="25"/>
        <v>100</v>
      </c>
      <c r="F108" s="679">
        <f t="shared" si="25"/>
        <v>100</v>
      </c>
      <c r="G108" s="679">
        <f t="shared" si="25"/>
        <v>100</v>
      </c>
      <c r="H108" s="679">
        <f t="shared" si="25"/>
        <v>100</v>
      </c>
      <c r="I108" s="679">
        <f t="shared" si="25"/>
        <v>100</v>
      </c>
      <c r="J108" s="679">
        <f t="shared" si="25"/>
        <v>100</v>
      </c>
      <c r="K108" s="679">
        <f t="shared" si="25"/>
        <v>100</v>
      </c>
      <c r="L108" s="679">
        <f t="shared" si="25"/>
        <v>100</v>
      </c>
      <c r="M108" s="679">
        <f t="shared" si="25"/>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688" t="s">
        <v>3051</v>
      </c>
      <c r="D109" s="688" t="s">
        <v>3052</v>
      </c>
      <c r="E109" s="688" t="s">
        <v>3053</v>
      </c>
      <c r="F109" s="718" t="s">
        <v>3054</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97</v>
      </c>
      <c r="E110" s="679">
        <f t="shared" si="26"/>
        <v>94</v>
      </c>
      <c r="F110" s="679">
        <f t="shared" si="26"/>
        <v>91</v>
      </c>
      <c r="G110" s="679">
        <f t="shared" si="26"/>
        <v>88</v>
      </c>
      <c r="H110" s="679">
        <f t="shared" si="26"/>
        <v>85</v>
      </c>
      <c r="I110" s="679">
        <f t="shared" si="26"/>
        <v>82</v>
      </c>
      <c r="J110" s="679">
        <f t="shared" si="26"/>
        <v>79</v>
      </c>
      <c r="K110" s="679">
        <f t="shared" si="26"/>
        <v>76</v>
      </c>
      <c r="L110" s="679">
        <f t="shared" si="26"/>
        <v>73</v>
      </c>
      <c r="M110" s="679">
        <f t="shared" si="26"/>
        <v>70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688" t="s">
        <v>3060</v>
      </c>
      <c r="D114" s="688" t="s">
        <v>3061</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2559</v>
      </c>
      <c r="C116" s="688" t="s">
        <v>3062</v>
      </c>
      <c r="D116" s="688" t="s">
        <v>3063</v>
      </c>
      <c r="E116" s="688" t="s">
        <v>3064</v>
      </c>
      <c r="F116" s="688" t="s">
        <v>3065</v>
      </c>
      <c r="G116" s="688" t="s">
        <v>3066</v>
      </c>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t="s">
        <v>3051</v>
      </c>
      <c r="D122" s="688" t="s">
        <v>3052</v>
      </c>
      <c r="E122" s="688" t="s">
        <v>3053</v>
      </c>
      <c r="F122" s="718" t="s">
        <v>3054</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2259</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2260</v>
      </c>
      <c r="C137" s="1919"/>
      <c r="D137" s="1919"/>
      <c r="E137" s="1919"/>
      <c r="F137" s="1919"/>
      <c r="G137" s="1920"/>
      <c r="H137" s="1921"/>
      <c r="I137" s="1922" t="s">
        <v>2261</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2262</v>
      </c>
      <c r="D138" s="1925" t="s">
        <v>2263</v>
      </c>
      <c r="E138" s="1926" t="s">
        <v>2264</v>
      </c>
      <c r="F138" s="1927" t="s">
        <v>2265</v>
      </c>
      <c r="G138" s="1925" t="s">
        <v>2266</v>
      </c>
      <c r="H138" s="1928" t="s">
        <v>2267</v>
      </c>
      <c r="I138" s="1929"/>
      <c r="J138" s="1925" t="s">
        <v>2268</v>
      </c>
      <c r="K138" s="1928" t="s">
        <v>2269</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2270</v>
      </c>
      <c r="E139" s="1899">
        <v>100</v>
      </c>
      <c r="F139" s="1900">
        <v>102.5</v>
      </c>
      <c r="G139" s="1930" t="s">
        <v>2271</v>
      </c>
      <c r="H139" s="1901">
        <v>105</v>
      </c>
      <c r="I139" s="1931" t="s">
        <v>2272</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2273</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2274</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2275</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2276</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2277</v>
      </c>
      <c r="E144" s="1905">
        <v>102</v>
      </c>
      <c r="F144" s="1911">
        <v>100</v>
      </c>
      <c r="G144" s="1934" t="s">
        <v>2277</v>
      </c>
      <c r="H144" s="1907">
        <v>105</v>
      </c>
      <c r="I144" s="1933" t="s">
        <v>2276</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2278</v>
      </c>
      <c r="C145" s="1912">
        <f>ROUND(MAX(C139:C144)/MIN(C139:C144)-1,3)</f>
        <v>7.2999999999999995E-2</v>
      </c>
      <c r="D145" s="1936"/>
      <c r="E145" s="1936"/>
      <c r="F145" s="1937" t="s">
        <v>2279</v>
      </c>
      <c r="G145" s="1938"/>
      <c r="H145" s="1939"/>
      <c r="I145" s="1940" t="s">
        <v>2276</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2288</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2289</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C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C36" sqref="C36:C3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3006</v>
      </c>
      <c r="D1" s="3155" t="s">
        <v>3084</v>
      </c>
      <c r="E1" s="2411" t="s">
        <v>2375</v>
      </c>
      <c r="F1" s="2412">
        <f ca="1">J53</f>
        <v>38.17</v>
      </c>
      <c r="G1" s="774">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5" t="s">
        <v>1726</v>
      </c>
      <c r="B2" s="775">
        <f ca="1">C40+J29+L46</f>
        <v>7489</v>
      </c>
      <c r="C2" s="2057"/>
      <c r="D2" s="2055"/>
      <c r="E2" s="2056"/>
      <c r="F2" s="2056"/>
      <c r="G2" s="1589"/>
      <c r="H2" s="2057"/>
      <c r="I2" s="2057"/>
      <c r="J2" s="2057"/>
      <c r="K2" s="2058"/>
      <c r="L2" s="2057"/>
      <c r="M2" s="2057"/>
    </row>
    <row r="3" spans="1:33" ht="18" customHeight="1" thickBot="1">
      <c r="A3" s="833" t="s">
        <v>1727</v>
      </c>
      <c r="B3" s="834">
        <f ca="1">IF(ISERROR(B2*10000/F43),0,ROUND(B2*10000/F43,0))</f>
        <v>10763</v>
      </c>
      <c r="C3" s="2057"/>
      <c r="D3" s="2055"/>
      <c r="E3" s="2056"/>
      <c r="F3" s="2056"/>
      <c r="G3" s="1589"/>
      <c r="H3" s="776" t="s">
        <v>695</v>
      </c>
      <c r="I3" s="1362"/>
      <c r="J3" s="1362"/>
      <c r="K3" s="1590"/>
      <c r="L3" s="1362"/>
      <c r="M3" s="1362"/>
    </row>
    <row r="4" spans="1:33" ht="18" customHeight="1">
      <c r="A4" s="777" t="s">
        <v>1728</v>
      </c>
      <c r="B4" s="778" t="s">
        <v>1729</v>
      </c>
      <c r="C4" s="778" t="s">
        <v>1730</v>
      </c>
      <c r="D4" s="778" t="s">
        <v>633</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433</v>
      </c>
      <c r="D5" s="2520" t="s">
        <v>2463</v>
      </c>
      <c r="E5" s="2514"/>
      <c r="F5" s="2515"/>
      <c r="G5" s="1591"/>
      <c r="H5" s="781">
        <v>1</v>
      </c>
      <c r="I5" s="782" t="s">
        <v>2460</v>
      </c>
      <c r="J5" s="55">
        <f ca="1">J6+J10+J12</f>
        <v>0</v>
      </c>
      <c r="K5" s="2520" t="s">
        <v>2463</v>
      </c>
      <c r="L5" s="2514"/>
      <c r="M5" s="2515"/>
    </row>
    <row r="6" spans="1:33" ht="18" customHeight="1">
      <c r="A6" s="1830" t="s">
        <v>1824</v>
      </c>
      <c r="B6" s="3428" t="s">
        <v>2465</v>
      </c>
      <c r="C6" s="783">
        <f ca="1">ROUND(F6*F8*F7*(1-F9)/10000,0)</f>
        <v>432</v>
      </c>
      <c r="D6" s="2521" t="s">
        <v>2464</v>
      </c>
      <c r="E6" s="784" t="s">
        <v>1738</v>
      </c>
      <c r="F6" s="785">
        <f ca="1">INDIRECT("'数据-取费表'!u"&amp;$G$1)</f>
        <v>2</v>
      </c>
      <c r="G6" s="1591"/>
      <c r="H6" s="2528" t="s">
        <v>2471</v>
      </c>
      <c r="I6" s="3428" t="s">
        <v>2465</v>
      </c>
      <c r="J6" s="783">
        <f ca="1">ROUND(M6*M8*M7*(1-M9)/10000,0)</f>
        <v>0</v>
      </c>
      <c r="K6" s="343" t="s">
        <v>1737</v>
      </c>
      <c r="L6" s="784" t="s">
        <v>1738</v>
      </c>
      <c r="M6" s="785">
        <f ca="1">INDIRECT("'数据-取费表'!z"&amp;$G$1)</f>
        <v>0</v>
      </c>
    </row>
    <row r="7" spans="1:33" ht="18" customHeight="1">
      <c r="A7" s="2524"/>
      <c r="B7" s="3429"/>
      <c r="C7" s="788"/>
      <c r="D7" s="789"/>
      <c r="E7" s="784" t="s">
        <v>1739</v>
      </c>
      <c r="F7" s="785">
        <f ca="1">IF(INDIRECT("'数据-取费表'!ah"&amp;$G$1)="",INDIRECT("'数据-取费表'!k"&amp;$G$1),INDIRECT("'数据-取费表'!ah"&amp;$G$1))</f>
        <v>6957.79</v>
      </c>
      <c r="G7" s="1591"/>
      <c r="H7" s="2513"/>
      <c r="I7" s="3429"/>
      <c r="J7" s="788"/>
      <c r="K7" s="789"/>
      <c r="L7" s="784" t="s">
        <v>1739</v>
      </c>
      <c r="M7" s="785">
        <f ca="1">F7</f>
        <v>6957.79</v>
      </c>
    </row>
    <row r="8" spans="1:33" ht="18" customHeight="1">
      <c r="A8" s="2517"/>
      <c r="B8" s="3430"/>
      <c r="C8" s="788"/>
      <c r="D8" s="789"/>
      <c r="E8" s="784" t="s">
        <v>1740</v>
      </c>
      <c r="F8" s="785">
        <f ca="1">INDIRECT("'数据-取费表'!ai"&amp;$G$1)</f>
        <v>365</v>
      </c>
      <c r="G8" s="1591"/>
      <c r="H8" s="2513"/>
      <c r="I8" s="3430"/>
      <c r="J8" s="788"/>
      <c r="K8" s="789"/>
      <c r="L8" s="784" t="s">
        <v>1740</v>
      </c>
      <c r="M8" s="785">
        <f ca="1">INDIRECT("'数据-取费表'!ai"&amp;$G$1)</f>
        <v>365</v>
      </c>
    </row>
    <row r="9" spans="1:33" ht="18" customHeight="1">
      <c r="A9" s="786"/>
      <c r="B9" s="3431"/>
      <c r="C9" s="788"/>
      <c r="D9" s="789"/>
      <c r="E9" s="784" t="s">
        <v>1741</v>
      </c>
      <c r="F9" s="794">
        <f ca="1">INDIRECT("'数据-取费表'!w"&amp;$G$1)</f>
        <v>0.15</v>
      </c>
      <c r="G9" s="1591"/>
      <c r="H9" s="2529"/>
      <c r="I9" s="3430"/>
      <c r="J9" s="788"/>
      <c r="K9" s="789"/>
      <c r="L9" s="795" t="s">
        <v>1741</v>
      </c>
      <c r="M9" s="796">
        <f ca="1">INDIRECT("'数据-取费表'!ab"&amp;$G$1)</f>
        <v>0</v>
      </c>
    </row>
    <row r="10" spans="1:33" ht="18" customHeight="1">
      <c r="A10" s="1830" t="s">
        <v>2469</v>
      </c>
      <c r="B10" s="2518" t="s">
        <v>2461</v>
      </c>
      <c r="C10" s="799">
        <f ca="1">ROUND(IF(F10="押一",F6*F8*F7/12*F11,IF(F10="押二",F6*F8*F7/12*2*F11,IF(F10="押三",F6*F8*F7/12*3*F11,C11*F11)))/10000,0)</f>
        <v>1</v>
      </c>
      <c r="D10" s="2525" t="s">
        <v>2468</v>
      </c>
      <c r="E10" s="2522" t="s">
        <v>2466</v>
      </c>
      <c r="F10" s="2645" t="s">
        <v>3010</v>
      </c>
      <c r="G10" s="1591"/>
      <c r="H10" s="2585" t="s">
        <v>2472</v>
      </c>
      <c r="I10" s="2590" t="s">
        <v>2461</v>
      </c>
      <c r="J10" s="783">
        <f ca="1">ROUND(IF(M10="押一",M6*M8*M7/12*M11,IF(M10="押二",M6*M8*M7/12*2*M11,IF(M10="押三",M6*M8*M7/12*3*M11,J11*M11)))/10000,0)</f>
        <v>0</v>
      </c>
      <c r="K10" s="2525" t="s">
        <v>2468</v>
      </c>
      <c r="L10" s="2522" t="s">
        <v>2466</v>
      </c>
      <c r="M10" s="2645"/>
    </row>
    <row r="11" spans="1:33" ht="18" customHeight="1">
      <c r="A11" s="790"/>
      <c r="B11" s="2519" t="s">
        <v>2576</v>
      </c>
      <c r="C11" s="2523"/>
      <c r="D11" s="789"/>
      <c r="E11" s="2522" t="s">
        <v>2467</v>
      </c>
      <c r="F11" s="796">
        <f ca="1">'数据-取费表'!B39</f>
        <v>1.4999999999999999E-2</v>
      </c>
      <c r="G11" s="1591"/>
      <c r="H11" s="2586"/>
      <c r="I11" s="2519" t="s">
        <v>2576</v>
      </c>
      <c r="J11" s="2523"/>
      <c r="K11" s="2587"/>
      <c r="L11" s="2522" t="s">
        <v>2467</v>
      </c>
      <c r="M11" s="2516">
        <f ca="1">'数据-取费表'!B39</f>
        <v>1.4999999999999999E-2</v>
      </c>
    </row>
    <row r="12" spans="1:33" ht="18" customHeight="1" thickBot="1">
      <c r="A12" s="2561" t="s">
        <v>2470</v>
      </c>
      <c r="B12" s="2562" t="s">
        <v>2462</v>
      </c>
      <c r="C12" s="2563"/>
      <c r="D12" s="2564"/>
      <c r="E12" s="2565"/>
      <c r="F12" s="2566"/>
      <c r="G12" s="1591"/>
      <c r="H12" s="2575" t="s">
        <v>2473</v>
      </c>
      <c r="I12" s="2588" t="s">
        <v>2462</v>
      </c>
      <c r="J12" s="2589"/>
      <c r="K12" s="2564"/>
      <c r="L12" s="2565"/>
      <c r="M12" s="2578"/>
    </row>
    <row r="13" spans="1:33" ht="18" customHeight="1" thickTop="1">
      <c r="A13" s="1829">
        <v>2</v>
      </c>
      <c r="B13" s="1827" t="s">
        <v>1742</v>
      </c>
      <c r="C13" s="792">
        <f ca="1">ROUND(C29*F13,0)</f>
        <v>1642</v>
      </c>
      <c r="D13" s="1834" t="s">
        <v>2298</v>
      </c>
      <c r="E13" s="1834" t="s">
        <v>1744</v>
      </c>
      <c r="F13" s="2560">
        <f ca="1">INDIRECT("'数据-取费表'!y"&amp;$G$1)</f>
        <v>1</v>
      </c>
      <c r="G13" s="1591"/>
      <c r="H13" s="1829">
        <v>2</v>
      </c>
      <c r="I13" s="1827" t="s">
        <v>1742</v>
      </c>
      <c r="J13" s="1819">
        <f ca="1">ROUND(J14*J15,0)</f>
        <v>0</v>
      </c>
      <c r="K13" s="1821" t="s">
        <v>1743</v>
      </c>
      <c r="L13" s="2576"/>
      <c r="M13" s="2577"/>
    </row>
    <row r="14" spans="1:33" ht="18" customHeight="1">
      <c r="A14" s="1647" t="s">
        <v>1884</v>
      </c>
      <c r="B14" s="784" t="s">
        <v>645</v>
      </c>
      <c r="C14" s="804">
        <f ca="1">INDIRECT("'数据-取费表'!m"&amp;$G$1)+INDIRECT("'数据-取费表'!t"&amp;$G$1)</f>
        <v>1183</v>
      </c>
      <c r="D14" s="1979" t="s">
        <v>1745</v>
      </c>
      <c r="E14" s="1980"/>
      <c r="F14" s="805"/>
      <c r="G14" s="1591"/>
      <c r="H14" s="1648" t="s">
        <v>1830</v>
      </c>
      <c r="I14" s="2231" t="s">
        <v>2831</v>
      </c>
      <c r="J14" s="53">
        <f ca="1">C29</f>
        <v>1642</v>
      </c>
      <c r="K14" s="26"/>
      <c r="L14" s="801"/>
      <c r="M14" s="802"/>
    </row>
    <row r="15" spans="1:33" s="2064" customFormat="1" ht="18" customHeight="1" thickBot="1">
      <c r="A15" s="1647" t="s">
        <v>1885</v>
      </c>
      <c r="B15" s="784" t="s">
        <v>647</v>
      </c>
      <c r="C15" s="53">
        <f ca="1">ROUND(C14*F15,0)</f>
        <v>35</v>
      </c>
      <c r="D15" s="806" t="s">
        <v>1746</v>
      </c>
      <c r="E15" s="806" t="s">
        <v>1747</v>
      </c>
      <c r="F15" s="807">
        <f>'数据-取费表'!B33</f>
        <v>0.03</v>
      </c>
      <c r="G15" s="1592"/>
      <c r="H15" s="2575" t="s">
        <v>1889</v>
      </c>
      <c r="I15" s="2570" t="s">
        <v>1744</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650</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42</v>
      </c>
      <c r="K16" s="1821" t="s">
        <v>1750</v>
      </c>
      <c r="L16" s="2510"/>
      <c r="M16" s="2515"/>
    </row>
    <row r="17" spans="1:33" s="2064" customFormat="1" ht="18" customHeight="1">
      <c r="A17" s="1647" t="s">
        <v>1887</v>
      </c>
      <c r="B17" s="784" t="s">
        <v>653</v>
      </c>
      <c r="C17" s="53">
        <f ca="1">ROUND(F17*(F43+INDIRECT("'数据-取费表'!S"&amp;$G$1))/10000,0)</f>
        <v>104</v>
      </c>
      <c r="D17" s="784" t="s">
        <v>1751</v>
      </c>
      <c r="E17" s="784" t="s">
        <v>1752</v>
      </c>
      <c r="F17" s="56">
        <f>'数据-取费表'!B35</f>
        <v>150</v>
      </c>
      <c r="G17" s="1592"/>
      <c r="H17" s="1648" t="s">
        <v>1830</v>
      </c>
      <c r="I17" s="784" t="s">
        <v>656</v>
      </c>
      <c r="J17" s="53">
        <f ca="1">ROUND(IF(项目基本情况!B11="自然人",J5*M17,J18+J19+J20),0)</f>
        <v>17</v>
      </c>
      <c r="K17" s="2509" t="s">
        <v>1753</v>
      </c>
      <c r="L17" s="2508" t="s">
        <v>1754</v>
      </c>
      <c r="M17" s="810"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659</v>
      </c>
      <c r="C18" s="53">
        <f ca="1">ROUND(C14*F18,0)</f>
        <v>18</v>
      </c>
      <c r="D18" s="784" t="s">
        <v>1746</v>
      </c>
      <c r="E18" s="784" t="s">
        <v>1747</v>
      </c>
      <c r="F18" s="809">
        <f>'数据-取费表'!B36</f>
        <v>1.4999999999999999E-2</v>
      </c>
      <c r="G18" s="1592"/>
      <c r="H18" s="1647" t="s">
        <v>1884</v>
      </c>
      <c r="I18" s="784" t="s">
        <v>1755</v>
      </c>
      <c r="J18" s="53">
        <f ca="1">ROUND(J5*M18/1.05,1)</f>
        <v>0</v>
      </c>
      <c r="K18" s="2508" t="s">
        <v>1756</v>
      </c>
      <c r="L18" s="784" t="s">
        <v>1747</v>
      </c>
      <c r="M18" s="809">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662</v>
      </c>
      <c r="C19" s="53">
        <f ca="1">SUM(C14:C18)</f>
        <v>1340</v>
      </c>
      <c r="D19" s="260" t="s">
        <v>1757</v>
      </c>
      <c r="E19" s="1982"/>
      <c r="F19" s="56"/>
      <c r="G19" s="1591"/>
      <c r="H19" s="1647" t="s">
        <v>1885</v>
      </c>
      <c r="I19" s="784" t="s">
        <v>1758</v>
      </c>
      <c r="J19" s="53">
        <f ca="1">IF(K19="按租金收入计税",ROUND(J5*M19,1),ROUND(C29*F33*0.7,1))</f>
        <v>13.8</v>
      </c>
      <c r="K19" s="811" t="s">
        <v>665</v>
      </c>
      <c r="L19" s="784" t="s">
        <v>1747</v>
      </c>
      <c r="M19" s="809">
        <f>IF(K19="按租金收入计税",'数据-取费表'!B51,'数据-取费表'!B50)</f>
        <v>1.2E-2</v>
      </c>
    </row>
    <row r="20" spans="1:33" s="2064" customFormat="1" ht="18" customHeight="1">
      <c r="A20" s="1648" t="s">
        <v>1889</v>
      </c>
      <c r="B20" s="784" t="s">
        <v>666</v>
      </c>
      <c r="C20" s="53">
        <f ca="1">ROUND(C19*F20,0)</f>
        <v>13</v>
      </c>
      <c r="D20" s="812" t="s">
        <v>1759</v>
      </c>
      <c r="E20" s="784" t="s">
        <v>1747</v>
      </c>
      <c r="F20" s="809">
        <f>'数据-取费表'!B37</f>
        <v>0.01</v>
      </c>
      <c r="G20" s="1592"/>
      <c r="H20" s="1650" t="s">
        <v>1880</v>
      </c>
      <c r="I20" s="343" t="s">
        <v>1760</v>
      </c>
      <c r="J20" s="54">
        <f ca="1">ROUND(M20*M21/10000,0)</f>
        <v>3</v>
      </c>
      <c r="K20" s="814" t="s">
        <v>1761</v>
      </c>
      <c r="L20" s="784" t="s">
        <v>1762</v>
      </c>
      <c r="M20" s="640">
        <f>'数据-取费表'!B52</f>
        <v>8</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2299</v>
      </c>
      <c r="E21" s="784" t="s">
        <v>1765</v>
      </c>
      <c r="F21" s="809">
        <f>'数据-取费表'!B38</f>
        <v>0.01</v>
      </c>
      <c r="G21" s="1592"/>
      <c r="H21" s="2530"/>
      <c r="I21" s="793"/>
      <c r="J21" s="69"/>
      <c r="K21" s="816"/>
      <c r="L21" s="784" t="s">
        <v>1766</v>
      </c>
      <c r="M21" s="785">
        <f ca="1">INDIRECT("'数据-取费表'!r"&amp;$G$1)</f>
        <v>3162.63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96"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25</v>
      </c>
      <c r="K22" s="2508" t="s">
        <v>1769</v>
      </c>
      <c r="L22" s="784" t="s">
        <v>1747</v>
      </c>
      <c r="M22" s="817">
        <f ca="1">INDIRECT("'数据-取费表'!Ak"&amp;$G$1)</f>
        <v>1.4999999999999999E-2</v>
      </c>
    </row>
    <row r="23" spans="1:33" s="2064" customFormat="1" ht="18" customHeight="1">
      <c r="A23" s="1647" t="s">
        <v>1831</v>
      </c>
      <c r="B23" s="784" t="s">
        <v>2538</v>
      </c>
      <c r="C23" s="53">
        <f ca="1">ROUND(IF('数据-取费表'!B22&lt;=1,(C19+C20)*F24*F23/2,(C19+C20)*(POWER((1+F24),F23/2)-1)),0)</f>
        <v>48</v>
      </c>
      <c r="D23" s="2595" t="str">
        <f>IF(F23&lt;=1,"(建造成本+管理费用)×利率×(建设周期÷2)","(建造成本+管理费用)×((1+利率)^(建设周期÷2)-1)")</f>
        <v>(建造成本+管理费用)×((1+利率)^(建设周期÷2)-1)</v>
      </c>
      <c r="E23" s="784" t="s">
        <v>1770</v>
      </c>
      <c r="F23" s="640">
        <f>'数据-取费表'!B20</f>
        <v>1.5</v>
      </c>
      <c r="G23" s="1592"/>
      <c r="H23" s="1648" t="s">
        <v>1890</v>
      </c>
      <c r="I23" s="784" t="s">
        <v>679</v>
      </c>
      <c r="J23" s="53">
        <f ca="1">ROUND(J13*M23,0)</f>
        <v>0</v>
      </c>
      <c r="K23" s="2508" t="s">
        <v>1771</v>
      </c>
      <c r="L23" s="784" t="s">
        <v>1747</v>
      </c>
      <c r="M23" s="818">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4.0000000000000002E-4</v>
      </c>
      <c r="D24" s="2595" t="str">
        <f>IF(F23&lt;=1,"销售费用×利率×(建设周期÷2)","销售费用×((1+利率)^(建设周期÷2)-1)")</f>
        <v>销售费用×((1+利率)^(建设周期÷2)-1)</v>
      </c>
      <c r="E24" s="784" t="s">
        <v>1773</v>
      </c>
      <c r="F24" s="819">
        <f ca="1">'数据-取费表'!B40</f>
        <v>4.7500000000000001E-2</v>
      </c>
      <c r="G24" s="1592"/>
      <c r="H24" s="2575" t="s">
        <v>1891</v>
      </c>
      <c r="I24" s="2570" t="s">
        <v>666</v>
      </c>
      <c r="J24" s="2568">
        <f ca="1">ROUND(J5*M24,0)</f>
        <v>0</v>
      </c>
      <c r="K24" s="2569" t="s">
        <v>1774</v>
      </c>
      <c r="L24" s="2570" t="s">
        <v>1747</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684</v>
      </c>
      <c r="C25" s="53"/>
      <c r="D25" s="260" t="s">
        <v>1775</v>
      </c>
      <c r="E25" s="1982"/>
      <c r="F25" s="56"/>
      <c r="G25" s="1591"/>
      <c r="H25" s="1829" t="s">
        <v>1776</v>
      </c>
      <c r="I25" s="3036" t="s">
        <v>2827</v>
      </c>
      <c r="J25" s="792">
        <f ca="1">J5-J16</f>
        <v>-42</v>
      </c>
      <c r="K25" s="2572" t="s">
        <v>1777</v>
      </c>
      <c r="L25" s="2573"/>
      <c r="M25" s="2574"/>
    </row>
    <row r="26" spans="1:33" ht="18" customHeight="1">
      <c r="A26" s="1647" t="s">
        <v>1831</v>
      </c>
      <c r="B26" s="784" t="s">
        <v>2439</v>
      </c>
      <c r="C26" s="53">
        <f ca="1">ROUND((C19+C20)*F26,0)</f>
        <v>135</v>
      </c>
      <c r="D26" s="812" t="s">
        <v>1778</v>
      </c>
      <c r="E26" s="795" t="s">
        <v>1779</v>
      </c>
      <c r="F26" s="794">
        <f ca="1">INDIRECT("'数据-取费表'!q"&amp;$G$1)</f>
        <v>0.1</v>
      </c>
      <c r="G26" s="1591"/>
      <c r="H26" s="2526" t="s">
        <v>1780</v>
      </c>
      <c r="I26" s="2232" t="s">
        <v>2832</v>
      </c>
      <c r="J26" s="783">
        <f ca="1">IF(J5&lt;&gt;0,ROUND(J25*(1-((1+M28)/(1+M26))^M27)/(M26-M28),0),0)</f>
        <v>0</v>
      </c>
      <c r="K26" s="814" t="s">
        <v>1781</v>
      </c>
      <c r="L26" s="784" t="s">
        <v>2420</v>
      </c>
      <c r="M26" s="794">
        <f ca="1">INDIRECT("'数据-取费表'!I"&amp;$G$1)</f>
        <v>5.5E-2</v>
      </c>
    </row>
    <row r="27" spans="1:33" ht="18" customHeight="1">
      <c r="A27" s="1647" t="s">
        <v>1832</v>
      </c>
      <c r="B27" s="784" t="s">
        <v>686</v>
      </c>
      <c r="C27" s="53">
        <f ca="1">ROUND(F21*F26,4)</f>
        <v>1E-3</v>
      </c>
      <c r="D27" s="812" t="s">
        <v>1782</v>
      </c>
      <c r="E27" s="806"/>
      <c r="F27" s="807"/>
      <c r="G27" s="1591"/>
      <c r="H27" s="2527"/>
      <c r="I27" s="787"/>
      <c r="J27" s="788"/>
      <c r="K27" s="821" t="s">
        <v>1783</v>
      </c>
      <c r="L27" s="784" t="s">
        <v>1784</v>
      </c>
      <c r="M27" s="822">
        <f ca="1">INDIRECT("'数据-取费表'!ag"&amp;$G$1)</f>
        <v>0</v>
      </c>
    </row>
    <row r="28" spans="1:33" s="2064" customFormat="1" ht="18" customHeight="1">
      <c r="A28" s="1649" t="s">
        <v>1841</v>
      </c>
      <c r="B28" s="784" t="s">
        <v>687</v>
      </c>
      <c r="C28" s="53">
        <f>ROUND(F28/(1+'数据-取费表'!C42),4)</f>
        <v>5.33E-2</v>
      </c>
      <c r="D28" s="812" t="s">
        <v>2300</v>
      </c>
      <c r="E28" s="784" t="s">
        <v>1785</v>
      </c>
      <c r="F28" s="809">
        <f>'数据-取费表'!B41</f>
        <v>5.6000000000000001E-2</v>
      </c>
      <c r="G28" s="1592"/>
      <c r="H28" s="1829"/>
      <c r="I28" s="791"/>
      <c r="J28" s="792"/>
      <c r="K28" s="816"/>
      <c r="L28" s="784" t="s">
        <v>1786</v>
      </c>
      <c r="M28" s="794">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1892</v>
      </c>
      <c r="B29" s="2565" t="s">
        <v>2301</v>
      </c>
      <c r="C29" s="2568">
        <f ca="1">ROUND((C19+C20+C23+C26)/(1-F21-C24-C27-C28),0)</f>
        <v>1642</v>
      </c>
      <c r="D29" s="2569"/>
      <c r="E29" s="2570"/>
      <c r="F29" s="2571"/>
      <c r="G29" s="1592"/>
      <c r="H29" s="823" t="s">
        <v>1787</v>
      </c>
      <c r="I29" s="824" t="s">
        <v>1788</v>
      </c>
      <c r="J29" s="825">
        <f ca="1">ROUND(J26/(1+F40)^F41,0)</f>
        <v>0</v>
      </c>
      <c r="K29" s="826" t="s">
        <v>1789</v>
      </c>
      <c r="L29" s="827"/>
      <c r="M29" s="828">
        <f ca="1">INDIRECT("'数据-取费表'!k"&amp;$G$1)</f>
        <v>6957.79</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71</v>
      </c>
      <c r="D30" s="1821" t="s">
        <v>1791</v>
      </c>
      <c r="E30" s="2510"/>
      <c r="F30" s="2515"/>
      <c r="G30" s="2062"/>
      <c r="H30" s="2065"/>
      <c r="I30" s="2066"/>
      <c r="J30" s="2067"/>
      <c r="K30" s="2068"/>
      <c r="L30" s="2069"/>
      <c r="M30" s="2070"/>
    </row>
    <row r="31" spans="1:33" ht="18" customHeight="1">
      <c r="A31" s="1648" t="s">
        <v>1830</v>
      </c>
      <c r="B31" s="784" t="s">
        <v>656</v>
      </c>
      <c r="C31" s="53">
        <f ca="1">ROUND(IF(项目基本情况!B11="自然人",C5*F31,C32+C33+C34),1)</f>
        <v>39.4</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23.1</v>
      </c>
      <c r="D32" s="1977" t="s">
        <v>1795</v>
      </c>
      <c r="E32" s="784" t="s">
        <v>1796</v>
      </c>
      <c r="F32" s="809">
        <f>'数据-取费表'!B41</f>
        <v>5.6000000000000001E-2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13.8</v>
      </c>
      <c r="D33" s="811" t="s">
        <v>1680</v>
      </c>
      <c r="E33" s="784" t="s">
        <v>1796</v>
      </c>
      <c r="F33" s="809">
        <f>IF(D33="按租金收入计税",'数据-取费表'!B51,'数据-取费表'!B50)</f>
        <v>1.2E-2</v>
      </c>
      <c r="G33" s="2062"/>
      <c r="H33" s="2077"/>
      <c r="I33" s="2077"/>
      <c r="J33" s="2077"/>
      <c r="K33" s="2078"/>
      <c r="L33" s="2077"/>
      <c r="M33" s="2077"/>
    </row>
    <row r="34" spans="1:18" ht="18" customHeight="1">
      <c r="A34" s="1650" t="s">
        <v>1833</v>
      </c>
      <c r="B34" s="343" t="s">
        <v>1798</v>
      </c>
      <c r="C34" s="54">
        <f ca="1">ROUND(F34*F35/10000,1)</f>
        <v>2.5</v>
      </c>
      <c r="D34" s="814" t="s">
        <v>1799</v>
      </c>
      <c r="E34" s="784" t="s">
        <v>1800</v>
      </c>
      <c r="F34" s="640">
        <f>'数据-取费表'!B52</f>
        <v>8</v>
      </c>
      <c r="G34" s="2062"/>
      <c r="H34" s="2065"/>
      <c r="I34" s="835" t="s">
        <v>1813</v>
      </c>
      <c r="J34" s="836"/>
      <c r="K34" s="2080"/>
      <c r="L34" s="2079"/>
      <c r="M34" s="2079"/>
    </row>
    <row r="35" spans="1:18" ht="18" customHeight="1">
      <c r="A35" s="815"/>
      <c r="B35" s="793"/>
      <c r="C35" s="69"/>
      <c r="D35" s="816"/>
      <c r="E35" s="784" t="s">
        <v>1801</v>
      </c>
      <c r="F35" s="785">
        <f ca="1">INDIRECT("'数据-取费表'!r"&amp;$G$1)</f>
        <v>3162.63</v>
      </c>
      <c r="G35" s="2062"/>
      <c r="H35" s="2065"/>
      <c r="I35" s="837" t="s">
        <v>1814</v>
      </c>
      <c r="J35" s="838">
        <f ca="1">ROUND(C13*J36,0)</f>
        <v>131</v>
      </c>
      <c r="K35" s="2078"/>
      <c r="L35" s="2077"/>
      <c r="M35" s="2077"/>
    </row>
    <row r="36" spans="1:18" ht="18" customHeight="1">
      <c r="A36" s="1648" t="s">
        <v>1889</v>
      </c>
      <c r="B36" s="784" t="s">
        <v>1802</v>
      </c>
      <c r="C36" s="53">
        <f ca="1">ROUND(C29*F36,1)</f>
        <v>24.6</v>
      </c>
      <c r="D36" s="1977" t="s">
        <v>1803</v>
      </c>
      <c r="E36" s="784" t="s">
        <v>1796</v>
      </c>
      <c r="F36" s="817">
        <f ca="1">INDIRECT("'数据-取费表'!Ak"&amp;$G$1)</f>
        <v>1.4999999999999999E-2</v>
      </c>
      <c r="G36" s="2062"/>
      <c r="H36" s="2077"/>
      <c r="I36" s="839" t="s">
        <v>1815</v>
      </c>
      <c r="J36" s="840">
        <f ca="1">INDIRECT("'数据-取费表'!j"&amp;$G$1)</f>
        <v>0.08</v>
      </c>
      <c r="K36" s="2082"/>
      <c r="L36" s="2077"/>
      <c r="M36" s="2077"/>
    </row>
    <row r="37" spans="1:18" ht="18" customHeight="1">
      <c r="A37" s="1648" t="s">
        <v>1890</v>
      </c>
      <c r="B37" s="784" t="s">
        <v>679</v>
      </c>
      <c r="C37" s="53">
        <f ca="1">ROUND(C13*F37,1)</f>
        <v>2.5</v>
      </c>
      <c r="D37" s="1977" t="s">
        <v>1804</v>
      </c>
      <c r="E37" s="784" t="s">
        <v>1796</v>
      </c>
      <c r="F37" s="818">
        <f ca="1">INDIRECT("'数据-取费表'!Al"&amp;$G$1)</f>
        <v>1.5E-3</v>
      </c>
      <c r="G37" s="2062"/>
      <c r="H37" s="2077"/>
      <c r="I37" s="841" t="s">
        <v>1816</v>
      </c>
      <c r="J37" s="842"/>
      <c r="K37" s="2082"/>
      <c r="L37" s="2077"/>
      <c r="M37" s="2077"/>
    </row>
    <row r="38" spans="1:18" ht="18" customHeight="1" thickBot="1">
      <c r="A38" s="2575" t="s">
        <v>1891</v>
      </c>
      <c r="B38" s="2570" t="s">
        <v>666</v>
      </c>
      <c r="C38" s="2568">
        <f ca="1">ROUND(C5*F38,1)</f>
        <v>4.3</v>
      </c>
      <c r="D38" s="2569" t="s">
        <v>1805</v>
      </c>
      <c r="E38" s="2570" t="s">
        <v>1796</v>
      </c>
      <c r="F38" s="2566">
        <f ca="1">INDIRECT("'数据-取费表'!Am"&amp;$G$1)</f>
        <v>0.01</v>
      </c>
      <c r="G38" s="2062"/>
      <c r="H38" s="2077"/>
      <c r="I38" s="843" t="s">
        <v>1817</v>
      </c>
      <c r="J38" s="844"/>
      <c r="K38" s="2083"/>
      <c r="L38" s="2077"/>
      <c r="M38" s="2077"/>
    </row>
    <row r="39" spans="1:18" ht="24.6" customHeight="1" thickTop="1">
      <c r="A39" s="1829" t="s">
        <v>1894</v>
      </c>
      <c r="B39" s="3036" t="s">
        <v>2827</v>
      </c>
      <c r="C39" s="792">
        <f ca="1">C5-C30</f>
        <v>362</v>
      </c>
      <c r="D39" s="2572" t="s">
        <v>1806</v>
      </c>
      <c r="E39" s="2573"/>
      <c r="F39" s="2574"/>
      <c r="G39" s="2062"/>
      <c r="H39" s="2077"/>
      <c r="I39" s="837" t="s">
        <v>1818</v>
      </c>
      <c r="J39" s="845">
        <f ca="1">ROUND(J35/C39,3)</f>
        <v>0.36199999999999999</v>
      </c>
      <c r="K39" s="2083"/>
      <c r="L39" s="2077"/>
      <c r="M39" s="2077"/>
    </row>
    <row r="40" spans="1:18" ht="18" customHeight="1">
      <c r="A40" s="781" t="s">
        <v>1895</v>
      </c>
      <c r="B40" s="2232" t="s">
        <v>2302</v>
      </c>
      <c r="C40" s="783">
        <f ca="1">ROUND(C39*(1-((1+F42)/(1+F40))^F41)/(F40-F42),0)</f>
        <v>7489</v>
      </c>
      <c r="D40" s="814" t="s">
        <v>1807</v>
      </c>
      <c r="E40" s="784" t="s">
        <v>2420</v>
      </c>
      <c r="F40" s="794">
        <f ca="1">INDIRECT("'数据-取费表'!I"&amp;$G$1)</f>
        <v>5.5E-2</v>
      </c>
      <c r="G40" s="2062"/>
      <c r="H40" s="2062"/>
      <c r="I40" s="837" t="s">
        <v>1819</v>
      </c>
      <c r="J40" s="845">
        <f ca="1">1-J39</f>
        <v>0.63800000000000001</v>
      </c>
      <c r="K40" s="2083"/>
      <c r="L40" s="2062"/>
      <c r="M40" s="2062"/>
    </row>
    <row r="41" spans="1:18" ht="18" customHeight="1">
      <c r="A41" s="786"/>
      <c r="B41" s="787"/>
      <c r="C41" s="788"/>
      <c r="D41" s="821" t="s">
        <v>1808</v>
      </c>
      <c r="E41" s="784" t="s">
        <v>2967</v>
      </c>
      <c r="F41" s="822">
        <f ca="1">IF(INDIRECT("'数据-取费表'!af"&amp;$G$1)=0,INDIRECT("'数据-取费表'!ae"&amp;$G$1),INDIRECT("'数据-取费表'!af"&amp;$G$1))</f>
        <v>38.17</v>
      </c>
      <c r="G41" s="2062"/>
      <c r="H41" s="1988"/>
      <c r="I41" s="843" t="s">
        <v>1820</v>
      </c>
      <c r="J41" s="846"/>
      <c r="K41" s="2082"/>
      <c r="L41" s="1988"/>
      <c r="M41" s="1988"/>
    </row>
    <row r="42" spans="1:18" ht="18" customHeight="1">
      <c r="A42" s="790"/>
      <c r="B42" s="791"/>
      <c r="C42" s="792"/>
      <c r="D42" s="816"/>
      <c r="E42" s="784" t="s">
        <v>1809</v>
      </c>
      <c r="F42" s="794">
        <f ca="1">INDIRECT("'数据-取费表'!v"&amp;$G$1)</f>
        <v>0.02</v>
      </c>
      <c r="G42" s="2062"/>
      <c r="H42" s="1988"/>
      <c r="I42" s="847" t="s">
        <v>1821</v>
      </c>
      <c r="J42" s="845">
        <f ca="1">ROUND(C13/C40,3)</f>
        <v>0.219</v>
      </c>
      <c r="K42" s="2082"/>
      <c r="L42" s="1988"/>
      <c r="M42" s="1988"/>
    </row>
    <row r="43" spans="1:18" ht="18" customHeight="1" thickBot="1">
      <c r="A43" s="823" t="s">
        <v>1787</v>
      </c>
      <c r="B43" s="824" t="s">
        <v>1810</v>
      </c>
      <c r="C43" s="825">
        <f ca="1">ROUND(C40*10000/F43,0)</f>
        <v>10763</v>
      </c>
      <c r="D43" s="826" t="s">
        <v>1811</v>
      </c>
      <c r="E43" s="827" t="s">
        <v>1812</v>
      </c>
      <c r="F43" s="828">
        <f ca="1">INDIRECT("'数据-取费表'!k"&amp;$G$1)</f>
        <v>6957.79</v>
      </c>
      <c r="G43" s="2062"/>
      <c r="H43" s="1988"/>
      <c r="I43" s="847" t="s">
        <v>1822</v>
      </c>
      <c r="J43" s="848">
        <f ca="1">1-J42</f>
        <v>0.78100000000000003</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2296</v>
      </c>
      <c r="B46" s="2085"/>
      <c r="C46" s="2598">
        <f ca="1">C67-C40</f>
        <v>-8170</v>
      </c>
      <c r="D46" s="2085"/>
      <c r="E46" s="2085"/>
      <c r="F46" s="2085"/>
      <c r="I46" s="2378" t="s">
        <v>3083</v>
      </c>
      <c r="J46" s="2379"/>
      <c r="K46" s="2380"/>
      <c r="L46" s="2381" t="str">
        <f ca="1">IF(M47="住宅",0,IF(L48&gt;J51,L60,J60))</f>
        <v>0</v>
      </c>
      <c r="O46" s="2418" t="s">
        <v>2411</v>
      </c>
      <c r="P46" s="1591"/>
      <c r="Q46" s="1603"/>
      <c r="R46" s="1591"/>
    </row>
    <row r="47" spans="1:18" s="2059" customFormat="1" ht="18" customHeight="1" thickBot="1">
      <c r="A47" s="2372">
        <v>1</v>
      </c>
      <c r="B47" s="2373" t="s">
        <v>635</v>
      </c>
      <c r="C47" s="2598">
        <f ca="1">C48+C52+C54</f>
        <v>0</v>
      </c>
      <c r="D47" s="2085"/>
      <c r="E47" s="2085"/>
      <c r="F47" s="2085"/>
      <c r="I47" s="2382" t="s">
        <v>2344</v>
      </c>
      <c r="J47" s="2387" t="s">
        <v>3009</v>
      </c>
      <c r="K47" s="2388" t="s">
        <v>2350</v>
      </c>
      <c r="L47" s="2389">
        <f ca="1">INDIRECT("'数据-取费表'!d"&amp;$G$1)</f>
        <v>40</v>
      </c>
      <c r="M47" s="1603" t="str">
        <f>IF(ISNUMBER(FIND("住宅",C1)),"住宅","非住宅")</f>
        <v>非住宅</v>
      </c>
      <c r="O47" s="2419" t="s">
        <v>2376</v>
      </c>
      <c r="P47" s="2420" t="s">
        <v>2377</v>
      </c>
      <c r="Q47" s="2421" t="s">
        <v>2378</v>
      </c>
      <c r="R47" s="2420" t="s">
        <v>2379</v>
      </c>
    </row>
    <row r="48" spans="1:18" s="2059" customFormat="1" ht="18" customHeight="1" thickBot="1">
      <c r="A48" s="2667" t="s">
        <v>2540</v>
      </c>
      <c r="B48" s="2668" t="s">
        <v>2541</v>
      </c>
      <c r="C48" s="2374">
        <f ca="1">ROUND(F48*F50*F49*(1-F51)/10000,0)</f>
        <v>0</v>
      </c>
      <c r="D48" s="2375" t="s">
        <v>636</v>
      </c>
      <c r="E48" s="2376" t="s">
        <v>2297</v>
      </c>
      <c r="F48" s="2377"/>
      <c r="G48" s="2090"/>
      <c r="I48" s="2383" t="s">
        <v>2345</v>
      </c>
      <c r="J48" s="2390" t="s">
        <v>2351</v>
      </c>
      <c r="K48" s="2391" t="s">
        <v>2352</v>
      </c>
      <c r="L48" s="2392">
        <f ca="1">INDIRECT("'数据-取费表'!f"&amp;$G$1)</f>
        <v>39.67</v>
      </c>
      <c r="O48" s="2422" t="s">
        <v>2380</v>
      </c>
      <c r="P48" s="2423" t="s">
        <v>2406</v>
      </c>
      <c r="Q48" s="2424">
        <f ca="1">C40+J29</f>
        <v>7489</v>
      </c>
      <c r="R48" s="2423" t="s">
        <v>2381</v>
      </c>
    </row>
    <row r="49" spans="1:18" s="2059" customFormat="1" ht="18" customHeight="1" thickBot="1">
      <c r="A49" s="786"/>
      <c r="B49" s="787"/>
      <c r="C49" s="788"/>
      <c r="D49" s="789"/>
      <c r="E49" s="784" t="s">
        <v>1739</v>
      </c>
      <c r="F49" s="785">
        <f ca="1">F7</f>
        <v>6957.79</v>
      </c>
      <c r="G49" s="2090"/>
      <c r="H49" s="2093"/>
      <c r="I49" s="2383" t="s">
        <v>2346</v>
      </c>
      <c r="J49" s="2393">
        <v>2017</v>
      </c>
      <c r="K49" s="2394" t="s">
        <v>2353</v>
      </c>
      <c r="L49" s="2395"/>
      <c r="O49" s="2422" t="s">
        <v>2382</v>
      </c>
      <c r="P49" s="2423" t="s">
        <v>2407</v>
      </c>
      <c r="Q49" s="2424" t="str">
        <f ca="1">J60</f>
        <v>0</v>
      </c>
      <c r="R49" s="2423" t="s">
        <v>2383</v>
      </c>
    </row>
    <row r="50" spans="1:18" s="2059" customFormat="1" ht="18" customHeight="1" thickBot="1">
      <c r="A50" s="786"/>
      <c r="B50" s="787"/>
      <c r="C50" s="788"/>
      <c r="D50" s="789"/>
      <c r="E50" s="784" t="s">
        <v>1740</v>
      </c>
      <c r="F50" s="785">
        <f ca="1">F8</f>
        <v>365</v>
      </c>
      <c r="G50" s="2095"/>
      <c r="H50" s="2093"/>
      <c r="I50" s="2383" t="s">
        <v>2347</v>
      </c>
      <c r="J50" s="2396">
        <f>SUMPRODUCT((I63:I65=J47)*(J62:L62=J48)*(J63:L65))</f>
        <v>60</v>
      </c>
      <c r="K50" s="2394" t="s">
        <v>2354</v>
      </c>
      <c r="L50" s="2395"/>
      <c r="O50" s="2425" t="s">
        <v>2384</v>
      </c>
      <c r="P50" s="2423" t="s">
        <v>2408</v>
      </c>
      <c r="Q50" s="2424">
        <f ca="1">C29</f>
        <v>1642</v>
      </c>
      <c r="R50" s="2423" t="s">
        <v>2381</v>
      </c>
    </row>
    <row r="51" spans="1:18" s="2059" customFormat="1" ht="18" customHeight="1" thickBot="1">
      <c r="A51" s="786"/>
      <c r="B51" s="787"/>
      <c r="C51" s="788"/>
      <c r="D51" s="789"/>
      <c r="E51" s="784" t="s">
        <v>640</v>
      </c>
      <c r="F51" s="2371"/>
      <c r="H51" s="2093"/>
      <c r="I51" s="2384" t="s">
        <v>2348</v>
      </c>
      <c r="J51" s="2397">
        <f>IF(J49="",J50,J49+J50-YEAR('数据-取费表'!B2))</f>
        <v>60</v>
      </c>
      <c r="K51" s="2383" t="s">
        <v>2355</v>
      </c>
      <c r="L51" s="2398">
        <f ca="1">ROUND(-PV(INDIRECT("'数据-取费表'!h"&amp;$G$1),L48,(C39-C13*J36),0),0)</f>
        <v>3947</v>
      </c>
      <c r="O51" s="2425" t="s">
        <v>2385</v>
      </c>
      <c r="P51" s="2423" t="s">
        <v>2386</v>
      </c>
      <c r="Q51" s="2426" t="e">
        <f ca="1">J58</f>
        <v>#VALUE!</v>
      </c>
      <c r="R51" s="2427"/>
    </row>
    <row r="52" spans="1:18" s="2059" customFormat="1" ht="18" customHeight="1" thickBot="1">
      <c r="A52" s="781" t="s">
        <v>2539</v>
      </c>
      <c r="B52" s="2518" t="s">
        <v>2461</v>
      </c>
      <c r="C52" s="799">
        <f ca="1">ROUND(IF(F52="押一",F48*F50*F49/12*F11,IF(F52="押二",F48*F50*F49/12*2*F11,IF(F52="押三",F48*F50*F49/12*3*F11,C53*F11)))/10000,0)</f>
        <v>0</v>
      </c>
      <c r="D52" s="2525" t="s">
        <v>2468</v>
      </c>
      <c r="E52" s="2522" t="s">
        <v>2466</v>
      </c>
      <c r="F52" s="2645"/>
      <c r="I52" s="2385" t="s">
        <v>2422</v>
      </c>
      <c r="J52" s="2399">
        <v>0.08</v>
      </c>
      <c r="K52" s="2385" t="s">
        <v>2421</v>
      </c>
      <c r="L52" s="2399"/>
      <c r="O52" s="2425" t="s">
        <v>2387</v>
      </c>
      <c r="P52" s="2423" t="s">
        <v>2388</v>
      </c>
      <c r="Q52" s="2426">
        <f>J52</f>
        <v>0.08</v>
      </c>
      <c r="R52" s="2427"/>
    </row>
    <row r="53" spans="1:18" s="2059" customFormat="1" ht="39.75" customHeight="1" thickBot="1">
      <c r="A53" s="786"/>
      <c r="B53" s="2519" t="s">
        <v>2576</v>
      </c>
      <c r="C53" s="2523"/>
      <c r="D53" s="2525"/>
      <c r="E53" s="2522"/>
      <c r="F53" s="800"/>
      <c r="I53" s="2386" t="s">
        <v>2349</v>
      </c>
      <c r="J53" s="2400">
        <f ca="1">IF(M47="住宅",J51,IF(D1="——",MIN(J51,L48),IF(D1="土地（套用方法）",MIN(J51,L48-'数据-取费表'!B20))))</f>
        <v>38.17</v>
      </c>
      <c r="K53" s="3449" t="s">
        <v>2969</v>
      </c>
      <c r="L53" s="3450"/>
      <c r="O53" s="2425" t="s">
        <v>2389</v>
      </c>
      <c r="P53" s="2423" t="s">
        <v>2390</v>
      </c>
      <c r="Q53" s="2424">
        <f ca="1">J53</f>
        <v>38.17</v>
      </c>
      <c r="R53" s="2423" t="s">
        <v>2391</v>
      </c>
    </row>
    <row r="54" spans="1:18" s="2059" customFormat="1" ht="18" customHeight="1" thickBot="1">
      <c r="A54" s="2561" t="s">
        <v>2470</v>
      </c>
      <c r="B54" s="2562" t="s">
        <v>2462</v>
      </c>
      <c r="C54" s="2563"/>
      <c r="D54" s="2525"/>
      <c r="E54" s="2522"/>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2392</v>
      </c>
      <c r="P54" s="2423" t="s">
        <v>2409</v>
      </c>
      <c r="Q54" s="2424">
        <f ca="1">Q48+Q49</f>
        <v>7489</v>
      </c>
      <c r="R54" s="2427" t="s">
        <v>2393</v>
      </c>
    </row>
    <row r="55" spans="1:18" s="2059" customFormat="1" ht="18" customHeight="1" thickTop="1" thickBot="1">
      <c r="A55" s="797">
        <v>2</v>
      </c>
      <c r="B55" s="798" t="s">
        <v>644</v>
      </c>
      <c r="C55" s="799">
        <f ca="1">C13</f>
        <v>1642</v>
      </c>
      <c r="D55" s="795"/>
      <c r="E55" s="795"/>
      <c r="F55" s="800"/>
      <c r="I55" s="3126" t="s">
        <v>2356</v>
      </c>
      <c r="J55" s="3125" t="e">
        <f ca="1">ROUND(IF(J47="钢混",J57/J50,1-(1-2%)*(J50-J57)/J50),3)</f>
        <v>#VALUE!</v>
      </c>
      <c r="K55" s="2401" t="s">
        <v>2357</v>
      </c>
      <c r="L55" s="2402"/>
      <c r="O55" s="2428" t="s">
        <v>2412</v>
      </c>
      <c r="P55" s="1591"/>
      <c r="Q55" s="1603"/>
      <c r="R55" s="1591"/>
    </row>
    <row r="56" spans="1:18" s="2059" customFormat="1" ht="42.75" customHeight="1" thickBot="1">
      <c r="A56" s="1649"/>
      <c r="B56" s="2231" t="s">
        <v>2303</v>
      </c>
      <c r="C56" s="53">
        <f ca="1">C29</f>
        <v>1642</v>
      </c>
      <c r="D56" s="2664"/>
      <c r="E56" s="784"/>
      <c r="F56" s="809"/>
      <c r="I56" s="2403" t="s">
        <v>2358</v>
      </c>
      <c r="J56" s="3149" t="s">
        <v>1678</v>
      </c>
      <c r="K56" s="2383" t="s">
        <v>2363</v>
      </c>
      <c r="L56" s="2392" t="str">
        <f ca="1">IF(L48&lt;J51,"——",L48-J51)</f>
        <v>——</v>
      </c>
      <c r="O56" s="2419" t="s">
        <v>2376</v>
      </c>
      <c r="P56" s="2420" t="s">
        <v>2377</v>
      </c>
      <c r="Q56" s="2421" t="s">
        <v>2378</v>
      </c>
      <c r="R56" s="2420" t="s">
        <v>2379</v>
      </c>
    </row>
    <row r="57" spans="1:18" s="2059" customFormat="1" ht="28.5" customHeight="1" thickBot="1">
      <c r="A57" s="797" t="s">
        <v>1748</v>
      </c>
      <c r="B57" s="798" t="s">
        <v>651</v>
      </c>
      <c r="C57" s="799">
        <f ca="1">ROUND(C58+C63+C64+C65,0)</f>
        <v>43</v>
      </c>
      <c r="D57" s="26" t="s">
        <v>1750</v>
      </c>
      <c r="E57" s="2665"/>
      <c r="F57" s="56"/>
      <c r="I57" s="2404" t="s">
        <v>2359</v>
      </c>
      <c r="J57" s="2406" t="str">
        <f ca="1">IF(OR(M47="住宅",J51&lt;L48,J56="是"),"——",J51-L48)</f>
        <v>——</v>
      </c>
      <c r="K57" s="2383" t="s">
        <v>2364</v>
      </c>
      <c r="L57" s="2392" t="str">
        <f ca="1">IF(L48&lt;J51,"——",IF(L55="比较法",L49,IF(L55="基准地价",L50,L51)))</f>
        <v>——</v>
      </c>
      <c r="O57" s="2422" t="s">
        <v>2380</v>
      </c>
      <c r="P57" s="2423" t="s">
        <v>2410</v>
      </c>
      <c r="Q57" s="2424">
        <f ca="1">C40+J29</f>
        <v>7489</v>
      </c>
      <c r="R57" s="2423" t="s">
        <v>2381</v>
      </c>
    </row>
    <row r="58" spans="1:18" s="2059" customFormat="1" ht="28.5" customHeight="1" thickBot="1">
      <c r="A58" s="1648" t="s">
        <v>1824</v>
      </c>
      <c r="B58" s="784" t="s">
        <v>656</v>
      </c>
      <c r="C58" s="53">
        <f ca="1">ROUND(IF(项目基本情况!B11="自然人",C47*F58,C59+C60+C61),1)</f>
        <v>16.3</v>
      </c>
      <c r="D58" s="2663" t="s">
        <v>657</v>
      </c>
      <c r="E58" s="2664" t="s">
        <v>690</v>
      </c>
      <c r="F58" s="810" t="str">
        <f ca="1">IF(项目基本情况!B11="企业","",IF(INDIRECT("'数据-取费表'!c"&amp;$G$1)="住宅",5%,IF(F48*F49*F50/12/(1+'数据-取费表'!C42)&gt;20000,12%,7%)))</f>
        <v/>
      </c>
      <c r="I58" s="2404" t="s">
        <v>2360</v>
      </c>
      <c r="J58" s="3127" t="e">
        <f ca="1">IF(J55&lt;0.4,0.4,J55)</f>
        <v>#VALUE!</v>
      </c>
      <c r="K58" s="2383" t="s">
        <v>2365</v>
      </c>
      <c r="L58" s="2392" t="e">
        <f ca="1">ROUND(POWER(1+L52,L47-L48)*(POWER(1+L52,L48)-1)/(POWER(1+L52,L47)-1),4)</f>
        <v>#DIV/0!</v>
      </c>
      <c r="O58" s="2422" t="s">
        <v>2382</v>
      </c>
      <c r="P58" s="2423" t="s">
        <v>2413</v>
      </c>
      <c r="Q58" s="2424">
        <f ca="1">L60</f>
        <v>0</v>
      </c>
      <c r="R58" s="2427" t="s">
        <v>2415</v>
      </c>
    </row>
    <row r="59" spans="1:18" s="2059" customFormat="1" ht="28.5" customHeight="1" thickBot="1">
      <c r="A59" s="1647" t="s">
        <v>1831</v>
      </c>
      <c r="B59" s="784" t="s">
        <v>660</v>
      </c>
      <c r="C59" s="53">
        <f ca="1">ROUND(C47*F59/1.05,1)</f>
        <v>0</v>
      </c>
      <c r="D59" s="2664" t="s">
        <v>1756</v>
      </c>
      <c r="E59" s="784" t="s">
        <v>1747</v>
      </c>
      <c r="F59" s="809">
        <f t="shared" ref="F59:F65" si="0">F32</f>
        <v>5.6000000000000001E-2</v>
      </c>
      <c r="I59" s="2404" t="s">
        <v>2361</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2384</v>
      </c>
      <c r="P59" s="2423" t="s">
        <v>2414</v>
      </c>
      <c r="Q59" s="2424">
        <f>IF(L55="比较法",L49,IF(L55="基准地价",L50,0))</f>
        <v>0</v>
      </c>
      <c r="R59" s="2423" t="s">
        <v>2381</v>
      </c>
    </row>
    <row r="60" spans="1:18" s="2059" customFormat="1" ht="18" customHeight="1" thickBot="1">
      <c r="A60" s="1647" t="s">
        <v>1832</v>
      </c>
      <c r="B60" s="784" t="s">
        <v>1758</v>
      </c>
      <c r="C60" s="53">
        <f ca="1">IF(D60="按租金收入计税",ROUND(C47*F60,1),IF(D60="按房产原值计税",ROUND(C56*F60*0.7,1),INDIRECT("'数据-取费表'!Aj"&amp;$G$1)))</f>
        <v>13.8</v>
      </c>
      <c r="D60" s="2664" t="str">
        <f>D33</f>
        <v>按房产原值计税</v>
      </c>
      <c r="E60" s="784" t="s">
        <v>1747</v>
      </c>
      <c r="F60" s="809">
        <f t="shared" si="0"/>
        <v>1.2E-2</v>
      </c>
      <c r="I60" s="2405" t="s">
        <v>2362</v>
      </c>
      <c r="J60" s="2407" t="str">
        <f ca="1">IF(OR(M47="住宅",J51&lt;L48,J56="是"),"0",ROUND(J59/(1+J52)^J53,0))</f>
        <v>0</v>
      </c>
      <c r="K60" s="2408" t="s">
        <v>2367</v>
      </c>
      <c r="L60" s="2407">
        <f ca="1">IF(OR(M47="住宅",L48&lt;J51),0,ROUND(L57*(L58/L59-1),0))</f>
        <v>0</v>
      </c>
      <c r="O60" s="2425" t="s">
        <v>2385</v>
      </c>
      <c r="P60" s="2423" t="s">
        <v>2394</v>
      </c>
      <c r="Q60" s="2426">
        <f>L52</f>
        <v>0</v>
      </c>
      <c r="R60" s="2427"/>
    </row>
    <row r="61" spans="1:18" s="2059" customFormat="1" ht="18" customHeight="1" thickBot="1">
      <c r="A61" s="1650" t="s">
        <v>1833</v>
      </c>
      <c r="B61" s="343" t="s">
        <v>668</v>
      </c>
      <c r="C61" s="54">
        <f ca="1">ROUND(F61*F62/10000,1)</f>
        <v>2.5</v>
      </c>
      <c r="D61" s="814" t="s">
        <v>669</v>
      </c>
      <c r="E61" s="784" t="s">
        <v>670</v>
      </c>
      <c r="F61" s="640">
        <f t="shared" si="0"/>
        <v>8</v>
      </c>
      <c r="K61" s="2086"/>
      <c r="O61" s="2425" t="s">
        <v>2387</v>
      </c>
      <c r="P61" s="2423" t="s">
        <v>2395</v>
      </c>
      <c r="Q61" s="2424" t="e">
        <f ca="1">L58</f>
        <v>#DIV/0!</v>
      </c>
      <c r="R61" s="2427" t="s">
        <v>2396</v>
      </c>
    </row>
    <row r="62" spans="1:18" s="2059" customFormat="1" ht="15.75" thickBot="1">
      <c r="A62" s="815"/>
      <c r="B62" s="793"/>
      <c r="C62" s="69"/>
      <c r="D62" s="816"/>
      <c r="E62" s="784" t="s">
        <v>674</v>
      </c>
      <c r="F62" s="785">
        <f t="shared" ca="1" si="0"/>
        <v>3162.63</v>
      </c>
      <c r="I62" s="2409" t="s">
        <v>2368</v>
      </c>
      <c r="J62" s="2410" t="s">
        <v>2369</v>
      </c>
      <c r="K62" s="2410" t="s">
        <v>2370</v>
      </c>
      <c r="L62" s="2410" t="s">
        <v>2351</v>
      </c>
      <c r="M62" s="3128" t="s">
        <v>2944</v>
      </c>
      <c r="O62" s="2425" t="s">
        <v>2389</v>
      </c>
      <c r="P62" s="2423" t="str">
        <f>K59</f>
        <v>建设期及建筑物耐用年限下的土地年期修正系数Kn</v>
      </c>
      <c r="Q62" s="2424" t="e">
        <f ca="1">L59</f>
        <v>#DIV/0!</v>
      </c>
      <c r="R62" s="2427" t="s">
        <v>2398</v>
      </c>
    </row>
    <row r="63" spans="1:18" s="2059" customFormat="1" ht="15.75" thickBot="1">
      <c r="A63" s="1648" t="s">
        <v>1889</v>
      </c>
      <c r="B63" s="784" t="s">
        <v>676</v>
      </c>
      <c r="C63" s="53">
        <f ca="1">ROUND(C56*F63,1)</f>
        <v>24.6</v>
      </c>
      <c r="D63" s="2664" t="s">
        <v>1803</v>
      </c>
      <c r="E63" s="784" t="s">
        <v>1747</v>
      </c>
      <c r="F63" s="817">
        <f t="shared" ca="1" si="0"/>
        <v>1.4999999999999999E-2</v>
      </c>
      <c r="I63" s="2409" t="s">
        <v>2371</v>
      </c>
      <c r="J63" s="2410">
        <v>70</v>
      </c>
      <c r="K63" s="2410">
        <v>50</v>
      </c>
      <c r="L63" s="2410">
        <v>80</v>
      </c>
      <c r="M63" s="3129">
        <v>0.02</v>
      </c>
      <c r="O63" s="2422" t="s">
        <v>2392</v>
      </c>
      <c r="P63" s="2423" t="s">
        <v>2409</v>
      </c>
      <c r="Q63" s="2424">
        <f ca="1">Q57+Q58</f>
        <v>7489</v>
      </c>
      <c r="R63" s="2427" t="s">
        <v>2393</v>
      </c>
    </row>
    <row r="64" spans="1:18" s="2059" customFormat="1" ht="16.5" thickBot="1">
      <c r="A64" s="1648" t="s">
        <v>1890</v>
      </c>
      <c r="B64" s="784" t="s">
        <v>679</v>
      </c>
      <c r="C64" s="53">
        <f ca="1">ROUND(C55*F64,1)</f>
        <v>2.5</v>
      </c>
      <c r="D64" s="2664" t="s">
        <v>680</v>
      </c>
      <c r="E64" s="784" t="s">
        <v>1747</v>
      </c>
      <c r="F64" s="818">
        <f t="shared" ca="1" si="0"/>
        <v>1.5E-3</v>
      </c>
      <c r="I64" s="2409" t="s">
        <v>2372</v>
      </c>
      <c r="J64" s="2410">
        <v>50</v>
      </c>
      <c r="K64" s="2410">
        <v>35</v>
      </c>
      <c r="L64" s="2410">
        <v>60</v>
      </c>
      <c r="M64" s="3130">
        <v>0</v>
      </c>
      <c r="O64" s="2428" t="s">
        <v>2416</v>
      </c>
      <c r="P64" s="1591"/>
      <c r="Q64" s="1603"/>
      <c r="R64" s="1591"/>
    </row>
    <row r="65" spans="1:18" s="2059" customFormat="1" ht="15.75" thickBot="1">
      <c r="A65" s="1648" t="s">
        <v>1891</v>
      </c>
      <c r="B65" s="784" t="s">
        <v>666</v>
      </c>
      <c r="C65" s="53">
        <f ca="1">ROUND(C47*F65,1)</f>
        <v>0</v>
      </c>
      <c r="D65" s="2664" t="s">
        <v>683</v>
      </c>
      <c r="E65" s="784" t="s">
        <v>1747</v>
      </c>
      <c r="F65" s="794">
        <f t="shared" ca="1" si="0"/>
        <v>0.01</v>
      </c>
      <c r="I65" s="2409" t="s">
        <v>2373</v>
      </c>
      <c r="J65" s="2410">
        <v>40</v>
      </c>
      <c r="K65" s="2410">
        <v>30</v>
      </c>
      <c r="L65" s="2410">
        <v>50</v>
      </c>
      <c r="M65" s="3129">
        <v>0.02</v>
      </c>
      <c r="O65" s="2419" t="s">
        <v>2376</v>
      </c>
      <c r="P65" s="2420" t="s">
        <v>2377</v>
      </c>
      <c r="Q65" s="2421" t="s">
        <v>2378</v>
      </c>
      <c r="R65" s="2420" t="s">
        <v>2379</v>
      </c>
    </row>
    <row r="66" spans="1:18" s="2059" customFormat="1" ht="24.75" thickBot="1">
      <c r="A66" s="797" t="s">
        <v>1776</v>
      </c>
      <c r="B66" s="3037" t="s">
        <v>2827</v>
      </c>
      <c r="C66" s="799">
        <f ca="1">C47-C57</f>
        <v>-43</v>
      </c>
      <c r="D66" s="2663" t="s">
        <v>700</v>
      </c>
      <c r="E66" s="2662"/>
      <c r="F66" s="820"/>
      <c r="K66" s="2086"/>
      <c r="O66" s="2422" t="s">
        <v>2380</v>
      </c>
      <c r="P66" s="2423" t="s">
        <v>2410</v>
      </c>
      <c r="Q66" s="2424">
        <f ca="1">C40+J29</f>
        <v>7489</v>
      </c>
      <c r="R66" s="2423" t="s">
        <v>2381</v>
      </c>
    </row>
    <row r="67" spans="1:18" s="2059" customFormat="1" ht="20.25" thickBot="1">
      <c r="A67" s="781" t="s">
        <v>1780</v>
      </c>
      <c r="B67" s="2232" t="s">
        <v>2302</v>
      </c>
      <c r="C67" s="783">
        <f ca="1">ROUND(C66*(1-((1+F69)/(1+F67))^F68)/(F67-F69),0)</f>
        <v>-681</v>
      </c>
      <c r="D67" s="814" t="s">
        <v>704</v>
      </c>
      <c r="E67" s="784" t="s">
        <v>705</v>
      </c>
      <c r="F67" s="794">
        <f ca="1">F40</f>
        <v>5.5E-2</v>
      </c>
      <c r="K67" s="2086"/>
      <c r="O67" s="2422" t="s">
        <v>2382</v>
      </c>
      <c r="P67" s="2423" t="s">
        <v>2413</v>
      </c>
      <c r="Q67" s="2424">
        <f ca="1">L60</f>
        <v>0</v>
      </c>
      <c r="R67" s="2427" t="s">
        <v>2415</v>
      </c>
    </row>
    <row r="68" spans="1:18" ht="21.75" thickBot="1">
      <c r="A68" s="786"/>
      <c r="B68" s="787"/>
      <c r="C68" s="788"/>
      <c r="D68" s="821" t="s">
        <v>1808</v>
      </c>
      <c r="E68" s="784" t="s">
        <v>1784</v>
      </c>
      <c r="F68" s="822">
        <f ca="1">F41</f>
        <v>38.17</v>
      </c>
      <c r="O68" s="2425" t="s">
        <v>2384</v>
      </c>
      <c r="P68" s="2423" t="s">
        <v>2414</v>
      </c>
      <c r="Q68" s="2429">
        <f ca="1">L51</f>
        <v>3947</v>
      </c>
      <c r="R68" s="2430" t="s">
        <v>2417</v>
      </c>
    </row>
    <row r="69" spans="1:18" ht="20.25" thickBot="1">
      <c r="A69" s="790"/>
      <c r="B69" s="791"/>
      <c r="C69" s="792"/>
      <c r="D69" s="816"/>
      <c r="E69" s="784" t="s">
        <v>710</v>
      </c>
      <c r="F69" s="2371"/>
      <c r="O69" s="2425" t="s">
        <v>2385</v>
      </c>
      <c r="P69" s="2431" t="s">
        <v>2399</v>
      </c>
      <c r="Q69" s="2424">
        <f ca="1">ROUND(Q70-Q71*Q72,0)</f>
        <v>231</v>
      </c>
      <c r="R69" s="2427"/>
    </row>
    <row r="70" spans="1:18" ht="15.75" thickBot="1">
      <c r="A70" s="823" t="s">
        <v>1787</v>
      </c>
      <c r="B70" s="824" t="s">
        <v>1810</v>
      </c>
      <c r="C70" s="825">
        <f ca="1">ROUND(C67*10000/F70,0)</f>
        <v>-979</v>
      </c>
      <c r="D70" s="826" t="s">
        <v>1811</v>
      </c>
      <c r="E70" s="827" t="s">
        <v>1812</v>
      </c>
      <c r="F70" s="828">
        <f ca="1">F43</f>
        <v>6957.79</v>
      </c>
      <c r="O70" s="2425" t="s">
        <v>2400</v>
      </c>
      <c r="P70" s="2431" t="s">
        <v>2401</v>
      </c>
      <c r="Q70" s="2424">
        <f ca="1">C39</f>
        <v>362</v>
      </c>
      <c r="R70" s="2423" t="s">
        <v>2381</v>
      </c>
    </row>
    <row r="71" spans="1:18" ht="15.75" thickBot="1">
      <c r="O71" s="2425" t="s">
        <v>2402</v>
      </c>
      <c r="P71" s="2431" t="s">
        <v>2403</v>
      </c>
      <c r="Q71" s="2424">
        <f ca="1">C13</f>
        <v>1642</v>
      </c>
      <c r="R71" s="2423" t="s">
        <v>2381</v>
      </c>
    </row>
    <row r="72" spans="1:18" ht="15.75" thickBot="1">
      <c r="O72" s="2425" t="s">
        <v>2404</v>
      </c>
      <c r="P72" s="2431" t="s">
        <v>2405</v>
      </c>
      <c r="Q72" s="2426">
        <f ca="1">J36</f>
        <v>0.08</v>
      </c>
      <c r="R72" s="2427"/>
    </row>
    <row r="73" spans="1:18" ht="15.75" thickBot="1">
      <c r="O73" s="2425" t="s">
        <v>2387</v>
      </c>
      <c r="P73" s="2423" t="s">
        <v>2394</v>
      </c>
      <c r="Q73" s="2426">
        <f>L52</f>
        <v>0</v>
      </c>
      <c r="R73" s="2427"/>
    </row>
    <row r="74" spans="1:18" ht="20.25" thickBot="1">
      <c r="O74" s="2425" t="s">
        <v>2389</v>
      </c>
      <c r="P74" s="2423" t="s">
        <v>2395</v>
      </c>
      <c r="Q74" s="2424" t="e">
        <f ca="1">L58</f>
        <v>#DIV/0!</v>
      </c>
      <c r="R74" s="2427" t="s">
        <v>2396</v>
      </c>
    </row>
    <row r="75" spans="1:18" ht="15.75" thickBot="1">
      <c r="O75" s="2425" t="s">
        <v>2418</v>
      </c>
      <c r="P75" s="2423" t="str">
        <f>K59</f>
        <v>建设期及建筑物耐用年限下的土地年期修正系数Kn</v>
      </c>
      <c r="Q75" s="2424" t="e">
        <f ca="1">L59</f>
        <v>#DIV/0!</v>
      </c>
      <c r="R75" s="2427" t="s">
        <v>2398</v>
      </c>
    </row>
    <row r="76" spans="1:18" ht="15.75" thickBot="1">
      <c r="O76" s="2422" t="s">
        <v>2392</v>
      </c>
      <c r="P76" s="2423" t="s">
        <v>2409</v>
      </c>
      <c r="Q76" s="2424">
        <f ca="1">Q66+Q67</f>
        <v>7489</v>
      </c>
      <c r="R76" s="2427"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82"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7" t="s">
        <v>2474</v>
      </c>
      <c r="B1" s="3468"/>
      <c r="C1" s="3469"/>
      <c r="D1" s="3470">
        <f>SUM(I10,I15,I20,I21,I23)</f>
        <v>0</v>
      </c>
      <c r="E1" s="3470"/>
      <c r="F1" s="3470"/>
      <c r="G1" s="3470"/>
      <c r="H1" s="3470"/>
      <c r="I1" s="3471"/>
    </row>
    <row r="2" spans="1:9">
      <c r="A2" s="3457" t="s">
        <v>2475</v>
      </c>
      <c r="B2" s="3458" t="s">
        <v>2476</v>
      </c>
      <c r="C2" s="3458"/>
      <c r="D2" s="2531" t="s">
        <v>2477</v>
      </c>
      <c r="E2" s="2531" t="s">
        <v>2478</v>
      </c>
      <c r="F2" s="2531" t="s">
        <v>2479</v>
      </c>
      <c r="G2" s="2531" t="s">
        <v>2480</v>
      </c>
      <c r="H2" s="2531" t="s">
        <v>2481</v>
      </c>
      <c r="I2" s="2532" t="s">
        <v>2482</v>
      </c>
    </row>
    <row r="3" spans="1:9">
      <c r="A3" s="3457"/>
      <c r="B3" s="3458" t="s">
        <v>2483</v>
      </c>
      <c r="C3" s="3458"/>
      <c r="D3" s="2533"/>
      <c r="E3" s="2531"/>
      <c r="F3" s="2534"/>
      <c r="G3" s="2534"/>
      <c r="H3" s="2535"/>
      <c r="I3" s="2536">
        <f>ROUND(D3*E3*F3*G3*H3/10000,0)</f>
        <v>0</v>
      </c>
    </row>
    <row r="4" spans="1:9">
      <c r="A4" s="3457"/>
      <c r="B4" s="3458" t="s">
        <v>2484</v>
      </c>
      <c r="C4" s="3458"/>
      <c r="D4" s="2533"/>
      <c r="E4" s="2531"/>
      <c r="F4" s="2534"/>
      <c r="G4" s="2534"/>
      <c r="H4" s="2535"/>
      <c r="I4" s="2536">
        <f t="shared" ref="I4:I9" si="0">ROUND(D4*E4*F4*G4*H4/10000,0)</f>
        <v>0</v>
      </c>
    </row>
    <row r="5" spans="1:9">
      <c r="A5" s="3457"/>
      <c r="B5" s="3458" t="s">
        <v>2485</v>
      </c>
      <c r="C5" s="3458"/>
      <c r="D5" s="2533"/>
      <c r="E5" s="2531"/>
      <c r="F5" s="2534"/>
      <c r="G5" s="2534"/>
      <c r="H5" s="2535"/>
      <c r="I5" s="2536">
        <f t="shared" si="0"/>
        <v>0</v>
      </c>
    </row>
    <row r="6" spans="1:9">
      <c r="A6" s="3457"/>
      <c r="B6" s="3458" t="s">
        <v>2486</v>
      </c>
      <c r="C6" s="3458"/>
      <c r="D6" s="2533"/>
      <c r="E6" s="2531"/>
      <c r="F6" s="2534"/>
      <c r="G6" s="2534"/>
      <c r="H6" s="2535"/>
      <c r="I6" s="2536">
        <f t="shared" si="0"/>
        <v>0</v>
      </c>
    </row>
    <row r="7" spans="1:9">
      <c r="A7" s="3457"/>
      <c r="B7" s="3458" t="s">
        <v>2487</v>
      </c>
      <c r="C7" s="3458"/>
      <c r="D7" s="2533"/>
      <c r="E7" s="2531"/>
      <c r="F7" s="2534"/>
      <c r="G7" s="2534"/>
      <c r="H7" s="2535"/>
      <c r="I7" s="2536">
        <f t="shared" si="0"/>
        <v>0</v>
      </c>
    </row>
    <row r="8" spans="1:9">
      <c r="A8" s="3457"/>
      <c r="B8" s="3458" t="s">
        <v>2488</v>
      </c>
      <c r="C8" s="3458"/>
      <c r="D8" s="2533"/>
      <c r="E8" s="2531"/>
      <c r="F8" s="2534"/>
      <c r="G8" s="2534"/>
      <c r="H8" s="2535"/>
      <c r="I8" s="2536">
        <f t="shared" si="0"/>
        <v>0</v>
      </c>
    </row>
    <row r="9" spans="1:9">
      <c r="A9" s="3457"/>
      <c r="B9" s="3458" t="s">
        <v>2489</v>
      </c>
      <c r="C9" s="3458"/>
      <c r="D9" s="2533"/>
      <c r="E9" s="2531"/>
      <c r="F9" s="2534"/>
      <c r="G9" s="2534"/>
      <c r="H9" s="2535"/>
      <c r="I9" s="2536">
        <f t="shared" si="0"/>
        <v>0</v>
      </c>
    </row>
    <row r="10" spans="1:9">
      <c r="A10" s="3457"/>
      <c r="B10" s="3459" t="s">
        <v>2490</v>
      </c>
      <c r="C10" s="3459"/>
      <c r="D10" s="2537">
        <v>527</v>
      </c>
      <c r="E10" s="2537" t="e">
        <f>ROUND(D1*10000/D10/H9,0)</f>
        <v>#DIV/0!</v>
      </c>
      <c r="F10" s="2538"/>
      <c r="G10" s="2538"/>
      <c r="H10" s="2539"/>
      <c r="I10" s="2540">
        <f>SUM(I3:I9)</f>
        <v>0</v>
      </c>
    </row>
    <row r="11" spans="1:9" ht="14.25">
      <c r="A11" s="3457" t="s">
        <v>2491</v>
      </c>
      <c r="B11" s="3458" t="s">
        <v>2492</v>
      </c>
      <c r="C11" s="3458"/>
      <c r="D11" s="2533" t="s">
        <v>2493</v>
      </c>
      <c r="E11" s="2533" t="s">
        <v>2494</v>
      </c>
      <c r="F11" s="2534" t="s">
        <v>2495</v>
      </c>
      <c r="G11" s="2534" t="s">
        <v>2496</v>
      </c>
      <c r="H11" s="2541" t="s">
        <v>2497</v>
      </c>
      <c r="I11" s="2532" t="s">
        <v>2498</v>
      </c>
    </row>
    <row r="12" spans="1:9">
      <c r="A12" s="3457"/>
      <c r="B12" s="3458" t="s">
        <v>2499</v>
      </c>
      <c r="C12" s="3458"/>
      <c r="D12" s="2533"/>
      <c r="E12" s="2533"/>
      <c r="F12" s="2534"/>
      <c r="G12" s="2535"/>
      <c r="H12" s="2542"/>
      <c r="I12" s="2532">
        <f>ROUND(D12*E12*F12*G12/10000,0)</f>
        <v>0</v>
      </c>
    </row>
    <row r="13" spans="1:9">
      <c r="A13" s="3457"/>
      <c r="B13" s="3458" t="s">
        <v>2500</v>
      </c>
      <c r="C13" s="3458"/>
      <c r="D13" s="2533"/>
      <c r="E13" s="2533"/>
      <c r="F13" s="2534"/>
      <c r="G13" s="2535"/>
      <c r="H13" s="2542"/>
      <c r="I13" s="2532">
        <f>ROUND(D13*E13*F13*G13/10000,0)</f>
        <v>0</v>
      </c>
    </row>
    <row r="14" spans="1:9">
      <c r="A14" s="3457"/>
      <c r="B14" s="3458" t="s">
        <v>2501</v>
      </c>
      <c r="C14" s="3458"/>
      <c r="D14" s="2533"/>
      <c r="E14" s="2533"/>
      <c r="F14" s="2534"/>
      <c r="G14" s="2535"/>
      <c r="H14" s="2542"/>
      <c r="I14" s="2532">
        <f>ROUND(D14*E14*F14*G14/10000,0)</f>
        <v>0</v>
      </c>
    </row>
    <row r="15" spans="1:9">
      <c r="A15" s="3457"/>
      <c r="B15" s="3459" t="s">
        <v>2490</v>
      </c>
      <c r="C15" s="3459"/>
      <c r="D15" s="2537"/>
      <c r="E15" s="2537">
        <f>SUM(E12:E14)</f>
        <v>0</v>
      </c>
      <c r="F15" s="2538"/>
      <c r="G15" s="2535"/>
      <c r="H15" s="2542"/>
      <c r="I15" s="2543">
        <f>SUM(I12:I14)</f>
        <v>0</v>
      </c>
    </row>
    <row r="16" spans="1:9" ht="24">
      <c r="A16" s="3457" t="s">
        <v>2502</v>
      </c>
      <c r="B16" s="3458" t="s">
        <v>2503</v>
      </c>
      <c r="C16" s="3458"/>
      <c r="D16" s="2533" t="s">
        <v>2504</v>
      </c>
      <c r="E16" s="2544" t="s">
        <v>2505</v>
      </c>
      <c r="F16" s="2534" t="s">
        <v>2506</v>
      </c>
      <c r="G16" s="2535" t="s">
        <v>2496</v>
      </c>
      <c r="H16" s="2541" t="s">
        <v>2497</v>
      </c>
      <c r="I16" s="2532" t="s">
        <v>2498</v>
      </c>
    </row>
    <row r="17" spans="1:9" ht="14.25">
      <c r="A17" s="3457"/>
      <c r="B17" s="3458" t="s">
        <v>2507</v>
      </c>
      <c r="C17" s="3458"/>
      <c r="D17" s="2533"/>
      <c r="E17" s="2533"/>
      <c r="F17" s="2534"/>
      <c r="G17" s="2535"/>
      <c r="H17" s="2545"/>
      <c r="I17" s="2546">
        <f>ROUND(D17*E17*F17*G17/10000,0)</f>
        <v>0</v>
      </c>
    </row>
    <row r="18" spans="1:9" ht="14.25">
      <c r="A18" s="3457"/>
      <c r="B18" s="3458" t="s">
        <v>2508</v>
      </c>
      <c r="C18" s="3458"/>
      <c r="D18" s="2533"/>
      <c r="E18" s="2533"/>
      <c r="F18" s="2534"/>
      <c r="G18" s="2535"/>
      <c r="H18" s="2545"/>
      <c r="I18" s="2546">
        <f>ROUND(D18*E18*F18*G18/10000,0)</f>
        <v>0</v>
      </c>
    </row>
    <row r="19" spans="1:9" ht="14.25">
      <c r="A19" s="3457"/>
      <c r="B19" s="3458" t="s">
        <v>2509</v>
      </c>
      <c r="C19" s="3458"/>
      <c r="D19" s="2533"/>
      <c r="E19" s="2533"/>
      <c r="F19" s="2534"/>
      <c r="G19" s="2535"/>
      <c r="H19" s="2545"/>
      <c r="I19" s="2546">
        <f>ROUND(D19*E19*F19*G19/10000,0)</f>
        <v>0</v>
      </c>
    </row>
    <row r="20" spans="1:9">
      <c r="A20" s="3457"/>
      <c r="B20" s="3459" t="s">
        <v>2490</v>
      </c>
      <c r="C20" s="3459"/>
      <c r="D20" s="2537">
        <f>SUM(D17:D19)</f>
        <v>0</v>
      </c>
      <c r="E20" s="2537"/>
      <c r="F20" s="2538"/>
      <c r="G20" s="2535"/>
      <c r="H20" s="2542"/>
      <c r="I20" s="2543">
        <f>SUM(I17:I19)</f>
        <v>0</v>
      </c>
    </row>
    <row r="21" spans="1:9">
      <c r="A21" s="3457" t="s">
        <v>2510</v>
      </c>
      <c r="B21" s="3460"/>
      <c r="C21" s="3460"/>
      <c r="D21" s="3460"/>
      <c r="E21" s="3460"/>
      <c r="F21" s="3460"/>
      <c r="G21" s="3460"/>
      <c r="H21" s="2547">
        <v>0.1</v>
      </c>
      <c r="I21" s="2540">
        <f>ROUND(I10*H21,0)</f>
        <v>0</v>
      </c>
    </row>
    <row r="22" spans="1:9" ht="14.25">
      <c r="A22" s="3461" t="s">
        <v>2511</v>
      </c>
      <c r="B22" s="3462"/>
      <c r="C22" s="3463"/>
      <c r="D22" s="2548" t="s">
        <v>2512</v>
      </c>
      <c r="E22" s="2548" t="s">
        <v>2513</v>
      </c>
      <c r="F22" s="2549" t="s">
        <v>2514</v>
      </c>
      <c r="G22" s="2549" t="s">
        <v>2515</v>
      </c>
      <c r="H22" s="2541" t="s">
        <v>2516</v>
      </c>
      <c r="I22" s="2532" t="s">
        <v>2517</v>
      </c>
    </row>
    <row r="23" spans="1:9" ht="14.25" thickBot="1">
      <c r="A23" s="3464"/>
      <c r="B23" s="3465"/>
      <c r="C23" s="3466"/>
      <c r="D23" s="2550"/>
      <c r="E23" s="2550"/>
      <c r="F23" s="2550"/>
      <c r="G23" s="2551"/>
      <c r="H23" s="2552"/>
      <c r="I23" s="2553">
        <f>ROUND(E23*D23*F23*(1-G23)/10000,0)</f>
        <v>0</v>
      </c>
    </row>
    <row r="26" spans="1:9">
      <c r="A26" s="2554" t="s">
        <v>2518</v>
      </c>
      <c r="B26" s="2554"/>
      <c r="C26" s="2554"/>
      <c r="D26" s="2554"/>
      <c r="E26" s="3454">
        <f>C27-C30-C31-C32</f>
        <v>0</v>
      </c>
      <c r="F26" s="3454"/>
      <c r="G26" s="3454"/>
      <c r="H26" s="3070" t="s">
        <v>2848</v>
      </c>
    </row>
    <row r="27" spans="1:9">
      <c r="A27" s="2555">
        <v>1</v>
      </c>
      <c r="B27" s="2556" t="s">
        <v>2519</v>
      </c>
      <c r="C27" s="2556"/>
      <c r="D27" s="2556"/>
      <c r="E27" s="3455"/>
      <c r="F27" s="3455"/>
      <c r="G27" s="3455"/>
    </row>
    <row r="28" spans="1:9">
      <c r="A28" s="2557" t="s">
        <v>2520</v>
      </c>
      <c r="B28" s="2556" t="s">
        <v>2521</v>
      </c>
      <c r="C28" s="2556"/>
      <c r="D28" s="2556"/>
      <c r="E28" s="3455"/>
      <c r="F28" s="3455"/>
      <c r="G28" s="3455"/>
    </row>
    <row r="29" spans="1:9">
      <c r="A29" s="2557" t="s">
        <v>2522</v>
      </c>
      <c r="B29" s="2556" t="s">
        <v>2462</v>
      </c>
      <c r="C29" s="2556"/>
      <c r="D29" s="2556"/>
      <c r="E29" s="2556" t="s">
        <v>2523</v>
      </c>
      <c r="F29" s="2556"/>
      <c r="G29" s="2556"/>
    </row>
    <row r="30" spans="1:9">
      <c r="A30" s="2555">
        <v>2</v>
      </c>
      <c r="B30" s="2556" t="s">
        <v>2524</v>
      </c>
      <c r="C30" s="2556">
        <f>C27*D30</f>
        <v>0</v>
      </c>
      <c r="D30" s="2558">
        <v>0.2</v>
      </c>
      <c r="E30" s="2556" t="s">
        <v>2525</v>
      </c>
      <c r="F30" s="2556"/>
      <c r="G30" s="2556"/>
    </row>
    <row r="31" spans="1:9">
      <c r="A31" s="2555">
        <v>3</v>
      </c>
      <c r="B31" s="2556" t="s">
        <v>2526</v>
      </c>
      <c r="C31" s="2556">
        <f>C25*D31</f>
        <v>0</v>
      </c>
      <c r="D31" s="2558">
        <v>0.15</v>
      </c>
      <c r="E31" s="2556" t="s">
        <v>2527</v>
      </c>
      <c r="F31" s="2556"/>
      <c r="G31" s="2556"/>
    </row>
    <row r="32" spans="1:9">
      <c r="A32" s="2555">
        <v>4</v>
      </c>
      <c r="B32" s="2556" t="s">
        <v>2528</v>
      </c>
      <c r="C32" s="2556">
        <f>C27*D32</f>
        <v>0</v>
      </c>
      <c r="D32" s="2558">
        <v>0.05</v>
      </c>
      <c r="E32" s="3456"/>
      <c r="F32" s="3456"/>
      <c r="G32" s="3456"/>
    </row>
    <row r="33" spans="1:7" hidden="1">
      <c r="A33" s="3451" t="s">
        <v>2529</v>
      </c>
      <c r="B33" s="3452"/>
      <c r="C33" s="3452"/>
      <c r="D33" s="3453"/>
      <c r="E33" s="3454"/>
      <c r="F33" s="3454"/>
      <c r="G33" s="3454"/>
    </row>
    <row r="34" spans="1:7" hidden="1">
      <c r="A34" s="2559">
        <v>1</v>
      </c>
      <c r="B34" s="2556" t="s">
        <v>2530</v>
      </c>
      <c r="C34" s="2556"/>
      <c r="D34" s="2556"/>
      <c r="E34" s="3455"/>
      <c r="F34" s="3455"/>
      <c r="G34" s="3455"/>
    </row>
    <row r="35" spans="1:7" hidden="1">
      <c r="A35" s="2559">
        <v>2</v>
      </c>
      <c r="B35" s="2556" t="s">
        <v>2531</v>
      </c>
      <c r="C35" s="2556"/>
      <c r="D35" s="2556"/>
      <c r="E35" s="3455"/>
      <c r="F35" s="3455"/>
      <c r="G35" s="3455"/>
    </row>
    <row r="36" spans="1:7" hidden="1">
      <c r="A36" s="2559">
        <v>3</v>
      </c>
      <c r="B36" s="2556" t="s">
        <v>2532</v>
      </c>
      <c r="C36" s="2556"/>
      <c r="D36" s="2556"/>
      <c r="E36" s="3455"/>
      <c r="F36" s="3455"/>
      <c r="G36" s="3455"/>
    </row>
    <row r="37" spans="1:7" hidden="1">
      <c r="A37" s="2559">
        <v>4</v>
      </c>
      <c r="B37" s="2556" t="s">
        <v>2533</v>
      </c>
      <c r="C37" s="2556"/>
      <c r="D37" s="2556"/>
      <c r="E37" s="3455"/>
      <c r="F37" s="3455"/>
      <c r="G37" s="3455"/>
    </row>
    <row r="38" spans="1:7" hidden="1">
      <c r="A38" s="3451" t="s">
        <v>2534</v>
      </c>
      <c r="B38" s="3452"/>
      <c r="C38" s="3452"/>
      <c r="D38" s="3453"/>
      <c r="E38" s="3454"/>
      <c r="F38" s="3454"/>
      <c r="G38" s="345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3" t="s">
        <v>603</v>
      </c>
      <c r="B1" s="742"/>
      <c r="C1" s="2182"/>
      <c r="D1" s="2182"/>
      <c r="E1" s="2182"/>
      <c r="F1" s="2182"/>
      <c r="G1" s="2108"/>
    </row>
    <row r="2" spans="1:25" s="2059" customFormat="1" ht="18" customHeight="1">
      <c r="A2" s="425" t="s">
        <v>466</v>
      </c>
      <c r="B2" s="427">
        <f ca="1">C23</f>
        <v>0</v>
      </c>
      <c r="C2" s="2108"/>
      <c r="D2" s="2108"/>
      <c r="E2" s="2108"/>
      <c r="F2" s="2108"/>
      <c r="G2" s="2108"/>
    </row>
    <row r="3" spans="1:25" s="2059" customFormat="1" ht="18" customHeight="1">
      <c r="A3" s="1378" t="s">
        <v>1685</v>
      </c>
      <c r="B3" s="427">
        <f ca="1">ROUND(B2*10000/'数据-汇总表'!E3,0)</f>
        <v>0</v>
      </c>
      <c r="C3" s="2108"/>
      <c r="D3" s="2108"/>
      <c r="E3" s="2108"/>
      <c r="F3" s="2108"/>
      <c r="G3" s="2108"/>
    </row>
    <row r="4" spans="1:25" s="2059" customFormat="1" ht="18" customHeight="1">
      <c r="A4" s="428" t="s">
        <v>467</v>
      </c>
      <c r="B4" s="429">
        <f ca="1">ROUND(B2*10000/'数据-汇总表'!D3,0)</f>
        <v>0</v>
      </c>
      <c r="C4" s="2061"/>
      <c r="D4" s="2108"/>
      <c r="E4" s="2108"/>
      <c r="F4" s="2108"/>
      <c r="G4" s="2108"/>
    </row>
    <row r="5" spans="1:25" s="2059" customFormat="1" ht="18" customHeight="1" thickBot="1">
      <c r="A5" s="431"/>
      <c r="B5" s="432">
        <f ca="1">ROUND(B2/('数据-汇总表'!D3/666.67),0)</f>
        <v>0</v>
      </c>
      <c r="C5" s="433" t="s">
        <v>468</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93">
        <v>1</v>
      </c>
      <c r="B7" s="748" t="s">
        <v>609</v>
      </c>
      <c r="C7" s="749">
        <f>C8+C9</f>
        <v>0</v>
      </c>
      <c r="D7" s="749"/>
      <c r="E7" s="750"/>
      <c r="F7" s="750"/>
      <c r="G7" s="2503"/>
    </row>
    <row r="8" spans="1:25" s="2183" customFormat="1" ht="13.5" customHeight="1">
      <c r="A8" s="2493" t="s">
        <v>2441</v>
      </c>
      <c r="B8" s="2496" t="s">
        <v>2443</v>
      </c>
      <c r="C8" s="2497"/>
      <c r="D8" s="749"/>
      <c r="E8" s="750"/>
      <c r="F8" s="750"/>
      <c r="G8" s="751"/>
    </row>
    <row r="9" spans="1:25" s="2183" customFormat="1" ht="13.5" customHeight="1">
      <c r="A9" s="2493" t="s">
        <v>2442</v>
      </c>
      <c r="B9" s="2496" t="s">
        <v>2444</v>
      </c>
      <c r="C9" s="2497"/>
      <c r="D9" s="749"/>
      <c r="E9" s="750"/>
      <c r="F9" s="750"/>
      <c r="G9" s="751"/>
    </row>
    <row r="10" spans="1:25" s="2183" customFormat="1" ht="36">
      <c r="A10" s="2493">
        <v>2</v>
      </c>
      <c r="B10" s="748" t="s">
        <v>613</v>
      </c>
      <c r="C10" s="749">
        <f>C11+C14+C15</f>
        <v>0</v>
      </c>
      <c r="D10" s="760">
        <f>'数据-汇总表'!E3</f>
        <v>231926.37</v>
      </c>
      <c r="E10" s="749">
        <f>'数据-取费表'!B31</f>
        <v>70</v>
      </c>
      <c r="F10" s="761"/>
      <c r="G10" s="759" t="s">
        <v>614</v>
      </c>
    </row>
    <row r="11" spans="1:25" s="2183" customFormat="1" ht="13.5" customHeight="1">
      <c r="A11" s="2493" t="s">
        <v>2441</v>
      </c>
      <c r="B11" s="752" t="s">
        <v>610</v>
      </c>
      <c r="C11" s="753">
        <f>'数据-取费表'!B29</f>
        <v>0</v>
      </c>
      <c r="D11" s="754"/>
      <c r="E11" s="753"/>
      <c r="F11" s="755"/>
      <c r="G11" s="2502" t="s">
        <v>2452</v>
      </c>
    </row>
    <row r="12" spans="1:25" s="2183" customFormat="1" ht="13.5" customHeight="1">
      <c r="A12" s="2500" t="s">
        <v>2449</v>
      </c>
      <c r="B12" s="756" t="s">
        <v>611</v>
      </c>
      <c r="C12" s="757">
        <f>ROUND(D12*E12/10000,0)</f>
        <v>3037</v>
      </c>
      <c r="D12" s="758">
        <f>'数据-汇总表'!E5</f>
        <v>224968.58</v>
      </c>
      <c r="E12" s="757">
        <f>'数据-取费表'!B27</f>
        <v>135</v>
      </c>
      <c r="F12" s="755"/>
      <c r="G12" s="759"/>
    </row>
    <row r="13" spans="1:25" s="2183" customFormat="1" ht="13.5" customHeight="1">
      <c r="A13" s="2500" t="s">
        <v>2448</v>
      </c>
      <c r="B13" s="756" t="s">
        <v>612</v>
      </c>
      <c r="C13" s="757">
        <f>ROUND(D13*E13/10000,0)</f>
        <v>94</v>
      </c>
      <c r="D13" s="758">
        <f>'数据-汇总表'!E6</f>
        <v>6957.7900000000081</v>
      </c>
      <c r="E13" s="757">
        <f>'数据-取费表'!B28</f>
        <v>135</v>
      </c>
      <c r="F13" s="755"/>
      <c r="G13" s="759"/>
    </row>
    <row r="14" spans="1:25" s="2183" customFormat="1" ht="13.5" customHeight="1">
      <c r="A14" s="2493" t="s">
        <v>2442</v>
      </c>
      <c r="B14" s="2499" t="s">
        <v>2445</v>
      </c>
      <c r="C14" s="2497"/>
      <c r="D14" s="758"/>
      <c r="E14" s="757"/>
      <c r="F14" s="2498"/>
      <c r="G14" s="2501" t="s">
        <v>2450</v>
      </c>
    </row>
    <row r="15" spans="1:25" s="2183" customFormat="1" ht="13.5" customHeight="1">
      <c r="A15" s="2493" t="s">
        <v>2447</v>
      </c>
      <c r="B15" s="2499" t="s">
        <v>2446</v>
      </c>
      <c r="C15" s="2497"/>
      <c r="D15" s="758"/>
      <c r="E15" s="757"/>
      <c r="F15" s="2498"/>
      <c r="G15" s="2501" t="s">
        <v>2451</v>
      </c>
    </row>
    <row r="16" spans="1:25" s="2184" customFormat="1" ht="48">
      <c r="A16" s="2493">
        <v>3</v>
      </c>
      <c r="B16" s="748" t="s">
        <v>615</v>
      </c>
      <c r="C16" s="2497"/>
      <c r="D16" s="760"/>
      <c r="E16" s="749"/>
      <c r="F16" s="761"/>
      <c r="G16" s="759" t="s">
        <v>2453</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8" t="s">
        <v>616</v>
      </c>
      <c r="C17" s="2597">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8" t="s">
        <v>617</v>
      </c>
      <c r="C18" s="749">
        <f>ROUND((C7+C10+C16)*F18,0)</f>
        <v>0</v>
      </c>
      <c r="D18" s="762"/>
      <c r="E18" s="763"/>
      <c r="F18" s="761">
        <f>'数据-取费表'!Q16</f>
        <v>0.05</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8" t="s">
        <v>621</v>
      </c>
      <c r="C20" s="749">
        <f ca="1">ROUND(C19*F20,0)</f>
        <v>0</v>
      </c>
      <c r="D20" s="760"/>
      <c r="E20" s="749"/>
      <c r="F20" s="1348"/>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8" t="s">
        <v>625</v>
      </c>
      <c r="C22" s="749">
        <f ca="1">ROUND(C21*F22,0)</f>
        <v>0</v>
      </c>
      <c r="D22" s="760"/>
      <c r="E22" s="749"/>
      <c r="F22" s="766">
        <f>'数据-取费表'!AP16</f>
        <v>0.95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22" zoomScale="80" zoomScaleNormal="80" workbookViewId="0">
      <selection activeCell="K57" sqref="K5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756</v>
      </c>
      <c r="C1" s="506" t="s">
        <v>720</v>
      </c>
      <c r="D1" s="2370"/>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519</v>
      </c>
      <c r="B3" s="512" t="e">
        <f>C49</f>
        <v>#DIV/0!</v>
      </c>
      <c r="C3" s="852" t="s">
        <v>722</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30"/>
    </row>
    <row r="4" spans="1:29" ht="15">
      <c r="A4" s="514" t="s">
        <v>521</v>
      </c>
      <c r="B4" s="515"/>
      <c r="C4" s="3374" t="s">
        <v>522</v>
      </c>
      <c r="D4" s="3375"/>
      <c r="E4" s="3398" t="s">
        <v>523</v>
      </c>
      <c r="F4" s="3399"/>
      <c r="G4" s="3374" t="s">
        <v>524</v>
      </c>
      <c r="H4" s="3375"/>
      <c r="I4" s="3374" t="s">
        <v>525</v>
      </c>
      <c r="J4" s="3375"/>
      <c r="K4" s="516" t="s">
        <v>526</v>
      </c>
      <c r="L4" s="2133"/>
      <c r="M4" s="2134"/>
      <c r="N4" s="2134"/>
      <c r="O4" s="2134"/>
      <c r="P4" s="3376" t="s">
        <v>527</v>
      </c>
      <c r="Q4" s="3377"/>
      <c r="R4" s="3362" t="s">
        <v>523</v>
      </c>
      <c r="S4" s="3363"/>
      <c r="T4" s="3362" t="s">
        <v>524</v>
      </c>
      <c r="U4" s="3363"/>
      <c r="V4" s="3382" t="s">
        <v>525</v>
      </c>
      <c r="W4" s="3382"/>
      <c r="X4" s="1566"/>
      <c r="Y4" s="3362" t="s">
        <v>527</v>
      </c>
      <c r="Z4" s="3363"/>
      <c r="AA4" s="3357" t="s">
        <v>523</v>
      </c>
      <c r="AB4" s="3382" t="s">
        <v>524</v>
      </c>
      <c r="AC4" s="3357" t="s">
        <v>525</v>
      </c>
    </row>
    <row r="5" spans="1:29" ht="15">
      <c r="A5" s="517"/>
      <c r="B5" s="518"/>
      <c r="C5" s="3385" t="s">
        <v>2929</v>
      </c>
      <c r="D5" s="3386"/>
      <c r="E5" s="3400" t="s">
        <v>2930</v>
      </c>
      <c r="F5" s="3401"/>
      <c r="G5" s="3385" t="s">
        <v>2931</v>
      </c>
      <c r="H5" s="3386"/>
      <c r="I5" s="3385" t="s">
        <v>2932</v>
      </c>
      <c r="J5" s="3386"/>
      <c r="K5" s="516"/>
      <c r="L5" s="2133"/>
      <c r="M5" s="2134"/>
      <c r="N5" s="2134"/>
      <c r="O5" s="2134"/>
      <c r="P5" s="3378"/>
      <c r="Q5" s="3379"/>
      <c r="R5" s="3364"/>
      <c r="S5" s="3365"/>
      <c r="T5" s="3364"/>
      <c r="U5" s="3365"/>
      <c r="V5" s="3382"/>
      <c r="W5" s="3382"/>
      <c r="X5" s="1566"/>
      <c r="Y5" s="3364"/>
      <c r="Z5" s="3365"/>
      <c r="AA5" s="3358"/>
      <c r="AB5" s="3382"/>
      <c r="AC5" s="3358"/>
    </row>
    <row r="6" spans="1:29" ht="15.75" thickBot="1">
      <c r="A6" s="519"/>
      <c r="B6" s="520"/>
      <c r="C6" s="3383" t="s">
        <v>2933</v>
      </c>
      <c r="D6" s="3384"/>
      <c r="E6" s="3402" t="s">
        <v>2933</v>
      </c>
      <c r="F6" s="3403"/>
      <c r="G6" s="3383" t="s">
        <v>2933</v>
      </c>
      <c r="H6" s="3384"/>
      <c r="I6" s="3383" t="s">
        <v>2933</v>
      </c>
      <c r="J6" s="3384"/>
      <c r="K6" s="516" t="s">
        <v>528</v>
      </c>
      <c r="L6" s="2133"/>
      <c r="M6" s="2134"/>
      <c r="N6" s="2134"/>
      <c r="O6" s="2134"/>
      <c r="P6" s="3380"/>
      <c r="Q6" s="3381"/>
      <c r="R6" s="3364"/>
      <c r="S6" s="3365"/>
      <c r="T6" s="3366"/>
      <c r="U6" s="3367"/>
      <c r="V6" s="3382"/>
      <c r="W6" s="3382"/>
      <c r="X6" s="1566"/>
      <c r="Y6" s="3366"/>
      <c r="Z6" s="3367"/>
      <c r="AA6" s="3359"/>
      <c r="AB6" s="3382"/>
      <c r="AC6" s="3359"/>
    </row>
    <row r="7" spans="1:29" s="1219" customFormat="1" ht="15.75" thickBot="1">
      <c r="A7" s="2938"/>
      <c r="B7" s="2945" t="s">
        <v>529</v>
      </c>
      <c r="C7" s="521">
        <f>'数据-取费表'!B2</f>
        <v>43083</v>
      </c>
      <c r="D7" s="522">
        <v>100</v>
      </c>
      <c r="E7" s="523"/>
      <c r="F7" s="524">
        <f>SUMIF(58:58,YEAR(E7)&amp;"-"&amp;MONTH(E7),59:59)</f>
        <v>0</v>
      </c>
      <c r="G7" s="523"/>
      <c r="H7" s="522">
        <f>SUMIF(58:58,YEAR(G7)&amp;"-"&amp;MONTH(G7),59:59)</f>
        <v>0</v>
      </c>
      <c r="I7" s="523"/>
      <c r="J7" s="522">
        <f>SUMIF(58:58,YEAR(I7)&amp;"-"&amp;MONTH(I7),59:59)</f>
        <v>0</v>
      </c>
      <c r="K7" s="526"/>
      <c r="L7" s="2135"/>
      <c r="M7" s="2136"/>
      <c r="N7" s="2136"/>
      <c r="O7" s="2136"/>
      <c r="P7" s="3360" t="s">
        <v>530</v>
      </c>
      <c r="Q7" s="3369"/>
      <c r="R7" s="1567" t="s">
        <v>8</v>
      </c>
      <c r="S7" s="1568">
        <f t="shared" ref="S7:S15" si="0">F7</f>
        <v>0</v>
      </c>
      <c r="T7" s="1567" t="s">
        <v>8</v>
      </c>
      <c r="U7" s="1568">
        <f t="shared" ref="U7:U15" si="1">H7</f>
        <v>0</v>
      </c>
      <c r="V7" s="1567" t="s">
        <v>8</v>
      </c>
      <c r="W7" s="1568">
        <f t="shared" ref="W7:W15" si="2">J7</f>
        <v>0</v>
      </c>
      <c r="X7" s="1569"/>
      <c r="Y7" s="3360" t="s">
        <v>530</v>
      </c>
      <c r="Z7" s="3361"/>
      <c r="AA7" s="1570" t="e">
        <f>D7/F7</f>
        <v>#DIV/0!</v>
      </c>
      <c r="AB7" s="1570" t="e">
        <f>D7/H7</f>
        <v>#DIV/0!</v>
      </c>
      <c r="AC7" s="1570" t="e">
        <f>D7/J7</f>
        <v>#DIV/0!</v>
      </c>
    </row>
    <row r="8" spans="1:29" s="1219" customFormat="1" ht="15.75" thickBot="1">
      <c r="A8" s="2939"/>
      <c r="B8" s="2946" t="s">
        <v>531</v>
      </c>
      <c r="C8" s="527" t="s">
        <v>576</v>
      </c>
      <c r="D8" s="522">
        <v>100</v>
      </c>
      <c r="E8" s="527"/>
      <c r="F8" s="524">
        <f>SUMIF(61:61,E8,62:62)-SUMIF(61:61,C8,62:62)+100</f>
        <v>0</v>
      </c>
      <c r="G8" s="527"/>
      <c r="H8" s="522">
        <f>SUMIF(61:61,G8,62:62)-SUMIF(61:61,C8,62:62)+100</f>
        <v>0</v>
      </c>
      <c r="I8" s="527"/>
      <c r="J8" s="522">
        <f>SUMIF(61:61,I8,62:62)-SUMIF(61:61,C8,62:62)+100</f>
        <v>0</v>
      </c>
      <c r="K8" s="526"/>
      <c r="L8" s="2135"/>
      <c r="M8" s="2136"/>
      <c r="N8" s="2136"/>
      <c r="O8" s="2136"/>
      <c r="P8" s="3360" t="s">
        <v>533</v>
      </c>
      <c r="Q8" s="3361"/>
      <c r="R8" s="1567" t="s">
        <v>8</v>
      </c>
      <c r="S8" s="1568">
        <f t="shared" si="0"/>
        <v>0</v>
      </c>
      <c r="T8" s="1567" t="s">
        <v>8</v>
      </c>
      <c r="U8" s="1568">
        <f t="shared" si="1"/>
        <v>0</v>
      </c>
      <c r="V8" s="1567" t="s">
        <v>8</v>
      </c>
      <c r="W8" s="1568">
        <f t="shared" si="2"/>
        <v>0</v>
      </c>
      <c r="X8" s="1569"/>
      <c r="Y8" s="3360" t="s">
        <v>533</v>
      </c>
      <c r="Z8" s="3361"/>
      <c r="AA8" s="1570" t="e">
        <f t="shared" ref="AA8:AA46" si="3">D8/F8</f>
        <v>#DIV/0!</v>
      </c>
      <c r="AB8" s="1570" t="e">
        <f t="shared" ref="AB8:AB46" si="4">D8/H8</f>
        <v>#DIV/0!</v>
      </c>
      <c r="AC8" s="1570" t="e">
        <f t="shared" ref="AC8:AC46" si="5">D8/J8</f>
        <v>#DIV/0!</v>
      </c>
    </row>
    <row r="9" spans="1:29" s="1219" customFormat="1" ht="15">
      <c r="A9" s="2940"/>
      <c r="B9" s="2947" t="s">
        <v>2761</v>
      </c>
      <c r="C9" s="857"/>
      <c r="D9" s="253">
        <v>100</v>
      </c>
      <c r="E9" s="860"/>
      <c r="F9" s="253">
        <f>SUMIF(63:63,E9,64:64)-SUMIF(63:63,C9,64:64)+100</f>
        <v>100</v>
      </c>
      <c r="G9" s="858"/>
      <c r="H9" s="253">
        <f>SUMIF(63:63,G9,64:64)-SUMIF(63:63,C9,64:64)+100</f>
        <v>100</v>
      </c>
      <c r="I9" s="858"/>
      <c r="J9" s="253">
        <f>SUMIF(63:63,I9,64:64)-SUMIF(63:63,C9,64:64)+100</f>
        <v>100</v>
      </c>
      <c r="K9" s="526"/>
      <c r="L9" s="2135"/>
      <c r="M9" s="2136"/>
      <c r="N9" s="2136"/>
      <c r="O9" s="2137"/>
      <c r="P9" s="3368" t="s">
        <v>535</v>
      </c>
      <c r="Q9" s="1150" t="str">
        <f t="shared" ref="Q9:Q15" si="6">B9</f>
        <v>用途</v>
      </c>
      <c r="R9" s="1567" t="s">
        <v>8</v>
      </c>
      <c r="S9" s="1568">
        <f t="shared" si="0"/>
        <v>100</v>
      </c>
      <c r="T9" s="1567" t="s">
        <v>8</v>
      </c>
      <c r="U9" s="1568">
        <f t="shared" si="1"/>
        <v>100</v>
      </c>
      <c r="V9" s="1567" t="s">
        <v>8</v>
      </c>
      <c r="W9" s="1568">
        <f t="shared" si="2"/>
        <v>100</v>
      </c>
      <c r="X9" s="1569"/>
      <c r="Y9" s="332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SUMIF(65:65,E10,66:66)-SUMIF(65:65,C10,66:66)+100</f>
        <v>100</v>
      </c>
      <c r="G10" s="862"/>
      <c r="H10" s="254">
        <f>SUMIF(65:65,G10,66:66)-SUMIF(65:65,C10,66:66)+100</f>
        <v>100</v>
      </c>
      <c r="I10" s="861"/>
      <c r="J10" s="254">
        <f>SUMIF(65:65,I10,66:66)-SUMIF(65:65,C10,66:66)+100</f>
        <v>100</v>
      </c>
      <c r="K10" s="584"/>
      <c r="L10" s="2138"/>
      <c r="M10" s="2178"/>
      <c r="N10" s="2178"/>
      <c r="O10" s="2139"/>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LOOKUP(E11,68:68,69:69)-LOOKUP(C11,68:68,69:69)+100</f>
        <v>#N/A</v>
      </c>
      <c r="G11" s="534"/>
      <c r="H11" s="254" t="e">
        <f>LOOKUP(G11,68:68,69:69)-LOOKUP(C11,68:68,69:69)+100</f>
        <v>#N/A</v>
      </c>
      <c r="I11" s="533"/>
      <c r="J11" s="254" t="e">
        <f>LOOKUP(I11,68:68,69:69)-LOOKUP(C11,68:68,69:69)+100</f>
        <v>#N/A</v>
      </c>
      <c r="K11" s="584"/>
      <c r="L11" s="2140"/>
      <c r="M11" s="2134"/>
      <c r="N11" s="2134"/>
      <c r="O11" s="2141"/>
      <c r="P11" s="3368"/>
      <c r="Q11" s="1150" t="str">
        <f t="shared" si="6"/>
        <v>容积率</v>
      </c>
      <c r="R11" s="1567" t="s">
        <v>8</v>
      </c>
      <c r="S11" s="1568" t="e">
        <f t="shared" si="0"/>
        <v>#N/A</v>
      </c>
      <c r="T11" s="1567" t="s">
        <v>8</v>
      </c>
      <c r="U11" s="1568" t="e">
        <f t="shared" si="1"/>
        <v>#N/A</v>
      </c>
      <c r="V11" s="1567" t="s">
        <v>8</v>
      </c>
      <c r="W11" s="1568" t="e">
        <f t="shared" si="2"/>
        <v>#N/A</v>
      </c>
      <c r="X11" s="1569"/>
      <c r="Y11" s="332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SUMIF(70:70,E12,71:71)-SUMIF(70:70,C12,71:71)+100</f>
        <v>100</v>
      </c>
      <c r="G12" s="911"/>
      <c r="H12" s="254">
        <f>SUMIF(70:70,G12,71:71)-SUMIF(70:70,C12,71:71)+100</f>
        <v>100</v>
      </c>
      <c r="I12" s="539"/>
      <c r="J12" s="254">
        <f>SUMIF(70:70,I12,71:71)-SUMIF(70:70,C12,71:71)+100</f>
        <v>100</v>
      </c>
      <c r="K12" s="581"/>
      <c r="L12" s="2135"/>
      <c r="M12" s="2136"/>
      <c r="N12" s="2136"/>
      <c r="O12" s="2137"/>
      <c r="P12" s="3368"/>
      <c r="Q12" s="1150">
        <f t="shared" si="6"/>
        <v>111</v>
      </c>
      <c r="R12" s="1567" t="s">
        <v>8</v>
      </c>
      <c r="S12" s="1568">
        <f t="shared" si="0"/>
        <v>100</v>
      </c>
      <c r="T12" s="1567" t="s">
        <v>8</v>
      </c>
      <c r="U12" s="1568">
        <f t="shared" si="1"/>
        <v>100</v>
      </c>
      <c r="V12" s="1567" t="s">
        <v>8</v>
      </c>
      <c r="W12" s="1568">
        <f t="shared" si="2"/>
        <v>100</v>
      </c>
      <c r="X12" s="1569"/>
      <c r="Y12" s="3325"/>
      <c r="Z12" s="1149">
        <f t="shared" si="7"/>
        <v>111</v>
      </c>
      <c r="AA12" s="1570">
        <f>D12/F12</f>
        <v>1</v>
      </c>
      <c r="AB12" s="1570">
        <f>D12/H12</f>
        <v>1</v>
      </c>
      <c r="AC12" s="1570">
        <f>D12/J12</f>
        <v>1</v>
      </c>
    </row>
    <row r="13" spans="1:29" ht="15">
      <c r="A13" s="2943"/>
      <c r="B13" s="2949">
        <v>111</v>
      </c>
      <c r="C13" s="539"/>
      <c r="D13" s="540">
        <v>100</v>
      </c>
      <c r="E13" s="539"/>
      <c r="F13" s="254">
        <f>SUMIF(72:72,E13,73:73)-SUMIF(72:72,C13,73:73)+100</f>
        <v>100</v>
      </c>
      <c r="G13" s="911"/>
      <c r="H13" s="540">
        <f>SUMIF(72:72,G13,73:73)-SUMIF(72:72,C13,73:73)+100</f>
        <v>100</v>
      </c>
      <c r="I13" s="539"/>
      <c r="J13" s="540">
        <f>SUMIF(72:72,I13,73:73)-SUMIF(72:72,C13,73:73)+100</f>
        <v>100</v>
      </c>
      <c r="K13" s="581"/>
      <c r="L13" s="2142"/>
      <c r="M13" s="2134"/>
      <c r="N13" s="2134"/>
      <c r="O13" s="2141"/>
      <c r="P13" s="3368"/>
      <c r="Q13" s="1150">
        <f t="shared" si="6"/>
        <v>111</v>
      </c>
      <c r="R13" s="1567" t="s">
        <v>8</v>
      </c>
      <c r="S13" s="1568">
        <f t="shared" si="0"/>
        <v>100</v>
      </c>
      <c r="T13" s="1567" t="s">
        <v>8</v>
      </c>
      <c r="U13" s="1568">
        <f t="shared" si="1"/>
        <v>100</v>
      </c>
      <c r="V13" s="1567" t="s">
        <v>8</v>
      </c>
      <c r="W13" s="1568">
        <f t="shared" si="2"/>
        <v>100</v>
      </c>
      <c r="X13" s="1569"/>
      <c r="Y13" s="3325"/>
      <c r="Z13" s="1149">
        <f t="shared" si="7"/>
        <v>111</v>
      </c>
      <c r="AA13" s="1570">
        <f t="shared" si="3"/>
        <v>1</v>
      </c>
      <c r="AB13" s="1570">
        <f t="shared" si="4"/>
        <v>1</v>
      </c>
      <c r="AC13" s="1570">
        <f t="shared" si="5"/>
        <v>1</v>
      </c>
    </row>
    <row r="14" spans="1:29" ht="15.75" thickBot="1">
      <c r="A14" s="2944"/>
      <c r="B14" s="2950">
        <v>111</v>
      </c>
      <c r="C14" s="545"/>
      <c r="D14" s="546">
        <v>100</v>
      </c>
      <c r="E14" s="545"/>
      <c r="F14" s="546">
        <f>SUMIF(74:74,E14,75:75)-SUMIF(74:74,C14,75:75)+100</f>
        <v>100</v>
      </c>
      <c r="G14" s="911"/>
      <c r="H14" s="546">
        <f>SUMIF(74:74,G14,75:75)-SUMIF(74:74,C14,75:75)+100</f>
        <v>100</v>
      </c>
      <c r="I14" s="539"/>
      <c r="J14" s="546">
        <f>SUMIF(74:74,I14,75:75)-SUMIF(74:74,C14,75:75)+100</f>
        <v>100</v>
      </c>
      <c r="K14" s="581"/>
      <c r="L14" s="2142"/>
      <c r="M14" s="2134"/>
      <c r="N14" s="2134"/>
      <c r="O14" s="2141"/>
      <c r="P14" s="3368"/>
      <c r="Q14" s="1150">
        <f t="shared" si="6"/>
        <v>111</v>
      </c>
      <c r="R14" s="1567" t="s">
        <v>8</v>
      </c>
      <c r="S14" s="1568">
        <f t="shared" si="0"/>
        <v>100</v>
      </c>
      <c r="T14" s="1567" t="s">
        <v>8</v>
      </c>
      <c r="U14" s="1568">
        <f t="shared" si="1"/>
        <v>100</v>
      </c>
      <c r="V14" s="1567" t="s">
        <v>8</v>
      </c>
      <c r="W14" s="1568">
        <f t="shared" si="2"/>
        <v>100</v>
      </c>
      <c r="X14" s="1569"/>
      <c r="Y14" s="3325"/>
      <c r="Z14" s="1149">
        <f t="shared" si="7"/>
        <v>111</v>
      </c>
      <c r="AA14" s="1570">
        <f t="shared" si="3"/>
        <v>1</v>
      </c>
      <c r="AB14" s="1570">
        <f t="shared" si="4"/>
        <v>1</v>
      </c>
      <c r="AC14" s="1570">
        <f t="shared" si="5"/>
        <v>1</v>
      </c>
    </row>
    <row r="15" spans="1:29" ht="71.25">
      <c r="A15" s="2936" t="s">
        <v>2759</v>
      </c>
      <c r="B15" s="166" t="s">
        <v>541</v>
      </c>
      <c r="C15" s="867" t="str">
        <f>估价对象房地状况!C4</f>
        <v>估价对象周边商业氛围成熟度较差，人流量一般，，商业繁华度较差</v>
      </c>
      <c r="D15" s="549">
        <v>100</v>
      </c>
      <c r="E15" s="550"/>
      <c r="F15" s="551">
        <f>SUMIF(76:76,E16,77:77)-SUMIF(76:76,C16,77:77)+100</f>
        <v>100</v>
      </c>
      <c r="G15" s="552"/>
      <c r="H15" s="549">
        <f>SUMIF(76:76,G16,77:77)-SUMIF(76:76,C16,77:77)+100</f>
        <v>100</v>
      </c>
      <c r="I15" s="550"/>
      <c r="J15" s="549">
        <f>SUMIF(76:76,I16,77:77)-SUMIF(76:76,C16,77:77)+100</f>
        <v>100</v>
      </c>
      <c r="K15" s="897"/>
      <c r="L15" s="2142"/>
      <c r="M15" s="2134"/>
      <c r="N15" s="2134"/>
      <c r="O15" s="2141"/>
      <c r="P15" s="3370" t="s">
        <v>540</v>
      </c>
      <c r="Q15" s="1571" t="str">
        <f t="shared" si="6"/>
        <v>商业繁华度</v>
      </c>
      <c r="R15" s="1572" t="s">
        <v>8</v>
      </c>
      <c r="S15" s="1573">
        <f t="shared" si="0"/>
        <v>100</v>
      </c>
      <c r="T15" s="1572" t="s">
        <v>8</v>
      </c>
      <c r="U15" s="1573">
        <f t="shared" si="1"/>
        <v>100</v>
      </c>
      <c r="V15" s="1572" t="s">
        <v>8</v>
      </c>
      <c r="W15" s="1573">
        <f t="shared" si="2"/>
        <v>100</v>
      </c>
      <c r="X15" s="1566"/>
      <c r="Y15" s="3370" t="s">
        <v>540</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71"/>
      <c r="Q16" s="1571"/>
      <c r="R16" s="1572"/>
      <c r="S16" s="1573"/>
      <c r="T16" s="1572"/>
      <c r="U16" s="1573"/>
      <c r="V16" s="1572"/>
      <c r="W16" s="1573"/>
      <c r="X16" s="1566"/>
      <c r="Y16" s="3371"/>
      <c r="Z16" s="1574"/>
      <c r="AA16" s="1575">
        <v>1</v>
      </c>
      <c r="AB16" s="1575">
        <v>1</v>
      </c>
      <c r="AC16" s="1575">
        <v>1</v>
      </c>
    </row>
    <row r="17" spans="1:29" ht="114">
      <c r="A17" s="532"/>
      <c r="B17" s="871" t="s">
        <v>295</v>
      </c>
      <c r="C17" s="872" t="str">
        <f>估价对象房地状况!C6</f>
        <v>估价对象周边1公里有357、355路等公交车经过，公共交通通达情况一般、停车便捷程度较好，综合评价交通便捷度较差</v>
      </c>
      <c r="D17" s="559">
        <v>100</v>
      </c>
      <c r="E17" s="562"/>
      <c r="F17" s="563">
        <f>SUMIF(78:78,E18,79:79)-SUMIF(78:78,C18,79:79)+100</f>
        <v>100</v>
      </c>
      <c r="G17" s="564"/>
      <c r="H17" s="565">
        <f>SUMIF(78:78,G18,79:79)-SUMIF(78:78,C18,79:79)+100</f>
        <v>100</v>
      </c>
      <c r="I17" s="562"/>
      <c r="J17" s="565">
        <f>SUMIF(78:78,I18,79:79)-SUMIF(78:78,C18,79:79)+100</f>
        <v>100</v>
      </c>
      <c r="K17" s="897"/>
      <c r="L17" s="2142"/>
      <c r="M17" s="2134"/>
      <c r="N17" s="2134"/>
      <c r="O17" s="2141"/>
      <c r="P17" s="3371"/>
      <c r="Q17" s="1571" t="str">
        <f>B17</f>
        <v>交通便捷度</v>
      </c>
      <c r="R17" s="1572" t="s">
        <v>8</v>
      </c>
      <c r="S17" s="1573">
        <f>F17</f>
        <v>100</v>
      </c>
      <c r="T17" s="1572" t="s">
        <v>8</v>
      </c>
      <c r="U17" s="1573">
        <f>H17</f>
        <v>100</v>
      </c>
      <c r="V17" s="1572" t="s">
        <v>8</v>
      </c>
      <c r="W17" s="1573">
        <f>J17</f>
        <v>100</v>
      </c>
      <c r="X17" s="1566"/>
      <c r="Y17" s="33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71"/>
      <c r="Q18" s="1571"/>
      <c r="R18" s="1572"/>
      <c r="S18" s="1573"/>
      <c r="T18" s="1572"/>
      <c r="U18" s="1573"/>
      <c r="V18" s="1572"/>
      <c r="W18" s="1573"/>
      <c r="X18" s="1566"/>
      <c r="Y18" s="3371"/>
      <c r="Z18" s="1574"/>
      <c r="AA18" s="1575">
        <v>1</v>
      </c>
      <c r="AB18" s="1575">
        <v>1</v>
      </c>
      <c r="AC18" s="1575">
        <v>1</v>
      </c>
    </row>
    <row r="19" spans="1:29" ht="42.75">
      <c r="A19" s="532"/>
      <c r="B19" s="2624" t="s">
        <v>2549</v>
      </c>
      <c r="C19" s="872" t="str">
        <f>估价对象房地状况!C7</f>
        <v>估价对象所在区域公共配套设施齐备情况一般</v>
      </c>
      <c r="D19" s="565">
        <v>100</v>
      </c>
      <c r="E19" s="570"/>
      <c r="F19" s="571">
        <f>SUMIF(80:80,E20,81:81)-SUMIF(80:80,C20,81:81)+100</f>
        <v>100</v>
      </c>
      <c r="G19" s="572"/>
      <c r="H19" s="559">
        <f>SUMIF(80:80,G20,81:81)-SUMIF(80:80,C20,81:81)+100</f>
        <v>100</v>
      </c>
      <c r="I19" s="570"/>
      <c r="J19" s="559">
        <f>SUMIF(80:80,I20,81:81)-SUMIF(80:80,C20,81:81)+100</f>
        <v>100</v>
      </c>
      <c r="K19" s="897"/>
      <c r="L19" s="2142"/>
      <c r="M19" s="2134"/>
      <c r="N19" s="2134"/>
      <c r="O19" s="2141"/>
      <c r="P19" s="3371"/>
      <c r="Q19" s="1571" t="str">
        <f>B19</f>
        <v>公共配套设施</v>
      </c>
      <c r="R19" s="1572" t="s">
        <v>8</v>
      </c>
      <c r="S19" s="1573">
        <f>F19</f>
        <v>100</v>
      </c>
      <c r="T19" s="1572" t="s">
        <v>8</v>
      </c>
      <c r="U19" s="1573">
        <f>H19</f>
        <v>100</v>
      </c>
      <c r="V19" s="1572" t="s">
        <v>8</v>
      </c>
      <c r="W19" s="1573">
        <f>J19</f>
        <v>100</v>
      </c>
      <c r="X19" s="1566"/>
      <c r="Y19" s="3371"/>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8"/>
      <c r="L20" s="2142"/>
      <c r="M20" s="2134"/>
      <c r="N20" s="2134"/>
      <c r="O20" s="2141"/>
      <c r="P20" s="3371"/>
      <c r="Q20" s="1571"/>
      <c r="R20" s="1572"/>
      <c r="S20" s="1573"/>
      <c r="T20" s="1572"/>
      <c r="U20" s="1573"/>
      <c r="V20" s="1572"/>
      <c r="W20" s="1573"/>
      <c r="X20" s="1566"/>
      <c r="Y20" s="3371"/>
      <c r="Z20" s="1574"/>
      <c r="AA20" s="1575">
        <v>1</v>
      </c>
      <c r="AB20" s="1575">
        <v>1</v>
      </c>
      <c r="AC20" s="1575">
        <v>1</v>
      </c>
    </row>
    <row r="21" spans="1:29" ht="42.75">
      <c r="A21" s="532"/>
      <c r="B21" s="2617" t="s">
        <v>2561</v>
      </c>
      <c r="C21" s="872" t="str">
        <f>估价对象房地状况!C8</f>
        <v>估价对象所在区域基础设施水平-六通</v>
      </c>
      <c r="D21" s="565">
        <v>100</v>
      </c>
      <c r="E21" s="572"/>
      <c r="F21" s="571">
        <f>SUMIF(82:82,E22,83:83)-SUMIF(82:82,C22,83:83)+100</f>
        <v>100</v>
      </c>
      <c r="G21" s="572"/>
      <c r="H21" s="565">
        <f>SUMIF(82:82,G22,83:83)-SUMIF(82:82,C22,83:83)+100</f>
        <v>100</v>
      </c>
      <c r="I21" s="570"/>
      <c r="J21" s="565">
        <f>SUMIF(82:82,I22,83:83)-SUMIF(82:82,C22,83:83)+100</f>
        <v>100</v>
      </c>
      <c r="K21" s="897"/>
      <c r="L21" s="2142"/>
      <c r="M21" s="2134"/>
      <c r="N21" s="2134"/>
      <c r="O21" s="2141"/>
      <c r="P21" s="3371"/>
      <c r="Q21" s="2603" t="str">
        <f>B21</f>
        <v>基础设施水平</v>
      </c>
      <c r="R21" s="1572" t="s">
        <v>8</v>
      </c>
      <c r="S21" s="1573">
        <f>F21</f>
        <v>100</v>
      </c>
      <c r="T21" s="1572" t="s">
        <v>8</v>
      </c>
      <c r="U21" s="1573">
        <f>H21</f>
        <v>100</v>
      </c>
      <c r="V21" s="1572" t="s">
        <v>8</v>
      </c>
      <c r="W21" s="1573">
        <f>J21</f>
        <v>100</v>
      </c>
      <c r="X21" s="2605"/>
      <c r="Y21" s="3371"/>
      <c r="Z21" s="2604" t="str">
        <f>Q21</f>
        <v>基础设施水平</v>
      </c>
      <c r="AA21" s="1575">
        <f t="shared" ref="AA21" si="8">D21/F21</f>
        <v>1</v>
      </c>
      <c r="AB21" s="1575">
        <f t="shared" ref="AB21" si="9">D21/H21</f>
        <v>1</v>
      </c>
      <c r="AC21" s="1575">
        <f t="shared" ref="AC21" si="10">D21/J21</f>
        <v>1</v>
      </c>
    </row>
    <row r="22" spans="1:29" ht="15">
      <c r="A22" s="532"/>
      <c r="B22" s="921"/>
      <c r="C22" s="873"/>
      <c r="D22" s="555"/>
      <c r="E22" s="576"/>
      <c r="F22" s="557"/>
      <c r="G22" s="576"/>
      <c r="H22" s="555"/>
      <c r="I22" s="576"/>
      <c r="J22" s="555"/>
      <c r="K22" s="2626"/>
      <c r="L22" s="2142"/>
      <c r="M22" s="2134"/>
      <c r="N22" s="2134"/>
      <c r="O22" s="2141"/>
      <c r="P22" s="3371"/>
      <c r="Q22" s="2603"/>
      <c r="R22" s="1572"/>
      <c r="S22" s="1573"/>
      <c r="T22" s="1572"/>
      <c r="U22" s="1573"/>
      <c r="V22" s="1572"/>
      <c r="W22" s="1573"/>
      <c r="X22" s="2605"/>
      <c r="Y22" s="3371"/>
      <c r="Z22" s="2604"/>
      <c r="AA22" s="1575">
        <v>1</v>
      </c>
      <c r="AB22" s="1575">
        <v>1</v>
      </c>
      <c r="AC22" s="1575">
        <v>1</v>
      </c>
    </row>
    <row r="23" spans="1:29" ht="57">
      <c r="A23" s="532"/>
      <c r="B23" s="871" t="s">
        <v>296</v>
      </c>
      <c r="C23" s="899" t="str">
        <f>估价对象房地状况!C9</f>
        <v>周边2公里内有长沙医学院、观音岩水库，区域自然环境较好</v>
      </c>
      <c r="D23" s="559">
        <v>100</v>
      </c>
      <c r="E23" s="562"/>
      <c r="F23" s="563">
        <f>SUMIF(84:84,E24,85:85)-SUMIF(84:84,C24,85:85)+100</f>
        <v>100</v>
      </c>
      <c r="G23" s="564"/>
      <c r="H23" s="559">
        <f>SUMIF(84:84,G24,85:85)-SUMIF(84:84,C24,85:85)+100</f>
        <v>100</v>
      </c>
      <c r="I23" s="562"/>
      <c r="J23" s="559">
        <f>SUMIF(84:84,I24,85:85)-SUMIF(84:84,C24,85:85)+100</f>
        <v>100</v>
      </c>
      <c r="K23" s="897"/>
      <c r="L23" s="2142"/>
      <c r="M23" s="2134"/>
      <c r="N23" s="2134"/>
      <c r="O23" s="2141"/>
      <c r="P23" s="3371"/>
      <c r="Q23" s="1571" t="str">
        <f>B23</f>
        <v>自然及人文环境</v>
      </c>
      <c r="R23" s="1572" t="s">
        <v>8</v>
      </c>
      <c r="S23" s="1573">
        <f>F23</f>
        <v>100</v>
      </c>
      <c r="T23" s="1572" t="s">
        <v>8</v>
      </c>
      <c r="U23" s="1573">
        <f>H23</f>
        <v>100</v>
      </c>
      <c r="V23" s="1572" t="s">
        <v>8</v>
      </c>
      <c r="W23" s="1573">
        <f>J23</f>
        <v>100</v>
      </c>
      <c r="X23" s="1566"/>
      <c r="Y23" s="3371"/>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8"/>
      <c r="L24" s="2142"/>
      <c r="M24" s="2134"/>
      <c r="N24" s="2134"/>
      <c r="O24" s="2141"/>
      <c r="P24" s="3371"/>
      <c r="Q24" s="1571"/>
      <c r="R24" s="1572"/>
      <c r="S24" s="1573"/>
      <c r="T24" s="1572"/>
      <c r="U24" s="1573"/>
      <c r="V24" s="1572"/>
      <c r="W24" s="1573"/>
      <c r="X24" s="1566"/>
      <c r="Y24" s="3371"/>
      <c r="Z24" s="1574"/>
      <c r="AA24" s="1575">
        <v>1</v>
      </c>
      <c r="AB24" s="1575">
        <v>1</v>
      </c>
      <c r="AC24" s="1575">
        <v>1</v>
      </c>
    </row>
    <row r="25" spans="1:29" ht="15">
      <c r="A25" s="532"/>
      <c r="B25" s="529"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371"/>
      <c r="Q25" s="1571" t="str">
        <f t="shared" ref="Q25:Q46" si="11">B25</f>
        <v>临街状况</v>
      </c>
      <c r="R25" s="1572" t="s">
        <v>8</v>
      </c>
      <c r="S25" s="1573">
        <f>F25</f>
        <v>100</v>
      </c>
      <c r="T25" s="1572" t="s">
        <v>8</v>
      </c>
      <c r="U25" s="1573">
        <f>H25</f>
        <v>100</v>
      </c>
      <c r="V25" s="1572" t="s">
        <v>8</v>
      </c>
      <c r="W25" s="1573">
        <f>J25</f>
        <v>100</v>
      </c>
      <c r="X25" s="1566"/>
      <c r="Y25" s="3371"/>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371"/>
      <c r="Q26" s="1571" t="str">
        <f t="shared" si="11"/>
        <v>平面位置/可视性</v>
      </c>
      <c r="R26" s="1572" t="s">
        <v>8</v>
      </c>
      <c r="S26" s="1573">
        <f>F26</f>
        <v>100</v>
      </c>
      <c r="T26" s="1572" t="s">
        <v>8</v>
      </c>
      <c r="U26" s="1573">
        <f>H26</f>
        <v>100</v>
      </c>
      <c r="V26" s="1572" t="s">
        <v>8</v>
      </c>
      <c r="W26" s="1573">
        <f>J26</f>
        <v>100</v>
      </c>
      <c r="X26" s="1566"/>
      <c r="Y26" s="3371"/>
      <c r="Z26" s="1574" t="str">
        <f>Q26</f>
        <v>平面位置/可视性</v>
      </c>
      <c r="AA26" s="1575">
        <f t="shared" si="3"/>
        <v>1</v>
      </c>
      <c r="AB26" s="1575">
        <f t="shared" si="4"/>
        <v>1</v>
      </c>
      <c r="AC26" s="1575">
        <f t="shared" si="5"/>
        <v>1</v>
      </c>
    </row>
    <row r="27" spans="1:29" s="1219" customFormat="1" ht="15">
      <c r="A27" s="536"/>
      <c r="B27" s="871" t="s">
        <v>758</v>
      </c>
      <c r="C27" s="900"/>
      <c r="D27" s="875">
        <v>100</v>
      </c>
      <c r="E27" s="900"/>
      <c r="F27" s="876">
        <f>SUMIF(90:90,E27,91:91)-SUMIF(90:90,C27,91:91)+100</f>
        <v>100</v>
      </c>
      <c r="G27" s="900"/>
      <c r="H27" s="875">
        <f>SUMIF(90:90,G27,91:91)-SUMIF(90:90,C27,91:91)+100</f>
        <v>100</v>
      </c>
      <c r="I27" s="900"/>
      <c r="J27" s="875">
        <f>SUMIF(90:90,I27,91:91)-SUMIF(90:90,C27,91:91)+100</f>
        <v>100</v>
      </c>
      <c r="K27" s="584"/>
      <c r="L27" s="2135"/>
      <c r="M27" s="2136"/>
      <c r="N27" s="2136"/>
      <c r="O27" s="2137"/>
      <c r="P27" s="3371"/>
      <c r="Q27" s="1150" t="str">
        <f t="shared" si="11"/>
        <v>人流量</v>
      </c>
      <c r="R27" s="1567" t="s">
        <v>8</v>
      </c>
      <c r="S27" s="1568">
        <f>F27</f>
        <v>100</v>
      </c>
      <c r="T27" s="1567" t="s">
        <v>8</v>
      </c>
      <c r="U27" s="1568">
        <f>H27</f>
        <v>100</v>
      </c>
      <c r="V27" s="1567" t="s">
        <v>8</v>
      </c>
      <c r="W27" s="1568">
        <f>J27</f>
        <v>100</v>
      </c>
      <c r="X27" s="1569"/>
      <c r="Y27" s="3371"/>
      <c r="Z27" s="1149" t="str">
        <f>Q27</f>
        <v>人流量</v>
      </c>
      <c r="AA27" s="1575">
        <f>D27/F27</f>
        <v>1</v>
      </c>
      <c r="AB27" s="1575">
        <f>D27/H27</f>
        <v>1</v>
      </c>
      <c r="AC27" s="1575">
        <f>D27/J27</f>
        <v>1</v>
      </c>
    </row>
    <row r="28" spans="1:29" ht="15">
      <c r="A28" s="532"/>
      <c r="B28" s="529"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371"/>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371"/>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371"/>
      <c r="Q29" s="1571">
        <f t="shared" si="11"/>
        <v>111</v>
      </c>
      <c r="R29" s="1572" t="s">
        <v>8</v>
      </c>
      <c r="S29" s="1573">
        <f t="shared" si="12"/>
        <v>100</v>
      </c>
      <c r="T29" s="1572" t="s">
        <v>8</v>
      </c>
      <c r="U29" s="1573">
        <f t="shared" si="13"/>
        <v>100</v>
      </c>
      <c r="V29" s="1572" t="s">
        <v>8</v>
      </c>
      <c r="W29" s="1573">
        <f t="shared" si="14"/>
        <v>100</v>
      </c>
      <c r="X29" s="1566"/>
      <c r="Y29" s="3371"/>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371"/>
      <c r="Q30" s="1571">
        <f t="shared" si="11"/>
        <v>111</v>
      </c>
      <c r="R30" s="1572" t="s">
        <v>8</v>
      </c>
      <c r="S30" s="1573">
        <f t="shared" si="12"/>
        <v>100</v>
      </c>
      <c r="T30" s="1572" t="s">
        <v>8</v>
      </c>
      <c r="U30" s="1573">
        <f t="shared" si="13"/>
        <v>100</v>
      </c>
      <c r="V30" s="1572" t="s">
        <v>8</v>
      </c>
      <c r="W30" s="1573">
        <f t="shared" si="14"/>
        <v>100</v>
      </c>
      <c r="X30" s="1566"/>
      <c r="Y30" s="3371"/>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371"/>
      <c r="Q31" s="1571">
        <f t="shared" si="11"/>
        <v>111</v>
      </c>
      <c r="R31" s="1572" t="s">
        <v>8</v>
      </c>
      <c r="S31" s="1573">
        <f t="shared" si="12"/>
        <v>100</v>
      </c>
      <c r="T31" s="1572" t="s">
        <v>8</v>
      </c>
      <c r="U31" s="1573">
        <f t="shared" si="13"/>
        <v>100</v>
      </c>
      <c r="V31" s="1572" t="s">
        <v>8</v>
      </c>
      <c r="W31" s="1573">
        <f t="shared" si="14"/>
        <v>100</v>
      </c>
      <c r="X31" s="1566"/>
      <c r="Y31" s="3371"/>
      <c r="Z31" s="1574">
        <f t="shared" si="15"/>
        <v>111</v>
      </c>
      <c r="AA31" s="1575">
        <f t="shared" si="3"/>
        <v>1</v>
      </c>
      <c r="AB31" s="1575">
        <f t="shared" si="4"/>
        <v>1</v>
      </c>
      <c r="AC31" s="1575">
        <f t="shared" si="5"/>
        <v>1</v>
      </c>
    </row>
    <row r="32" spans="1:29" ht="15">
      <c r="A32" s="2933" t="s">
        <v>2760</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372" t="s">
        <v>550</v>
      </c>
      <c r="Q32" s="1571" t="str">
        <f t="shared" si="11"/>
        <v>商业类型</v>
      </c>
      <c r="R32" s="1572" t="s">
        <v>8</v>
      </c>
      <c r="S32" s="1573">
        <f t="shared" si="12"/>
        <v>100</v>
      </c>
      <c r="T32" s="1572" t="s">
        <v>8</v>
      </c>
      <c r="U32" s="1573">
        <f t="shared" si="13"/>
        <v>100</v>
      </c>
      <c r="V32" s="1572" t="s">
        <v>8</v>
      </c>
      <c r="W32" s="1573">
        <f t="shared" si="14"/>
        <v>100</v>
      </c>
      <c r="X32" s="1566"/>
      <c r="Y32" s="3373" t="s">
        <v>550</v>
      </c>
      <c r="Z32" s="1574" t="str">
        <f t="shared" si="15"/>
        <v>商业类型</v>
      </c>
      <c r="AA32" s="1575">
        <f t="shared" si="3"/>
        <v>1</v>
      </c>
      <c r="AB32" s="1575">
        <f t="shared" si="4"/>
        <v>1</v>
      </c>
      <c r="AC32" s="1575">
        <f t="shared" si="5"/>
        <v>1</v>
      </c>
    </row>
    <row r="33" spans="1:29" s="1338" customFormat="1" ht="15">
      <c r="A33" s="603"/>
      <c r="B33" s="529" t="s">
        <v>726</v>
      </c>
      <c r="C33" s="879"/>
      <c r="D33" s="254">
        <v>100</v>
      </c>
      <c r="E33" s="534"/>
      <c r="F33" s="863" t="e">
        <f>LOOKUP(E33,103:103,104:104)-LOOKUP(C33,103:103,104:104)+100</f>
        <v>#N/A</v>
      </c>
      <c r="G33" s="533"/>
      <c r="H33" s="254" t="e">
        <f>LOOKUP(G33,103:103,104:104)-LOOKUP(C33,103:103,104:104)+100</f>
        <v>#N/A</v>
      </c>
      <c r="I33" s="533"/>
      <c r="J33" s="254" t="e">
        <f>LOOKUP(I33,103:103,104:104)-LOOKUP(C33,103:103,104:104)+100</f>
        <v>#N/A</v>
      </c>
      <c r="K33" s="581"/>
      <c r="L33" s="2140"/>
      <c r="M33" s="2171"/>
      <c r="N33" s="2171"/>
      <c r="O33" s="2143"/>
      <c r="P33" s="3373"/>
      <c r="Q33" s="1604" t="str">
        <f t="shared" si="11"/>
        <v>项目建筑规模</v>
      </c>
      <c r="R33" s="1576" t="s">
        <v>8</v>
      </c>
      <c r="S33" s="1577" t="e">
        <f t="shared" si="12"/>
        <v>#N/A</v>
      </c>
      <c r="T33" s="1576" t="s">
        <v>8</v>
      </c>
      <c r="U33" s="1577" t="e">
        <f t="shared" si="13"/>
        <v>#N/A</v>
      </c>
      <c r="V33" s="1576" t="s">
        <v>8</v>
      </c>
      <c r="W33" s="1577" t="e">
        <f t="shared" si="14"/>
        <v>#N/A</v>
      </c>
      <c r="X33" s="1578"/>
      <c r="Y33" s="3373"/>
      <c r="Z33" s="1579" t="str">
        <f t="shared" si="15"/>
        <v>项目建筑规模</v>
      </c>
      <c r="AA33" s="1575" t="e">
        <f t="shared" si="3"/>
        <v>#N/A</v>
      </c>
      <c r="AB33" s="1575" t="e">
        <f t="shared" si="4"/>
        <v>#N/A</v>
      </c>
      <c r="AC33" s="1575" t="e">
        <f t="shared" si="5"/>
        <v>#N/A</v>
      </c>
    </row>
    <row r="34" spans="1:29" ht="15">
      <c r="A34" s="594"/>
      <c r="B34" s="529"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42"/>
      <c r="M34" s="2134"/>
      <c r="N34" s="2134"/>
      <c r="O34" s="2141"/>
      <c r="P34" s="3373"/>
      <c r="Q34" s="1571" t="str">
        <f t="shared" si="11"/>
        <v>建筑结构</v>
      </c>
      <c r="R34" s="1572" t="s">
        <v>8</v>
      </c>
      <c r="S34" s="1573">
        <f t="shared" si="12"/>
        <v>100</v>
      </c>
      <c r="T34" s="1572" t="s">
        <v>8</v>
      </c>
      <c r="U34" s="1573">
        <f t="shared" si="13"/>
        <v>100</v>
      </c>
      <c r="V34" s="1572" t="s">
        <v>8</v>
      </c>
      <c r="W34" s="1573">
        <f t="shared" si="14"/>
        <v>100</v>
      </c>
      <c r="X34" s="1566"/>
      <c r="Y34" s="3373"/>
      <c r="Z34" s="1574" t="str">
        <f t="shared" si="15"/>
        <v>建筑结构</v>
      </c>
      <c r="AA34" s="1575">
        <f t="shared" si="3"/>
        <v>1</v>
      </c>
      <c r="AB34" s="1575">
        <f t="shared" si="4"/>
        <v>1</v>
      </c>
      <c r="AC34" s="1575">
        <f t="shared" si="5"/>
        <v>1</v>
      </c>
    </row>
    <row r="35" spans="1:29" ht="15">
      <c r="A35" s="594"/>
      <c r="B35" s="529"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373"/>
      <c r="Q35" s="1571" t="str">
        <f t="shared" si="11"/>
        <v>公共部分装修</v>
      </c>
      <c r="R35" s="1572" t="s">
        <v>8</v>
      </c>
      <c r="S35" s="1573">
        <f t="shared" si="12"/>
        <v>100</v>
      </c>
      <c r="T35" s="1572" t="s">
        <v>8</v>
      </c>
      <c r="U35" s="1573">
        <f t="shared" si="13"/>
        <v>100</v>
      </c>
      <c r="V35" s="1572" t="s">
        <v>8</v>
      </c>
      <c r="W35" s="1573">
        <f t="shared" si="14"/>
        <v>100</v>
      </c>
      <c r="X35" s="1566"/>
      <c r="Y35" s="3373"/>
      <c r="Z35" s="1574" t="str">
        <f t="shared" si="15"/>
        <v>公共部分装修</v>
      </c>
      <c r="AA35" s="1575">
        <f t="shared" si="3"/>
        <v>1</v>
      </c>
      <c r="AB35" s="1575">
        <f t="shared" si="4"/>
        <v>1</v>
      </c>
      <c r="AC35" s="1575">
        <f t="shared" si="5"/>
        <v>1</v>
      </c>
    </row>
    <row r="36" spans="1:29" ht="15">
      <c r="A36" s="594"/>
      <c r="B36" s="529" t="s">
        <v>763</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42"/>
      <c r="M36" s="2134"/>
      <c r="N36" s="2134"/>
      <c r="O36" s="2141"/>
      <c r="P36" s="3373"/>
      <c r="Q36" s="1571" t="str">
        <f t="shared" si="11"/>
        <v>成新度</v>
      </c>
      <c r="R36" s="1572" t="s">
        <v>8</v>
      </c>
      <c r="S36" s="1573" t="e">
        <f t="shared" si="12"/>
        <v>#N/A</v>
      </c>
      <c r="T36" s="1572" t="s">
        <v>8</v>
      </c>
      <c r="U36" s="1573" t="e">
        <f t="shared" si="13"/>
        <v>#N/A</v>
      </c>
      <c r="V36" s="1572" t="s">
        <v>8</v>
      </c>
      <c r="W36" s="1573" t="e">
        <f t="shared" si="14"/>
        <v>#N/A</v>
      </c>
      <c r="X36" s="1566"/>
      <c r="Y36" s="3373"/>
      <c r="Z36" s="1574" t="str">
        <f t="shared" si="15"/>
        <v>成新度</v>
      </c>
      <c r="AA36" s="1575" t="e">
        <f t="shared" si="3"/>
        <v>#N/A</v>
      </c>
      <c r="AB36" s="1575" t="e">
        <f t="shared" si="4"/>
        <v>#N/A</v>
      </c>
      <c r="AC36" s="1575" t="e">
        <f t="shared" si="5"/>
        <v>#N/A</v>
      </c>
    </row>
    <row r="37" spans="1:29" s="1219" customFormat="1" ht="15">
      <c r="A37" s="600"/>
      <c r="B37" s="1895" t="s">
        <v>2568</v>
      </c>
      <c r="C37" s="599"/>
      <c r="D37" s="254">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373"/>
      <c r="Q37" s="1150" t="str">
        <f t="shared" si="11"/>
        <v>市政基础设施</v>
      </c>
      <c r="R37" s="1567" t="s">
        <v>8</v>
      </c>
      <c r="S37" s="1568">
        <f t="shared" si="12"/>
        <v>100</v>
      </c>
      <c r="T37" s="1567" t="s">
        <v>8</v>
      </c>
      <c r="U37" s="1568">
        <f t="shared" si="13"/>
        <v>100</v>
      </c>
      <c r="V37" s="1567" t="s">
        <v>8</v>
      </c>
      <c r="W37" s="1568">
        <f t="shared" si="14"/>
        <v>100</v>
      </c>
      <c r="X37" s="1569"/>
      <c r="Y37" s="3373"/>
      <c r="Z37" s="1149" t="str">
        <f t="shared" si="15"/>
        <v>市政基础设施</v>
      </c>
      <c r="AA37" s="1570">
        <f t="shared" si="3"/>
        <v>1</v>
      </c>
      <c r="AB37" s="1570">
        <f t="shared" si="4"/>
        <v>1</v>
      </c>
      <c r="AC37" s="1570">
        <f t="shared" si="5"/>
        <v>1</v>
      </c>
    </row>
    <row r="38" spans="1:29" ht="15">
      <c r="A38" s="594"/>
      <c r="B38" s="529"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373" t="s">
        <v>765</v>
      </c>
      <c r="Q38" s="1571" t="str">
        <f t="shared" si="11"/>
        <v>业态</v>
      </c>
      <c r="R38" s="1572" t="s">
        <v>8</v>
      </c>
      <c r="S38" s="1573">
        <f t="shared" si="12"/>
        <v>100</v>
      </c>
      <c r="T38" s="1572" t="s">
        <v>8</v>
      </c>
      <c r="U38" s="1573">
        <f t="shared" si="13"/>
        <v>100</v>
      </c>
      <c r="V38" s="1572" t="s">
        <v>8</v>
      </c>
      <c r="W38" s="1573">
        <f t="shared" si="14"/>
        <v>100</v>
      </c>
      <c r="X38" s="1566"/>
      <c r="Y38" s="3373" t="s">
        <v>765</v>
      </c>
      <c r="Z38" s="1574" t="str">
        <f t="shared" si="15"/>
        <v>业态</v>
      </c>
      <c r="AA38" s="1575">
        <f t="shared" si="3"/>
        <v>1</v>
      </c>
      <c r="AB38" s="1575">
        <f t="shared" si="4"/>
        <v>1</v>
      </c>
      <c r="AC38" s="1575">
        <f t="shared" si="5"/>
        <v>1</v>
      </c>
    </row>
    <row r="39" spans="1:29" ht="15">
      <c r="A39" s="594"/>
      <c r="B39" s="529"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373"/>
      <c r="Q39" s="1571" t="str">
        <f t="shared" si="11"/>
        <v>层高</v>
      </c>
      <c r="R39" s="1572" t="s">
        <v>8</v>
      </c>
      <c r="S39" s="1573">
        <f t="shared" si="12"/>
        <v>100</v>
      </c>
      <c r="T39" s="1572" t="s">
        <v>8</v>
      </c>
      <c r="U39" s="1573">
        <f t="shared" si="13"/>
        <v>100</v>
      </c>
      <c r="V39" s="1572" t="s">
        <v>8</v>
      </c>
      <c r="W39" s="1573">
        <f t="shared" si="14"/>
        <v>100</v>
      </c>
      <c r="X39" s="1566"/>
      <c r="Y39" s="3373"/>
      <c r="Z39" s="1574" t="str">
        <f t="shared" si="15"/>
        <v>层高</v>
      </c>
      <c r="AA39" s="1575">
        <f t="shared" si="3"/>
        <v>1</v>
      </c>
      <c r="AB39" s="1575">
        <f t="shared" si="4"/>
        <v>1</v>
      </c>
      <c r="AC39" s="1575">
        <f t="shared" si="5"/>
        <v>1</v>
      </c>
    </row>
    <row r="40" spans="1:29" ht="15">
      <c r="A40" s="594"/>
      <c r="B40" s="529" t="s">
        <v>767</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42"/>
      <c r="M40" s="2134"/>
      <c r="N40" s="2134"/>
      <c r="O40" s="2141"/>
      <c r="P40" s="3373"/>
      <c r="Q40" s="1571" t="str">
        <f t="shared" si="11"/>
        <v>单套建筑面积</v>
      </c>
      <c r="R40" s="1572" t="s">
        <v>8</v>
      </c>
      <c r="S40" s="1573">
        <f t="shared" si="12"/>
        <v>100</v>
      </c>
      <c r="T40" s="1572" t="s">
        <v>8</v>
      </c>
      <c r="U40" s="1573">
        <f t="shared" si="13"/>
        <v>100</v>
      </c>
      <c r="V40" s="1572" t="s">
        <v>8</v>
      </c>
      <c r="W40" s="1573">
        <f t="shared" si="14"/>
        <v>100</v>
      </c>
      <c r="X40" s="1566"/>
      <c r="Y40" s="3373"/>
      <c r="Z40" s="1574" t="str">
        <f t="shared" si="15"/>
        <v>单套建筑面积</v>
      </c>
      <c r="AA40" s="1575">
        <f t="shared" si="3"/>
        <v>1</v>
      </c>
      <c r="AB40" s="1575">
        <f t="shared" si="4"/>
        <v>1</v>
      </c>
      <c r="AC40" s="1575">
        <f t="shared" si="5"/>
        <v>1</v>
      </c>
    </row>
    <row r="41" spans="1:29" s="1338" customFormat="1" ht="15">
      <c r="A41" s="603"/>
      <c r="B41" s="903"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373"/>
      <c r="Q41" s="1604" t="str">
        <f t="shared" si="11"/>
        <v>进深比</v>
      </c>
      <c r="R41" s="1576" t="s">
        <v>8</v>
      </c>
      <c r="S41" s="1577">
        <f t="shared" si="12"/>
        <v>100</v>
      </c>
      <c r="T41" s="1576" t="s">
        <v>8</v>
      </c>
      <c r="U41" s="1577">
        <f t="shared" si="13"/>
        <v>100</v>
      </c>
      <c r="V41" s="1576" t="s">
        <v>8</v>
      </c>
      <c r="W41" s="1577">
        <f t="shared" si="14"/>
        <v>100</v>
      </c>
      <c r="X41" s="1578"/>
      <c r="Y41" s="3373"/>
      <c r="Z41" s="1579" t="str">
        <f t="shared" si="15"/>
        <v>进深比</v>
      </c>
      <c r="AA41" s="1575">
        <f t="shared" si="3"/>
        <v>1</v>
      </c>
      <c r="AB41" s="1575">
        <f t="shared" si="4"/>
        <v>1</v>
      </c>
      <c r="AC41" s="1575">
        <f t="shared" si="5"/>
        <v>1</v>
      </c>
    </row>
    <row r="42" spans="1:29" ht="15">
      <c r="A42" s="594"/>
      <c r="B42" s="529"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373"/>
      <c r="Q42" s="1571" t="str">
        <f t="shared" si="11"/>
        <v>内部装修</v>
      </c>
      <c r="R42" s="1572" t="s">
        <v>8</v>
      </c>
      <c r="S42" s="1573">
        <f t="shared" si="12"/>
        <v>100</v>
      </c>
      <c r="T42" s="1572" t="s">
        <v>8</v>
      </c>
      <c r="U42" s="1573">
        <f t="shared" si="13"/>
        <v>100</v>
      </c>
      <c r="V42" s="1572" t="s">
        <v>8</v>
      </c>
      <c r="W42" s="1573">
        <f t="shared" si="14"/>
        <v>100</v>
      </c>
      <c r="X42" s="1566"/>
      <c r="Y42" s="3373"/>
      <c r="Z42" s="1574" t="str">
        <f t="shared" si="15"/>
        <v>内部装修</v>
      </c>
      <c r="AA42" s="1575">
        <f t="shared" si="3"/>
        <v>1</v>
      </c>
      <c r="AB42" s="1575">
        <f t="shared" si="4"/>
        <v>1</v>
      </c>
      <c r="AC42" s="1575">
        <f t="shared" si="5"/>
        <v>1</v>
      </c>
    </row>
    <row r="43" spans="1:29" ht="27">
      <c r="A43" s="594"/>
      <c r="B43" s="529"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373"/>
      <c r="Q43" s="1571" t="str">
        <f t="shared" si="11"/>
        <v>内部装修维护情况</v>
      </c>
      <c r="R43" s="1572" t="s">
        <v>8</v>
      </c>
      <c r="S43" s="1573">
        <f t="shared" si="12"/>
        <v>100</v>
      </c>
      <c r="T43" s="1572" t="s">
        <v>8</v>
      </c>
      <c r="U43" s="1573">
        <f t="shared" si="13"/>
        <v>100</v>
      </c>
      <c r="V43" s="1572" t="s">
        <v>8</v>
      </c>
      <c r="W43" s="1573">
        <f t="shared" si="14"/>
        <v>100</v>
      </c>
      <c r="X43" s="1566"/>
      <c r="Y43" s="3373"/>
      <c r="Z43" s="1574" t="str">
        <f t="shared" si="15"/>
        <v>内部装修维护情况</v>
      </c>
      <c r="AA43" s="1575">
        <f t="shared" si="3"/>
        <v>1</v>
      </c>
      <c r="AB43" s="1575">
        <f t="shared" si="4"/>
        <v>1</v>
      </c>
      <c r="AC43" s="1575">
        <f t="shared" si="5"/>
        <v>1</v>
      </c>
    </row>
    <row r="44" spans="1:29" s="1219" customFormat="1" ht="15">
      <c r="A44" s="600"/>
      <c r="B44" s="877">
        <v>111</v>
      </c>
      <c r="C44" s="879"/>
      <c r="D44" s="254">
        <v>100</v>
      </c>
      <c r="E44" s="539"/>
      <c r="F44" s="863">
        <f>SUMIF(126:126,E44,127:127)-SUMIF(126:126,C44,127:127)+100</f>
        <v>100</v>
      </c>
      <c r="G44" s="539"/>
      <c r="H44" s="254">
        <f>SUMIF(126:126,G44,127:127)-SUMIF(126:126,C44,127:127)+100</f>
        <v>100</v>
      </c>
      <c r="I44" s="539"/>
      <c r="J44" s="254">
        <f>SUMIF(126:126,I44,127:127)-SUMIF(126:126,C44,127:127)+100</f>
        <v>100</v>
      </c>
      <c r="K44" s="581"/>
      <c r="L44" s="2135"/>
      <c r="M44" s="2136"/>
      <c r="N44" s="2136"/>
      <c r="O44" s="2137"/>
      <c r="P44" s="3373"/>
      <c r="Q44" s="1150">
        <f t="shared" si="11"/>
        <v>111</v>
      </c>
      <c r="R44" s="1567" t="s">
        <v>8</v>
      </c>
      <c r="S44" s="1568">
        <f t="shared" si="12"/>
        <v>100</v>
      </c>
      <c r="T44" s="1567" t="s">
        <v>8</v>
      </c>
      <c r="U44" s="1568">
        <f t="shared" si="13"/>
        <v>100</v>
      </c>
      <c r="V44" s="1567" t="s">
        <v>8</v>
      </c>
      <c r="W44" s="1568">
        <f t="shared" si="14"/>
        <v>100</v>
      </c>
      <c r="X44" s="1569"/>
      <c r="Y44" s="3373"/>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373"/>
      <c r="Q45" s="1571">
        <f t="shared" si="11"/>
        <v>111</v>
      </c>
      <c r="R45" s="1572" t="s">
        <v>8</v>
      </c>
      <c r="S45" s="1573">
        <f t="shared" si="12"/>
        <v>100</v>
      </c>
      <c r="T45" s="1572" t="s">
        <v>8</v>
      </c>
      <c r="U45" s="1573">
        <f t="shared" si="13"/>
        <v>100</v>
      </c>
      <c r="V45" s="1572" t="s">
        <v>8</v>
      </c>
      <c r="W45" s="1573">
        <f t="shared" si="14"/>
        <v>100</v>
      </c>
      <c r="X45" s="1566"/>
      <c r="Y45" s="3373"/>
      <c r="Z45" s="1574">
        <f t="shared" si="15"/>
        <v>111</v>
      </c>
      <c r="AA45" s="1575">
        <f t="shared" si="3"/>
        <v>1</v>
      </c>
      <c r="AB45" s="1575">
        <f t="shared" si="4"/>
        <v>1</v>
      </c>
      <c r="AC45" s="1575">
        <f t="shared" si="5"/>
        <v>1</v>
      </c>
    </row>
    <row r="46" spans="1:29" ht="15.75"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48"/>
      <c r="Q46" s="1571">
        <f t="shared" si="11"/>
        <v>111</v>
      </c>
      <c r="R46" s="1572" t="s">
        <v>8</v>
      </c>
      <c r="S46" s="1573">
        <f t="shared" si="12"/>
        <v>100</v>
      </c>
      <c r="T46" s="1572" t="s">
        <v>8</v>
      </c>
      <c r="U46" s="1573">
        <f t="shared" si="13"/>
        <v>100</v>
      </c>
      <c r="V46" s="1572" t="s">
        <v>8</v>
      </c>
      <c r="W46" s="1573">
        <f t="shared" si="14"/>
        <v>100</v>
      </c>
      <c r="X46" s="1566"/>
      <c r="Y46" s="3448"/>
      <c r="Z46" s="1574">
        <f t="shared" si="15"/>
        <v>111</v>
      </c>
      <c r="AA46" s="1575">
        <f t="shared" si="3"/>
        <v>1</v>
      </c>
      <c r="AB46" s="1575">
        <f t="shared" si="4"/>
        <v>1</v>
      </c>
      <c r="AC46" s="1575">
        <f t="shared" si="5"/>
        <v>1</v>
      </c>
    </row>
    <row r="47" spans="1:29" ht="15">
      <c r="A47" s="607" t="s">
        <v>735</v>
      </c>
      <c r="B47" s="886"/>
      <c r="C47" s="2651" t="s">
        <v>1</v>
      </c>
      <c r="D47" s="2652"/>
      <c r="E47" s="2653"/>
      <c r="F47" s="2654"/>
      <c r="G47" s="2655"/>
      <c r="H47" s="2656"/>
      <c r="I47" s="2653"/>
      <c r="J47" s="2656"/>
      <c r="K47" s="1610"/>
      <c r="L47" s="2144"/>
      <c r="M47" s="2145"/>
      <c r="N47" s="2134"/>
      <c r="O47" s="2145"/>
      <c r="P47" s="3368" t="str">
        <f>A47</f>
        <v>成交单价（元/平方米）</v>
      </c>
      <c r="Q47" s="3368"/>
      <c r="R47" s="3447">
        <f>E47</f>
        <v>0</v>
      </c>
      <c r="S47" s="3447"/>
      <c r="T47" s="3447">
        <f>G47</f>
        <v>0</v>
      </c>
      <c r="U47" s="3447"/>
      <c r="V47" s="3447">
        <f>I47</f>
        <v>0</v>
      </c>
      <c r="W47" s="3447"/>
      <c r="X47" s="1558"/>
      <c r="Y47" s="1580"/>
      <c r="Z47" s="1558"/>
      <c r="AA47" s="1558"/>
      <c r="AB47" s="1558"/>
      <c r="AC47" s="1558"/>
    </row>
    <row r="48" spans="1:29" ht="15.75" thickBot="1">
      <c r="A48" s="615" t="s">
        <v>2765</v>
      </c>
      <c r="B48" s="887"/>
      <c r="C48" s="2657" t="e">
        <f>R49</f>
        <v>#DIV/0!</v>
      </c>
      <c r="D48" s="2658"/>
      <c r="E48" s="2659" t="e">
        <f>R48</f>
        <v>#DIV/0!</v>
      </c>
      <c r="F48" s="2659"/>
      <c r="G48" s="2657" t="e">
        <f>T48</f>
        <v>#DIV/0!</v>
      </c>
      <c r="H48" s="2658"/>
      <c r="I48" s="2659" t="e">
        <f>V48</f>
        <v>#DIV/0!</v>
      </c>
      <c r="J48" s="2658"/>
      <c r="K48" s="1611"/>
      <c r="L48" s="2144"/>
      <c r="M48" s="2145"/>
      <c r="N48" s="2134"/>
      <c r="O48" s="2145"/>
      <c r="P48" s="3368" t="str">
        <f>A48</f>
        <v>比较价格（元/平方米）</v>
      </c>
      <c r="Q48" s="3368"/>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1558"/>
      <c r="Y48" s="1558"/>
      <c r="Z48" s="1558"/>
      <c r="AA48" s="1558"/>
      <c r="AB48" s="1558"/>
      <c r="AC48" s="1558"/>
    </row>
    <row r="49" spans="1:29" ht="15.75" thickBot="1">
      <c r="A49" s="621" t="s">
        <v>2935</v>
      </c>
      <c r="B49" s="622"/>
      <c r="C49" s="2660" t="e">
        <f>R49</f>
        <v>#DIV/0!</v>
      </c>
      <c r="D49" s="2660"/>
      <c r="E49" s="2660"/>
      <c r="F49" s="2660"/>
      <c r="G49" s="2660"/>
      <c r="H49" s="2660"/>
      <c r="I49" s="2660"/>
      <c r="J49" s="2660"/>
      <c r="K49" s="1612"/>
      <c r="L49" s="2144"/>
      <c r="M49" s="2145"/>
      <c r="N49" s="2134"/>
      <c r="O49" s="2145"/>
      <c r="P49" s="3389" t="str">
        <f>A49</f>
        <v>估价对象XX用房的比较价格（楼面单价，元/平方米）</v>
      </c>
      <c r="Q49" s="3390"/>
      <c r="R49" s="3446" t="e">
        <f>IF(F1="售价",ROUND(AVERAGE(R48:V48),0),ROUND(AVERAGE(R48:V48),1))</f>
        <v>#DIV/0!</v>
      </c>
      <c r="S49" s="3446"/>
      <c r="T49" s="3446"/>
      <c r="U49" s="3446"/>
      <c r="V49" s="3446"/>
      <c r="W49" s="3446"/>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574</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529</v>
      </c>
      <c r="B58" s="646"/>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8">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621" t="s">
        <v>2561</v>
      </c>
      <c r="C82" s="2622" t="s">
        <v>2562</v>
      </c>
      <c r="D82" s="2622" t="s">
        <v>2563</v>
      </c>
      <c r="E82" s="2622" t="s">
        <v>2564</v>
      </c>
      <c r="F82" s="2622" t="s">
        <v>2565</v>
      </c>
      <c r="G82" s="2622" t="s">
        <v>2566</v>
      </c>
      <c r="H82" s="674"/>
      <c r="I82" s="674"/>
      <c r="J82" s="674"/>
      <c r="K82" s="674"/>
      <c r="L82" s="674"/>
      <c r="M82" s="2625"/>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4"/>
      <c r="I83" s="934"/>
      <c r="J83" s="934"/>
      <c r="K83" s="934"/>
      <c r="L83" s="934"/>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1"/>
      <c r="G88" s="688"/>
      <c r="H88" s="688"/>
      <c r="I88" s="688"/>
      <c r="J88" s="688"/>
      <c r="K88" s="688"/>
      <c r="L88" s="688"/>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2"/>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8"/>
      <c r="D118" s="908"/>
      <c r="E118" s="908"/>
      <c r="F118" s="908"/>
      <c r="G118" s="908"/>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776</v>
      </c>
      <c r="C1" s="506" t="s">
        <v>720</v>
      </c>
      <c r="D1" s="849"/>
      <c r="E1" s="508"/>
      <c r="F1" s="2833"/>
      <c r="G1" s="1600" t="s">
        <v>721</v>
      </c>
      <c r="H1" s="508"/>
      <c r="I1" s="508"/>
      <c r="J1" s="508"/>
      <c r="K1" s="509"/>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5"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11" t="s">
        <v>519</v>
      </c>
      <c r="B3" s="512" t="e">
        <f>C50</f>
        <v>#DIV/0!</v>
      </c>
      <c r="C3" s="852" t="s">
        <v>722</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4" t="s">
        <v>521</v>
      </c>
      <c r="B4" s="515"/>
      <c r="C4" s="3374" t="s">
        <v>522</v>
      </c>
      <c r="D4" s="3375"/>
      <c r="E4" s="3398" t="s">
        <v>523</v>
      </c>
      <c r="F4" s="3399"/>
      <c r="G4" s="3374" t="s">
        <v>524</v>
      </c>
      <c r="H4" s="3375"/>
      <c r="I4" s="3374" t="s">
        <v>525</v>
      </c>
      <c r="J4" s="3375"/>
      <c r="K4" s="516" t="s">
        <v>526</v>
      </c>
      <c r="L4" s="2133"/>
      <c r="M4" s="2134"/>
      <c r="N4" s="2134"/>
      <c r="O4" s="2134"/>
      <c r="P4" s="3472" t="s">
        <v>527</v>
      </c>
      <c r="Q4" s="3377"/>
      <c r="R4" s="3362" t="s">
        <v>523</v>
      </c>
      <c r="S4" s="3363"/>
      <c r="T4" s="3362" t="s">
        <v>524</v>
      </c>
      <c r="U4" s="3363"/>
      <c r="V4" s="3382" t="s">
        <v>525</v>
      </c>
      <c r="W4" s="3382"/>
      <c r="X4" s="1566"/>
      <c r="Y4" s="3362" t="s">
        <v>527</v>
      </c>
      <c r="Z4" s="3363"/>
      <c r="AA4" s="3357" t="s">
        <v>523</v>
      </c>
      <c r="AB4" s="3357" t="s">
        <v>524</v>
      </c>
      <c r="AC4" s="3357" t="s">
        <v>525</v>
      </c>
    </row>
    <row r="5" spans="1:29" ht="15">
      <c r="A5" s="517"/>
      <c r="B5" s="518"/>
      <c r="C5" s="3385" t="s">
        <v>2929</v>
      </c>
      <c r="D5" s="3386"/>
      <c r="E5" s="3400" t="s">
        <v>2930</v>
      </c>
      <c r="F5" s="3401"/>
      <c r="G5" s="3385" t="s">
        <v>2931</v>
      </c>
      <c r="H5" s="3386"/>
      <c r="I5" s="3385" t="s">
        <v>2932</v>
      </c>
      <c r="J5" s="3386"/>
      <c r="K5" s="516"/>
      <c r="L5" s="2133"/>
      <c r="M5" s="2134"/>
      <c r="N5" s="2134"/>
      <c r="O5" s="2134"/>
      <c r="P5" s="3473"/>
      <c r="Q5" s="3379"/>
      <c r="R5" s="3364"/>
      <c r="S5" s="3365"/>
      <c r="T5" s="3364"/>
      <c r="U5" s="3365"/>
      <c r="V5" s="3382"/>
      <c r="W5" s="3382"/>
      <c r="X5" s="1566"/>
      <c r="Y5" s="3364"/>
      <c r="Z5" s="3365"/>
      <c r="AA5" s="3358"/>
      <c r="AB5" s="3358"/>
      <c r="AC5" s="3358"/>
    </row>
    <row r="6" spans="1:29" ht="15.75" thickBot="1">
      <c r="A6" s="519"/>
      <c r="B6" s="520"/>
      <c r="C6" s="3383" t="s">
        <v>2933</v>
      </c>
      <c r="D6" s="3384"/>
      <c r="E6" s="3402" t="s">
        <v>2933</v>
      </c>
      <c r="F6" s="3403"/>
      <c r="G6" s="3383" t="s">
        <v>2933</v>
      </c>
      <c r="H6" s="3384"/>
      <c r="I6" s="3383" t="s">
        <v>2933</v>
      </c>
      <c r="J6" s="3384"/>
      <c r="K6" s="516" t="s">
        <v>528</v>
      </c>
      <c r="L6" s="2133"/>
      <c r="M6" s="2134"/>
      <c r="N6" s="2134"/>
      <c r="O6" s="2134"/>
      <c r="P6" s="3474"/>
      <c r="Q6" s="3381"/>
      <c r="R6" s="3364"/>
      <c r="S6" s="3365"/>
      <c r="T6" s="3366"/>
      <c r="U6" s="3367"/>
      <c r="V6" s="3382"/>
      <c r="W6" s="3382"/>
      <c r="X6" s="1566"/>
      <c r="Y6" s="3366"/>
      <c r="Z6" s="3367"/>
      <c r="AA6" s="3359"/>
      <c r="AB6" s="3359"/>
      <c r="AC6" s="3359"/>
    </row>
    <row r="7" spans="1:29" s="1219" customFormat="1" ht="15.75" thickBot="1">
      <c r="A7" s="2938"/>
      <c r="B7" s="2945" t="s">
        <v>529</v>
      </c>
      <c r="C7" s="521">
        <f>'数据-取费表'!B2</f>
        <v>43083</v>
      </c>
      <c r="D7" s="522">
        <v>100</v>
      </c>
      <c r="E7" s="523"/>
      <c r="F7" s="524">
        <f>SUMIF(59:59,YEAR(E7)&amp;"-"&amp;MONTH(E7),60:60)</f>
        <v>0</v>
      </c>
      <c r="G7" s="523"/>
      <c r="H7" s="522">
        <f>SUMIF(59:59,YEAR(G7)&amp;"-"&amp;MONTH(G7),60:60)</f>
        <v>0</v>
      </c>
      <c r="I7" s="523"/>
      <c r="J7" s="522">
        <f>SUMIF(59:59,YEAR(I7)&amp;"-"&amp;MONTH(I7),60:60)</f>
        <v>0</v>
      </c>
      <c r="K7" s="526"/>
      <c r="L7" s="2135"/>
      <c r="M7" s="2136"/>
      <c r="N7" s="2136"/>
      <c r="O7" s="2136"/>
      <c r="P7" s="3369" t="s">
        <v>530</v>
      </c>
      <c r="Q7" s="3369"/>
      <c r="R7" s="1567" t="s">
        <v>8</v>
      </c>
      <c r="S7" s="1568">
        <f t="shared" ref="S7:S15" si="0">F7</f>
        <v>0</v>
      </c>
      <c r="T7" s="1567" t="s">
        <v>8</v>
      </c>
      <c r="U7" s="1568">
        <f t="shared" ref="U7:U15" si="1">H7</f>
        <v>0</v>
      </c>
      <c r="V7" s="1567" t="s">
        <v>8</v>
      </c>
      <c r="W7" s="1568">
        <f t="shared" ref="W7:W15" si="2">J7</f>
        <v>0</v>
      </c>
      <c r="X7" s="1569"/>
      <c r="Y7" s="3360" t="s">
        <v>530</v>
      </c>
      <c r="Z7" s="3361"/>
      <c r="AA7" s="1570" t="e">
        <f>D7/F7</f>
        <v>#DIV/0!</v>
      </c>
      <c r="AB7" s="1570" t="e">
        <f>D7/H7</f>
        <v>#DIV/0!</v>
      </c>
      <c r="AC7" s="1570" t="e">
        <f>D7/J7</f>
        <v>#DIV/0!</v>
      </c>
    </row>
    <row r="8" spans="1:29" s="1219" customFormat="1" ht="15.75" thickBot="1">
      <c r="A8" s="2939"/>
      <c r="B8" s="2946" t="s">
        <v>531</v>
      </c>
      <c r="C8" s="527" t="s">
        <v>576</v>
      </c>
      <c r="D8" s="522">
        <v>100</v>
      </c>
      <c r="E8" s="527"/>
      <c r="F8" s="524">
        <f>SUMIF(62:62,E8,63:63)-SUMIF(62:62,C8,63:63)+100</f>
        <v>0</v>
      </c>
      <c r="G8" s="527"/>
      <c r="H8" s="522">
        <f>SUMIF(62:62,G8,63:63)-SUMIF(62:62,C8,63:63)+100</f>
        <v>0</v>
      </c>
      <c r="I8" s="527"/>
      <c r="J8" s="522">
        <f>SUMIF(62:62,I8,63:63)-SUMIF(62:62,C8,63:63)+100</f>
        <v>0</v>
      </c>
      <c r="K8" s="526"/>
      <c r="L8" s="2135"/>
      <c r="M8" s="2136"/>
      <c r="N8" s="2136"/>
      <c r="O8" s="2136"/>
      <c r="P8" s="3369" t="s">
        <v>533</v>
      </c>
      <c r="Q8" s="3361"/>
      <c r="R8" s="1567" t="s">
        <v>8</v>
      </c>
      <c r="S8" s="1568">
        <f t="shared" si="0"/>
        <v>0</v>
      </c>
      <c r="T8" s="1567" t="s">
        <v>8</v>
      </c>
      <c r="U8" s="1568">
        <f t="shared" si="1"/>
        <v>0</v>
      </c>
      <c r="V8" s="1567" t="s">
        <v>8</v>
      </c>
      <c r="W8" s="1568">
        <f t="shared" si="2"/>
        <v>0</v>
      </c>
      <c r="X8" s="1569"/>
      <c r="Y8" s="3360" t="s">
        <v>533</v>
      </c>
      <c r="Z8" s="3361"/>
      <c r="AA8" s="1570" t="e">
        <f t="shared" ref="AA8:AA47" si="3">D8/F8</f>
        <v>#DIV/0!</v>
      </c>
      <c r="AB8" s="1570" t="e">
        <f t="shared" ref="AB8:AB47" si="4">D8/H8</f>
        <v>#DIV/0!</v>
      </c>
      <c r="AC8" s="1570" t="e">
        <f t="shared" ref="AC8:AC47" si="5">D8/J8</f>
        <v>#DIV/0!</v>
      </c>
    </row>
    <row r="9" spans="1:29" s="1219" customFormat="1" ht="15">
      <c r="A9" s="2940"/>
      <c r="B9" s="2947" t="s">
        <v>2761</v>
      </c>
      <c r="C9" s="857"/>
      <c r="D9" s="253">
        <v>100</v>
      </c>
      <c r="E9" s="860"/>
      <c r="F9" s="253">
        <f>SUMIF(64:64,E9,65:65)-SUMIF(64:64,C9,65:65)+100</f>
        <v>100</v>
      </c>
      <c r="G9" s="858"/>
      <c r="H9" s="253">
        <f>SUMIF(64:64,G9,65:65)-SUMIF(64:64,C9,65:65)+100</f>
        <v>100</v>
      </c>
      <c r="I9" s="858"/>
      <c r="J9" s="253">
        <f>SUMIF(64:64,I9,65:65)-SUMIF(64:64,C9,65:65)+100</f>
        <v>100</v>
      </c>
      <c r="K9" s="526"/>
      <c r="L9" s="2135"/>
      <c r="M9" s="2136"/>
      <c r="N9" s="2136"/>
      <c r="O9" s="2136"/>
      <c r="P9" s="3368" t="s">
        <v>535</v>
      </c>
      <c r="Q9" s="1150" t="str">
        <f t="shared" ref="Q9:Q15" si="6">B9</f>
        <v>用途</v>
      </c>
      <c r="R9" s="1567" t="s">
        <v>8</v>
      </c>
      <c r="S9" s="1568">
        <f t="shared" si="0"/>
        <v>100</v>
      </c>
      <c r="T9" s="1567" t="s">
        <v>8</v>
      </c>
      <c r="U9" s="1568">
        <f t="shared" si="1"/>
        <v>100</v>
      </c>
      <c r="V9" s="1567" t="s">
        <v>8</v>
      </c>
      <c r="W9" s="1568">
        <f t="shared" si="2"/>
        <v>100</v>
      </c>
      <c r="X9" s="1569"/>
      <c r="Y9" s="332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SUMIF(66:66,E10,67:67)-SUMIF(66:66,C10,67:67)+100</f>
        <v>100</v>
      </c>
      <c r="G10" s="862"/>
      <c r="H10" s="254">
        <f>SUMIF(66:66,G10,67:67)-SUMIF(66:66,C10,67:67)+100</f>
        <v>100</v>
      </c>
      <c r="I10" s="861"/>
      <c r="J10" s="254">
        <f>SUMIF(66:66,I10,67:67)-SUMIF(66:66,C10,67:67)+100</f>
        <v>100</v>
      </c>
      <c r="K10" s="584"/>
      <c r="L10" s="2138"/>
      <c r="M10" s="2178"/>
      <c r="N10" s="2178"/>
      <c r="O10" s="2178"/>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LOOKUP(E11,69:69,70:70)-LOOKUP(C11,69:69,70:70)+100</f>
        <v>#N/A</v>
      </c>
      <c r="G11" s="534"/>
      <c r="H11" s="254" t="e">
        <f>LOOKUP(G11,69:69,70:70)-LOOKUP(C11,69:69,70:70)+100</f>
        <v>#N/A</v>
      </c>
      <c r="I11" s="533"/>
      <c r="J11" s="254" t="e">
        <f>LOOKUP(I11,69:69,70:70)-LOOKUP(C11,69:69,70:70)+100</f>
        <v>#N/A</v>
      </c>
      <c r="K11" s="584"/>
      <c r="L11" s="2140"/>
      <c r="M11" s="2134"/>
      <c r="N11" s="2134"/>
      <c r="O11" s="2134"/>
      <c r="P11" s="3368"/>
      <c r="Q11" s="1150" t="str">
        <f t="shared" si="6"/>
        <v>容积率</v>
      </c>
      <c r="R11" s="1567" t="s">
        <v>8</v>
      </c>
      <c r="S11" s="1568" t="e">
        <f t="shared" si="0"/>
        <v>#N/A</v>
      </c>
      <c r="T11" s="1567" t="s">
        <v>8</v>
      </c>
      <c r="U11" s="1568" t="e">
        <f t="shared" si="1"/>
        <v>#N/A</v>
      </c>
      <c r="V11" s="1567" t="s">
        <v>8</v>
      </c>
      <c r="W11" s="1568" t="e">
        <f t="shared" si="2"/>
        <v>#N/A</v>
      </c>
      <c r="X11" s="1569"/>
      <c r="Y11" s="332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0"/>
      <c r="F12" s="254">
        <f>SUMIF(71:71,E12,72:72)-SUMIF(71:71,C12,72:72)+100</f>
        <v>100</v>
      </c>
      <c r="G12" s="909"/>
      <c r="H12" s="254">
        <f>SUMIF(71:71,G12,72:72)-SUMIF(71:71,C12,72:72)+100</f>
        <v>100</v>
      </c>
      <c r="I12" s="530"/>
      <c r="J12" s="254">
        <f>SUMIF(71:71,I12,72:72)-SUMIF(71:71,C12,72:72)+100</f>
        <v>100</v>
      </c>
      <c r="K12" s="581"/>
      <c r="L12" s="2135"/>
      <c r="M12" s="2136"/>
      <c r="N12" s="2136"/>
      <c r="O12" s="2136"/>
      <c r="P12" s="3368"/>
      <c r="Q12" s="1150">
        <f t="shared" si="6"/>
        <v>111</v>
      </c>
      <c r="R12" s="1567" t="s">
        <v>8</v>
      </c>
      <c r="S12" s="1568">
        <f t="shared" si="0"/>
        <v>100</v>
      </c>
      <c r="T12" s="1567" t="s">
        <v>8</v>
      </c>
      <c r="U12" s="1568">
        <f t="shared" si="1"/>
        <v>100</v>
      </c>
      <c r="V12" s="1567" t="s">
        <v>8</v>
      </c>
      <c r="W12" s="1568">
        <f t="shared" si="2"/>
        <v>100</v>
      </c>
      <c r="X12" s="1569"/>
      <c r="Y12" s="3325"/>
      <c r="Z12" s="1149">
        <f t="shared" si="7"/>
        <v>111</v>
      </c>
      <c r="AA12" s="1570">
        <f>D12/F12</f>
        <v>1</v>
      </c>
      <c r="AB12" s="1570">
        <f>D12/H12</f>
        <v>1</v>
      </c>
      <c r="AC12" s="1570">
        <f>D12/J12</f>
        <v>1</v>
      </c>
    </row>
    <row r="13" spans="1:29" ht="15">
      <c r="A13" s="2943"/>
      <c r="B13" s="2949">
        <v>111</v>
      </c>
      <c r="C13" s="539"/>
      <c r="D13" s="540">
        <v>100</v>
      </c>
      <c r="E13" s="530"/>
      <c r="F13" s="254">
        <f>SUMIF(73:73,E13,74:74)-SUMIF(73:73,C13,74:74)+100</f>
        <v>100</v>
      </c>
      <c r="G13" s="909"/>
      <c r="H13" s="540">
        <f>SUMIF(73:73,G13,74:74)-SUMIF(73:73,C13,74:74)+100</f>
        <v>100</v>
      </c>
      <c r="I13" s="530"/>
      <c r="J13" s="540">
        <f>SUMIF(73:73,I13,74:74)-SUMIF(73:73,C13,74:74)+100</f>
        <v>100</v>
      </c>
      <c r="K13" s="581"/>
      <c r="L13" s="2142"/>
      <c r="M13" s="2134"/>
      <c r="N13" s="2134"/>
      <c r="O13" s="2134"/>
      <c r="P13" s="3368"/>
      <c r="Q13" s="1150">
        <f t="shared" si="6"/>
        <v>111</v>
      </c>
      <c r="R13" s="1567" t="s">
        <v>8</v>
      </c>
      <c r="S13" s="1568">
        <f t="shared" si="0"/>
        <v>100</v>
      </c>
      <c r="T13" s="1567" t="s">
        <v>8</v>
      </c>
      <c r="U13" s="1568">
        <f t="shared" si="1"/>
        <v>100</v>
      </c>
      <c r="V13" s="1567" t="s">
        <v>8</v>
      </c>
      <c r="W13" s="1568">
        <f t="shared" si="2"/>
        <v>100</v>
      </c>
      <c r="X13" s="1569"/>
      <c r="Y13" s="3325"/>
      <c r="Z13" s="1149">
        <f t="shared" si="7"/>
        <v>111</v>
      </c>
      <c r="AA13" s="1570">
        <f t="shared" si="3"/>
        <v>1</v>
      </c>
      <c r="AB13" s="1570">
        <f t="shared" si="4"/>
        <v>1</v>
      </c>
      <c r="AC13" s="1570">
        <f t="shared" si="5"/>
        <v>1</v>
      </c>
    </row>
    <row r="14" spans="1:29" ht="15.75" thickBot="1">
      <c r="A14" s="2944"/>
      <c r="B14" s="2950">
        <v>111</v>
      </c>
      <c r="C14" s="545"/>
      <c r="D14" s="546">
        <v>100</v>
      </c>
      <c r="E14" s="910"/>
      <c r="F14" s="546">
        <f>SUMIF(75:75,E14,76:76)-SUMIF(75:75,C14,76:76)+100</f>
        <v>100</v>
      </c>
      <c r="G14" s="909"/>
      <c r="H14" s="546">
        <f>SUMIF(75:75,G14,76:76)-SUMIF(75:75,C14,76:76)+100</f>
        <v>100</v>
      </c>
      <c r="I14" s="530"/>
      <c r="J14" s="546">
        <f>SUMIF(75:75,I14,76:76)-SUMIF(75:75,C14,76:76)+100</f>
        <v>100</v>
      </c>
      <c r="K14" s="581"/>
      <c r="L14" s="2142"/>
      <c r="M14" s="2134"/>
      <c r="N14" s="2134"/>
      <c r="O14" s="2134"/>
      <c r="P14" s="3368"/>
      <c r="Q14" s="1150">
        <f t="shared" si="6"/>
        <v>111</v>
      </c>
      <c r="R14" s="1567" t="s">
        <v>8</v>
      </c>
      <c r="S14" s="1568">
        <f t="shared" si="0"/>
        <v>100</v>
      </c>
      <c r="T14" s="1567" t="s">
        <v>8</v>
      </c>
      <c r="U14" s="1568">
        <f t="shared" si="1"/>
        <v>100</v>
      </c>
      <c r="V14" s="1567" t="s">
        <v>8</v>
      </c>
      <c r="W14" s="1568">
        <f t="shared" si="2"/>
        <v>100</v>
      </c>
      <c r="X14" s="1569"/>
      <c r="Y14" s="3325"/>
      <c r="Z14" s="1149">
        <f t="shared" si="7"/>
        <v>111</v>
      </c>
      <c r="AA14" s="1570">
        <f t="shared" si="3"/>
        <v>1</v>
      </c>
      <c r="AB14" s="1570">
        <f t="shared" si="4"/>
        <v>1</v>
      </c>
      <c r="AC14" s="1570">
        <f t="shared" si="5"/>
        <v>1</v>
      </c>
    </row>
    <row r="15" spans="1:29" ht="15">
      <c r="A15" s="2936" t="s">
        <v>2759</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42"/>
      <c r="M15" s="2134"/>
      <c r="N15" s="2134"/>
      <c r="O15" s="2134"/>
      <c r="P15" s="3370" t="s">
        <v>540</v>
      </c>
      <c r="Q15" s="1571" t="str">
        <f t="shared" si="6"/>
        <v>办公集聚程度</v>
      </c>
      <c r="R15" s="1572" t="s">
        <v>8</v>
      </c>
      <c r="S15" s="1573">
        <f t="shared" si="0"/>
        <v>100</v>
      </c>
      <c r="T15" s="1572" t="s">
        <v>8</v>
      </c>
      <c r="U15" s="1573">
        <f t="shared" si="1"/>
        <v>100</v>
      </c>
      <c r="V15" s="1572" t="s">
        <v>8</v>
      </c>
      <c r="W15" s="1573">
        <f t="shared" si="2"/>
        <v>100</v>
      </c>
      <c r="X15" s="1566"/>
      <c r="Y15" s="3370" t="s">
        <v>540</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8"/>
      <c r="L16" s="2142"/>
      <c r="M16" s="2134"/>
      <c r="N16" s="2134"/>
      <c r="O16" s="2134"/>
      <c r="P16" s="3371"/>
      <c r="Q16" s="1571"/>
      <c r="R16" s="1572"/>
      <c r="S16" s="1573"/>
      <c r="T16" s="1572"/>
      <c r="U16" s="1573"/>
      <c r="V16" s="1572"/>
      <c r="W16" s="1573"/>
      <c r="X16" s="1566"/>
      <c r="Y16" s="3371"/>
      <c r="Z16" s="1574"/>
      <c r="AA16" s="1575">
        <v>1</v>
      </c>
      <c r="AB16" s="1575">
        <v>1</v>
      </c>
      <c r="AC16" s="1575">
        <v>1</v>
      </c>
    </row>
    <row r="17" spans="1:29" ht="114">
      <c r="A17" s="532"/>
      <c r="B17" s="560" t="s">
        <v>295</v>
      </c>
      <c r="C17" s="573" t="str">
        <f>估价对象房地状况!C6</f>
        <v>估价对象周边1公里有357、355路等公交车经过，公共交通通达情况一般、停车便捷程度较好，综合评价交通便捷度较差</v>
      </c>
      <c r="D17" s="559">
        <v>100</v>
      </c>
      <c r="E17" s="564"/>
      <c r="F17" s="559">
        <f>SUMIF(79:79,E18,80:80)-SUMIF(79:79,C18,80:80)+100</f>
        <v>100</v>
      </c>
      <c r="G17" s="562"/>
      <c r="H17" s="565">
        <f>SUMIF(79:79,G18,80:80)-SUMIF(79:79,C18,80:80)+100</f>
        <v>100</v>
      </c>
      <c r="I17" s="562"/>
      <c r="J17" s="565">
        <f>SUMIF(79:79,I18,80:80)-SUMIF(79:79,C18,80:80)+100</f>
        <v>100</v>
      </c>
      <c r="K17" s="897"/>
      <c r="L17" s="2142"/>
      <c r="M17" s="2134"/>
      <c r="N17" s="2134"/>
      <c r="O17" s="2134"/>
      <c r="P17" s="3371"/>
      <c r="Q17" s="1571" t="str">
        <f>B17</f>
        <v>交通便捷度</v>
      </c>
      <c r="R17" s="1572" t="s">
        <v>8</v>
      </c>
      <c r="S17" s="1573">
        <f>F17</f>
        <v>100</v>
      </c>
      <c r="T17" s="1572" t="s">
        <v>8</v>
      </c>
      <c r="U17" s="1573">
        <f>H17</f>
        <v>100</v>
      </c>
      <c r="V17" s="1572" t="s">
        <v>8</v>
      </c>
      <c r="W17" s="1573">
        <f>J17</f>
        <v>100</v>
      </c>
      <c r="X17" s="1566"/>
      <c r="Y17" s="3371"/>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8"/>
      <c r="L18" s="2142"/>
      <c r="M18" s="2134"/>
      <c r="N18" s="2134"/>
      <c r="O18" s="2134"/>
      <c r="P18" s="3371"/>
      <c r="Q18" s="1571"/>
      <c r="R18" s="1572"/>
      <c r="S18" s="1573"/>
      <c r="T18" s="1572"/>
      <c r="U18" s="1573"/>
      <c r="V18" s="1572"/>
      <c r="W18" s="1573"/>
      <c r="X18" s="1566"/>
      <c r="Y18" s="3371"/>
      <c r="Z18" s="1574"/>
      <c r="AA18" s="1575">
        <v>1</v>
      </c>
      <c r="AB18" s="1575">
        <v>1</v>
      </c>
      <c r="AC18" s="1575">
        <v>1</v>
      </c>
    </row>
    <row r="19" spans="1:29" ht="42.75">
      <c r="A19" s="532"/>
      <c r="B19" s="2627" t="s">
        <v>2549</v>
      </c>
      <c r="C19" s="573" t="str">
        <f>估价对象房地状况!C7</f>
        <v>估价对象所在区域公共配套设施齐备情况一般</v>
      </c>
      <c r="D19" s="565">
        <v>100</v>
      </c>
      <c r="E19" s="572"/>
      <c r="F19" s="565">
        <f>SUMIF(81:81,E20,82:82)-SUMIF(81:81,C20,82:82)+100</f>
        <v>100</v>
      </c>
      <c r="G19" s="570"/>
      <c r="H19" s="559">
        <f>SUMIF(81:81,G20,82:82)-SUMIF(81:81,C20,82:82)+100</f>
        <v>100</v>
      </c>
      <c r="I19" s="570"/>
      <c r="J19" s="559">
        <f>SUMIF(81:81,I20,82:82)-SUMIF(81:81,C20,82:82)+100</f>
        <v>100</v>
      </c>
      <c r="K19" s="897"/>
      <c r="L19" s="2142"/>
      <c r="M19" s="2134"/>
      <c r="N19" s="2134"/>
      <c r="O19" s="2134"/>
      <c r="P19" s="3371"/>
      <c r="Q19" s="1571" t="str">
        <f>B19</f>
        <v>公共配套设施</v>
      </c>
      <c r="R19" s="1572" t="s">
        <v>8</v>
      </c>
      <c r="S19" s="1573">
        <f>F19</f>
        <v>100</v>
      </c>
      <c r="T19" s="1572" t="s">
        <v>8</v>
      </c>
      <c r="U19" s="1573">
        <f>H19</f>
        <v>100</v>
      </c>
      <c r="V19" s="1572" t="s">
        <v>8</v>
      </c>
      <c r="W19" s="1573">
        <f>J19</f>
        <v>100</v>
      </c>
      <c r="X19" s="1566"/>
      <c r="Y19" s="3371"/>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8"/>
      <c r="L20" s="2142"/>
      <c r="M20" s="2134"/>
      <c r="N20" s="2134"/>
      <c r="O20" s="2134"/>
      <c r="P20" s="3371"/>
      <c r="Q20" s="1571"/>
      <c r="R20" s="1572"/>
      <c r="S20" s="1573"/>
      <c r="T20" s="1572"/>
      <c r="U20" s="1573"/>
      <c r="V20" s="1572"/>
      <c r="W20" s="1573"/>
      <c r="X20" s="1566"/>
      <c r="Y20" s="3371"/>
      <c r="Z20" s="1574"/>
      <c r="AA20" s="1575">
        <v>1</v>
      </c>
      <c r="AB20" s="1575">
        <v>1</v>
      </c>
      <c r="AC20" s="1575">
        <v>1</v>
      </c>
    </row>
    <row r="21" spans="1:29" ht="42.75">
      <c r="A21" s="532"/>
      <c r="B21" s="2615" t="s">
        <v>2561</v>
      </c>
      <c r="C21" s="573" t="str">
        <f>估价对象房地状况!C8</f>
        <v>估价对象所在区域基础设施水平-六通</v>
      </c>
      <c r="D21" s="565">
        <v>100</v>
      </c>
      <c r="E21" s="572"/>
      <c r="F21" s="565">
        <f>SUMIF(83:83,E22,84:84)-SUMIF(83:83,C22,84:84)+100</f>
        <v>100</v>
      </c>
      <c r="G21" s="570"/>
      <c r="H21" s="565">
        <f>SUMIF(83:83,G22,84:84)-SUMIF(83:83,C22,84:84)+100</f>
        <v>100</v>
      </c>
      <c r="I21" s="570"/>
      <c r="J21" s="565">
        <f>SUMIF(83:83,I22,84:84)-SUMIF(83:83,C22,84:84)+100</f>
        <v>100</v>
      </c>
      <c r="K21" s="897"/>
      <c r="L21" s="2142"/>
      <c r="M21" s="2134"/>
      <c r="N21" s="2134"/>
      <c r="O21" s="2134"/>
      <c r="P21" s="3371"/>
      <c r="Q21" s="2603" t="str">
        <f>B21</f>
        <v>基础设施水平</v>
      </c>
      <c r="R21" s="1572" t="s">
        <v>8</v>
      </c>
      <c r="S21" s="1573">
        <f>F21</f>
        <v>100</v>
      </c>
      <c r="T21" s="1572" t="s">
        <v>8</v>
      </c>
      <c r="U21" s="1573">
        <f>H21</f>
        <v>100</v>
      </c>
      <c r="V21" s="1572" t="s">
        <v>8</v>
      </c>
      <c r="W21" s="1573">
        <f>J21</f>
        <v>100</v>
      </c>
      <c r="X21" s="2605"/>
      <c r="Y21" s="3371"/>
      <c r="Z21" s="2604"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26"/>
      <c r="L22" s="2142"/>
      <c r="M22" s="2134"/>
      <c r="N22" s="2134"/>
      <c r="O22" s="2134"/>
      <c r="P22" s="3371"/>
      <c r="Q22" s="2603"/>
      <c r="R22" s="1572"/>
      <c r="S22" s="1573"/>
      <c r="T22" s="1572"/>
      <c r="U22" s="1573"/>
      <c r="V22" s="1572"/>
      <c r="W22" s="1573"/>
      <c r="X22" s="2605"/>
      <c r="Y22" s="3371"/>
      <c r="Z22" s="2604"/>
      <c r="AA22" s="1575">
        <v>1</v>
      </c>
      <c r="AB22" s="1575">
        <v>1</v>
      </c>
      <c r="AC22" s="1575">
        <v>1</v>
      </c>
    </row>
    <row r="23" spans="1:29" ht="57">
      <c r="A23" s="532"/>
      <c r="B23" s="560" t="s">
        <v>777</v>
      </c>
      <c r="C23" s="573" t="str">
        <f>估价对象房地状况!C9</f>
        <v>周边2公里内有长沙医学院、观音岩水库，区域自然环境较好</v>
      </c>
      <c r="D23" s="559">
        <v>100</v>
      </c>
      <c r="E23" s="564"/>
      <c r="F23" s="559">
        <f>SUMIF(85:85,E24,86:86)-SUMIF(85:85,C24,86:86)+100</f>
        <v>100</v>
      </c>
      <c r="G23" s="562"/>
      <c r="H23" s="559">
        <f>SUMIF(85:85,G24,86:86)-SUMIF(85:85,C24,86:86)+100</f>
        <v>100</v>
      </c>
      <c r="I23" s="562"/>
      <c r="J23" s="559">
        <f>SUMIF(85:85,I24,86:86)-SUMIF(85:85,C24,86:86)+100</f>
        <v>100</v>
      </c>
      <c r="K23" s="897"/>
      <c r="L23" s="2142"/>
      <c r="M23" s="2134"/>
      <c r="N23" s="2134"/>
      <c r="O23" s="2134"/>
      <c r="P23" s="3371"/>
      <c r="Q23" s="1571" t="str">
        <f>B23</f>
        <v>环境质量</v>
      </c>
      <c r="R23" s="1572" t="s">
        <v>8</v>
      </c>
      <c r="S23" s="1573">
        <f>F23</f>
        <v>100</v>
      </c>
      <c r="T23" s="1572" t="s">
        <v>8</v>
      </c>
      <c r="U23" s="1573">
        <f>H23</f>
        <v>100</v>
      </c>
      <c r="V23" s="1572" t="s">
        <v>8</v>
      </c>
      <c r="W23" s="1573">
        <f>J23</f>
        <v>100</v>
      </c>
      <c r="X23" s="1566"/>
      <c r="Y23" s="3371"/>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8"/>
      <c r="L24" s="2142"/>
      <c r="M24" s="2134"/>
      <c r="N24" s="2134"/>
      <c r="O24" s="2134"/>
      <c r="P24" s="3371"/>
      <c r="Q24" s="1571"/>
      <c r="R24" s="1572"/>
      <c r="S24" s="1573"/>
      <c r="T24" s="1572"/>
      <c r="U24" s="1573"/>
      <c r="V24" s="1572"/>
      <c r="W24" s="1573"/>
      <c r="X24" s="1566"/>
      <c r="Y24" s="3371"/>
      <c r="Z24" s="1574"/>
      <c r="AA24" s="1575">
        <v>1</v>
      </c>
      <c r="AB24" s="1575">
        <v>1</v>
      </c>
      <c r="AC24" s="1575">
        <v>1</v>
      </c>
    </row>
    <row r="25" spans="1:29" ht="27">
      <c r="A25" s="517"/>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42"/>
      <c r="M25" s="2134"/>
      <c r="N25" s="2134"/>
      <c r="O25" s="2134"/>
      <c r="P25" s="3371"/>
      <c r="Q25" s="1571" t="str">
        <f>B25</f>
        <v>毗邻道路的类型与等级</v>
      </c>
      <c r="R25" s="1572" t="s">
        <v>8</v>
      </c>
      <c r="S25" s="1573">
        <f>F25</f>
        <v>100</v>
      </c>
      <c r="T25" s="1572" t="s">
        <v>8</v>
      </c>
      <c r="U25" s="1573">
        <f>H25</f>
        <v>100</v>
      </c>
      <c r="V25" s="1572" t="s">
        <v>8</v>
      </c>
      <c r="W25" s="1573">
        <f>J25</f>
        <v>100</v>
      </c>
      <c r="X25" s="1566"/>
      <c r="Y25" s="3371"/>
      <c r="Z25" s="1574" t="str">
        <f>Q25</f>
        <v>毗邻道路的类型与等级</v>
      </c>
      <c r="AA25" s="1575">
        <f t="shared" si="3"/>
        <v>1</v>
      </c>
      <c r="AB25" s="1575">
        <f t="shared" si="4"/>
        <v>1</v>
      </c>
      <c r="AC25" s="1575">
        <f t="shared" si="5"/>
        <v>1</v>
      </c>
    </row>
    <row r="26" spans="1:29" ht="15">
      <c r="A26" s="517"/>
      <c r="B26" s="566"/>
      <c r="C26" s="580"/>
      <c r="D26" s="540"/>
      <c r="E26" s="583"/>
      <c r="F26" s="540"/>
      <c r="G26" s="580"/>
      <c r="H26" s="540"/>
      <c r="I26" s="583"/>
      <c r="J26" s="540"/>
      <c r="K26" s="898"/>
      <c r="L26" s="2142"/>
      <c r="M26" s="2134"/>
      <c r="N26" s="2134"/>
      <c r="O26" s="2134"/>
      <c r="P26" s="3371"/>
      <c r="Q26" s="1571"/>
      <c r="R26" s="1572"/>
      <c r="S26" s="1573"/>
      <c r="T26" s="1572"/>
      <c r="U26" s="1573"/>
      <c r="V26" s="1572"/>
      <c r="W26" s="1573"/>
      <c r="X26" s="1566"/>
      <c r="Y26" s="3371"/>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371"/>
      <c r="Q27" s="1571" t="str">
        <f t="shared" ref="Q27:Q47" si="11">B27</f>
        <v>楼层</v>
      </c>
      <c r="R27" s="1572" t="s">
        <v>8</v>
      </c>
      <c r="S27" s="1573">
        <f>F27</f>
        <v>100</v>
      </c>
      <c r="T27" s="1572" t="s">
        <v>8</v>
      </c>
      <c r="U27" s="1573">
        <f>H27</f>
        <v>100</v>
      </c>
      <c r="V27" s="1572" t="s">
        <v>8</v>
      </c>
      <c r="W27" s="1573">
        <f>J27</f>
        <v>100</v>
      </c>
      <c r="X27" s="1566"/>
      <c r="Y27" s="3371"/>
      <c r="Z27" s="1574" t="str">
        <f>Q27</f>
        <v>楼层</v>
      </c>
      <c r="AA27" s="1575">
        <f t="shared" si="3"/>
        <v>1</v>
      </c>
      <c r="AB27" s="1575">
        <f t="shared" si="4"/>
        <v>1</v>
      </c>
      <c r="AC27" s="1575">
        <f t="shared" si="5"/>
        <v>1</v>
      </c>
    </row>
    <row r="28" spans="1:29" s="1219" customFormat="1" ht="15">
      <c r="A28" s="536"/>
      <c r="B28" s="560" t="s">
        <v>778</v>
      </c>
      <c r="C28" s="912"/>
      <c r="D28" s="875">
        <v>100</v>
      </c>
      <c r="E28" s="900"/>
      <c r="F28" s="875">
        <f>SUMIF(91:91,E28,92:92)-SUMIF(91:91,C28,92:92)+100</f>
        <v>100</v>
      </c>
      <c r="G28" s="912"/>
      <c r="H28" s="875">
        <f>SUMIF(91:91,G28,92:92)-SUMIF(91:91,C28,92:92)+100</f>
        <v>100</v>
      </c>
      <c r="I28" s="900"/>
      <c r="J28" s="875">
        <f>SUMIF(91:91,I28,92:92)-SUMIF(91:91,C28,92:92)+100</f>
        <v>100</v>
      </c>
      <c r="K28" s="584"/>
      <c r="L28" s="2135"/>
      <c r="M28" s="2136"/>
      <c r="N28" s="2136"/>
      <c r="O28" s="2136"/>
      <c r="P28" s="3371"/>
      <c r="Q28" s="1150" t="str">
        <f t="shared" si="11"/>
        <v>朝向</v>
      </c>
      <c r="R28" s="1567" t="s">
        <v>8</v>
      </c>
      <c r="S28" s="1568">
        <f>F28</f>
        <v>100</v>
      </c>
      <c r="T28" s="1567" t="s">
        <v>8</v>
      </c>
      <c r="U28" s="1568">
        <f>H28</f>
        <v>100</v>
      </c>
      <c r="V28" s="1567" t="s">
        <v>8</v>
      </c>
      <c r="W28" s="1568">
        <f>J28</f>
        <v>100</v>
      </c>
      <c r="X28" s="1569"/>
      <c r="Y28" s="3371"/>
      <c r="Z28" s="1149" t="str">
        <f>Q28</f>
        <v>朝向</v>
      </c>
      <c r="AA28" s="1575">
        <f>D28/F28</f>
        <v>1</v>
      </c>
      <c r="AB28" s="1575">
        <f>D28/H28</f>
        <v>1</v>
      </c>
      <c r="AC28" s="1575">
        <f>D28/J28</f>
        <v>1</v>
      </c>
    </row>
    <row r="29" spans="1:29" ht="15">
      <c r="A29" s="532"/>
      <c r="B29" s="585">
        <v>111</v>
      </c>
      <c r="C29" s="911"/>
      <c r="D29" s="540">
        <v>100</v>
      </c>
      <c r="E29" s="530"/>
      <c r="F29" s="540">
        <f>SUMIF(93:93,E29,94:94)-SUMIF(93:93,C29,94:94)+100</f>
        <v>100</v>
      </c>
      <c r="G29" s="909"/>
      <c r="H29" s="540">
        <f>SUMIF(93:93,G29,94:94)-SUMIF(93:93,C29,94:94)+100</f>
        <v>100</v>
      </c>
      <c r="I29" s="530"/>
      <c r="J29" s="540">
        <f>SUMIF(93:93,I29,94:94)-SUMIF(93:93,C29,94:94)+100</f>
        <v>100</v>
      </c>
      <c r="K29" s="581"/>
      <c r="L29" s="2142"/>
      <c r="M29" s="2134"/>
      <c r="N29" s="2134"/>
      <c r="O29" s="2134"/>
      <c r="P29" s="3371"/>
      <c r="Q29" s="1571">
        <f t="shared" si="11"/>
        <v>111</v>
      </c>
      <c r="R29" s="1572" t="s">
        <v>8</v>
      </c>
      <c r="S29" s="1573">
        <f t="shared" ref="S29:S47" si="12">F29</f>
        <v>100</v>
      </c>
      <c r="T29" s="1572" t="s">
        <v>8</v>
      </c>
      <c r="U29" s="1573">
        <f t="shared" ref="U29:U47" si="13">H29</f>
        <v>100</v>
      </c>
      <c r="V29" s="1572" t="s">
        <v>8</v>
      </c>
      <c r="W29" s="1573">
        <f t="shared" ref="W29:W47" si="14">J29</f>
        <v>100</v>
      </c>
      <c r="X29" s="1566"/>
      <c r="Y29" s="3371"/>
      <c r="Z29" s="1574">
        <f t="shared" ref="Z29:Z47" si="15">Q29</f>
        <v>111</v>
      </c>
      <c r="AA29" s="1575">
        <f t="shared" si="3"/>
        <v>1</v>
      </c>
      <c r="AB29" s="1575">
        <f t="shared" si="4"/>
        <v>1</v>
      </c>
      <c r="AC29" s="1575">
        <f t="shared" si="5"/>
        <v>1</v>
      </c>
    </row>
    <row r="30" spans="1:29" ht="15">
      <c r="A30" s="532"/>
      <c r="B30" s="585">
        <v>111</v>
      </c>
      <c r="C30" s="911"/>
      <c r="D30" s="540">
        <v>100</v>
      </c>
      <c r="E30" s="530"/>
      <c r="F30" s="540">
        <f>SUMIF(95:95,E30,96:96)-SUMIF(95:95,C30,96:96)+100</f>
        <v>100</v>
      </c>
      <c r="G30" s="909"/>
      <c r="H30" s="540">
        <f>SUMIF(95:95,G30,96:96)-SUMIF(95:95,C30,96:96)+100</f>
        <v>100</v>
      </c>
      <c r="I30" s="530"/>
      <c r="J30" s="540">
        <f>SUMIF(95:95,I30,96:96)-SUMIF(95:95,C30,96:96)+100</f>
        <v>100</v>
      </c>
      <c r="K30" s="581"/>
      <c r="L30" s="2142"/>
      <c r="M30" s="2134"/>
      <c r="N30" s="2134"/>
      <c r="O30" s="2134"/>
      <c r="P30" s="3371"/>
      <c r="Q30" s="1571">
        <f t="shared" si="11"/>
        <v>111</v>
      </c>
      <c r="R30" s="1572" t="s">
        <v>8</v>
      </c>
      <c r="S30" s="1573">
        <f t="shared" si="12"/>
        <v>100</v>
      </c>
      <c r="T30" s="1572" t="s">
        <v>8</v>
      </c>
      <c r="U30" s="1573">
        <f t="shared" si="13"/>
        <v>100</v>
      </c>
      <c r="V30" s="1572" t="s">
        <v>8</v>
      </c>
      <c r="W30" s="1573">
        <f t="shared" si="14"/>
        <v>100</v>
      </c>
      <c r="X30" s="1566"/>
      <c r="Y30" s="3371"/>
      <c r="Z30" s="1574">
        <f t="shared" si="15"/>
        <v>111</v>
      </c>
      <c r="AA30" s="1575">
        <f t="shared" si="3"/>
        <v>1</v>
      </c>
      <c r="AB30" s="1575">
        <f t="shared" si="4"/>
        <v>1</v>
      </c>
      <c r="AC30" s="1575">
        <f t="shared" si="5"/>
        <v>1</v>
      </c>
    </row>
    <row r="31" spans="1:29" ht="15">
      <c r="A31" s="532"/>
      <c r="B31" s="585">
        <v>111</v>
      </c>
      <c r="C31" s="911"/>
      <c r="D31" s="540">
        <v>100</v>
      </c>
      <c r="E31" s="530"/>
      <c r="F31" s="540">
        <f>SUMIF(97:97,E31,98:98)-SUMIF(97:97,C31,98:98)+100</f>
        <v>100</v>
      </c>
      <c r="G31" s="909"/>
      <c r="H31" s="540">
        <f>SUMIF(97:97,G31,98:98)-SUMIF(97:97,C31,98:98)+100</f>
        <v>100</v>
      </c>
      <c r="I31" s="530"/>
      <c r="J31" s="540">
        <f>SUMIF(97:97,I31,98:98)-SUMIF(97:97,C31,98:98)+100</f>
        <v>100</v>
      </c>
      <c r="K31" s="581"/>
      <c r="L31" s="2142"/>
      <c r="M31" s="2134"/>
      <c r="N31" s="2134"/>
      <c r="O31" s="2134"/>
      <c r="P31" s="3371"/>
      <c r="Q31" s="1571">
        <f t="shared" si="11"/>
        <v>111</v>
      </c>
      <c r="R31" s="1572" t="s">
        <v>8</v>
      </c>
      <c r="S31" s="1573">
        <f t="shared" si="12"/>
        <v>100</v>
      </c>
      <c r="T31" s="1572" t="s">
        <v>8</v>
      </c>
      <c r="U31" s="1573">
        <f t="shared" si="13"/>
        <v>100</v>
      </c>
      <c r="V31" s="1572" t="s">
        <v>8</v>
      </c>
      <c r="W31" s="1573">
        <f t="shared" si="14"/>
        <v>100</v>
      </c>
      <c r="X31" s="1566"/>
      <c r="Y31" s="3371"/>
      <c r="Z31" s="1574">
        <f t="shared" si="15"/>
        <v>111</v>
      </c>
      <c r="AA31" s="1575">
        <f t="shared" si="3"/>
        <v>1</v>
      </c>
      <c r="AB31" s="1575">
        <f t="shared" si="4"/>
        <v>1</v>
      </c>
      <c r="AC31" s="1575">
        <f t="shared" si="5"/>
        <v>1</v>
      </c>
    </row>
    <row r="32" spans="1:29" ht="15.75" thickBot="1">
      <c r="A32" s="543"/>
      <c r="B32" s="913">
        <v>111</v>
      </c>
      <c r="C32" s="914"/>
      <c r="D32" s="546">
        <v>100</v>
      </c>
      <c r="E32" s="910"/>
      <c r="F32" s="546">
        <f>SUMIF(99:99,E32,100:100)-SUMIF(99:99,C32,100:100)+100</f>
        <v>100</v>
      </c>
      <c r="G32" s="909"/>
      <c r="H32" s="546">
        <f>SUMIF(99:99,G32,100:100)-SUMIF(99:99,C32,100:100)+100</f>
        <v>100</v>
      </c>
      <c r="I32" s="530"/>
      <c r="J32" s="546">
        <f>SUMIF(99:99,I32,100:100)-SUMIF(99:99,C32,100:100)+100</f>
        <v>100</v>
      </c>
      <c r="K32" s="581"/>
      <c r="L32" s="2142"/>
      <c r="M32" s="2134"/>
      <c r="N32" s="2134"/>
      <c r="O32" s="2134"/>
      <c r="P32" s="3371"/>
      <c r="Q32" s="1571">
        <f t="shared" si="11"/>
        <v>111</v>
      </c>
      <c r="R32" s="1572" t="s">
        <v>8</v>
      </c>
      <c r="S32" s="1573">
        <f t="shared" si="12"/>
        <v>100</v>
      </c>
      <c r="T32" s="1572" t="s">
        <v>8</v>
      </c>
      <c r="U32" s="1573">
        <f t="shared" si="13"/>
        <v>100</v>
      </c>
      <c r="V32" s="1572" t="s">
        <v>8</v>
      </c>
      <c r="W32" s="1573">
        <f t="shared" si="14"/>
        <v>100</v>
      </c>
      <c r="X32" s="1566"/>
      <c r="Y32" s="3371"/>
      <c r="Z32" s="1574">
        <f t="shared" si="15"/>
        <v>111</v>
      </c>
      <c r="AA32" s="1575">
        <f t="shared" si="3"/>
        <v>1</v>
      </c>
      <c r="AB32" s="1575">
        <f t="shared" si="4"/>
        <v>1</v>
      </c>
      <c r="AC32" s="1575">
        <f t="shared" si="5"/>
        <v>1</v>
      </c>
    </row>
    <row r="33" spans="1:29" ht="15">
      <c r="A33" s="2933" t="s">
        <v>2760</v>
      </c>
      <c r="B33" s="172" t="s">
        <v>779</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42"/>
      <c r="M33" s="2134"/>
      <c r="N33" s="2134"/>
      <c r="O33" s="2134"/>
      <c r="P33" s="3372" t="s">
        <v>550</v>
      </c>
      <c r="Q33" s="1571" t="str">
        <f t="shared" si="11"/>
        <v>建筑类型</v>
      </c>
      <c r="R33" s="1572" t="s">
        <v>8</v>
      </c>
      <c r="S33" s="1573">
        <f t="shared" si="12"/>
        <v>100</v>
      </c>
      <c r="T33" s="1572" t="s">
        <v>8</v>
      </c>
      <c r="U33" s="1573">
        <f t="shared" si="13"/>
        <v>100</v>
      </c>
      <c r="V33" s="1572" t="s">
        <v>8</v>
      </c>
      <c r="W33" s="1573">
        <f t="shared" si="14"/>
        <v>100</v>
      </c>
      <c r="X33" s="1566"/>
      <c r="Y33" s="3373" t="s">
        <v>550</v>
      </c>
      <c r="Z33" s="1574" t="str">
        <f t="shared" si="15"/>
        <v>建筑类型</v>
      </c>
      <c r="AA33" s="1575">
        <f t="shared" si="3"/>
        <v>1</v>
      </c>
      <c r="AB33" s="1575">
        <f t="shared" si="4"/>
        <v>1</v>
      </c>
      <c r="AC33" s="1575">
        <f t="shared" si="5"/>
        <v>1</v>
      </c>
    </row>
    <row r="34" spans="1:29" s="1338" customFormat="1" ht="15">
      <c r="A34" s="603"/>
      <c r="B34" s="529" t="s">
        <v>726</v>
      </c>
      <c r="C34" s="879"/>
      <c r="D34" s="254">
        <v>100</v>
      </c>
      <c r="E34" s="534"/>
      <c r="F34" s="863" t="e">
        <f>LOOKUP(E34,104:104,105:105)-LOOKUP(C34,104:104,105:105)+100</f>
        <v>#N/A</v>
      </c>
      <c r="G34" s="533"/>
      <c r="H34" s="254" t="e">
        <f>LOOKUP(G34,104:104,105:105)-LOOKUP(C34,104:104,105:105)+100</f>
        <v>#N/A</v>
      </c>
      <c r="I34" s="533"/>
      <c r="J34" s="254" t="e">
        <f>LOOKUP(I34,104:104,105:105)-LOOKUP(C34,104:104,105:105)+100</f>
        <v>#N/A</v>
      </c>
      <c r="K34" s="581"/>
      <c r="L34" s="2140"/>
      <c r="M34" s="2171"/>
      <c r="N34" s="2171"/>
      <c r="O34" s="2171"/>
      <c r="P34" s="3373"/>
      <c r="Q34" s="1604" t="str">
        <f t="shared" si="11"/>
        <v>项目建筑规模</v>
      </c>
      <c r="R34" s="1576" t="s">
        <v>8</v>
      </c>
      <c r="S34" s="1577" t="e">
        <f t="shared" si="12"/>
        <v>#N/A</v>
      </c>
      <c r="T34" s="1576" t="s">
        <v>8</v>
      </c>
      <c r="U34" s="1577" t="e">
        <f t="shared" si="13"/>
        <v>#N/A</v>
      </c>
      <c r="V34" s="1576" t="s">
        <v>8</v>
      </c>
      <c r="W34" s="1577" t="e">
        <f t="shared" si="14"/>
        <v>#N/A</v>
      </c>
      <c r="X34" s="1578"/>
      <c r="Y34" s="3373"/>
      <c r="Z34" s="1579" t="str">
        <f t="shared" si="15"/>
        <v>项目建筑规模</v>
      </c>
      <c r="AA34" s="1575" t="e">
        <f t="shared" si="3"/>
        <v>#N/A</v>
      </c>
      <c r="AB34" s="1575" t="e">
        <f t="shared" si="4"/>
        <v>#N/A</v>
      </c>
      <c r="AC34" s="1575" t="e">
        <f t="shared" si="5"/>
        <v>#N/A</v>
      </c>
    </row>
    <row r="35" spans="1:29" ht="15">
      <c r="A35" s="594"/>
      <c r="B35" s="529"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373"/>
      <c r="Q35" s="1571" t="str">
        <f t="shared" si="11"/>
        <v>建筑结构</v>
      </c>
      <c r="R35" s="1572" t="s">
        <v>8</v>
      </c>
      <c r="S35" s="1573">
        <f t="shared" si="12"/>
        <v>100</v>
      </c>
      <c r="T35" s="1572" t="s">
        <v>8</v>
      </c>
      <c r="U35" s="1573">
        <f t="shared" si="13"/>
        <v>100</v>
      </c>
      <c r="V35" s="1572" t="s">
        <v>8</v>
      </c>
      <c r="W35" s="1573">
        <f t="shared" si="14"/>
        <v>100</v>
      </c>
      <c r="X35" s="1566"/>
      <c r="Y35" s="3373"/>
      <c r="Z35" s="1574" t="str">
        <f t="shared" si="15"/>
        <v>建筑结构</v>
      </c>
      <c r="AA35" s="1575">
        <f t="shared" si="3"/>
        <v>1</v>
      </c>
      <c r="AB35" s="1575">
        <f t="shared" si="4"/>
        <v>1</v>
      </c>
      <c r="AC35" s="1575">
        <f t="shared" si="5"/>
        <v>1</v>
      </c>
    </row>
    <row r="36" spans="1:29" ht="15">
      <c r="A36" s="594"/>
      <c r="B36" s="529"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373"/>
      <c r="Q36" s="1571" t="str">
        <f t="shared" si="11"/>
        <v>公共部分装修</v>
      </c>
      <c r="R36" s="1572" t="s">
        <v>8</v>
      </c>
      <c r="S36" s="1573">
        <f t="shared" si="12"/>
        <v>100</v>
      </c>
      <c r="T36" s="1572" t="s">
        <v>8</v>
      </c>
      <c r="U36" s="1573">
        <f t="shared" si="13"/>
        <v>100</v>
      </c>
      <c r="V36" s="1572" t="s">
        <v>8</v>
      </c>
      <c r="W36" s="1573">
        <f t="shared" si="14"/>
        <v>100</v>
      </c>
      <c r="X36" s="1566"/>
      <c r="Y36" s="3373"/>
      <c r="Z36" s="1574" t="str">
        <f t="shared" si="15"/>
        <v>公共部分装修</v>
      </c>
      <c r="AA36" s="1575">
        <f t="shared" si="3"/>
        <v>1</v>
      </c>
      <c r="AB36" s="1575">
        <f t="shared" si="4"/>
        <v>1</v>
      </c>
      <c r="AC36" s="1575">
        <f t="shared" si="5"/>
        <v>1</v>
      </c>
    </row>
    <row r="37" spans="1:29" ht="15">
      <c r="A37" s="594"/>
      <c r="B37" s="529" t="s">
        <v>763</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42"/>
      <c r="M37" s="2134"/>
      <c r="N37" s="2134"/>
      <c r="O37" s="2134"/>
      <c r="P37" s="3373"/>
      <c r="Q37" s="1571" t="str">
        <f t="shared" si="11"/>
        <v>成新度</v>
      </c>
      <c r="R37" s="1572" t="s">
        <v>8</v>
      </c>
      <c r="S37" s="1573" t="e">
        <f t="shared" si="12"/>
        <v>#N/A</v>
      </c>
      <c r="T37" s="1572" t="s">
        <v>8</v>
      </c>
      <c r="U37" s="1573" t="e">
        <f t="shared" si="13"/>
        <v>#N/A</v>
      </c>
      <c r="V37" s="1572" t="s">
        <v>8</v>
      </c>
      <c r="W37" s="1573" t="e">
        <f t="shared" si="14"/>
        <v>#N/A</v>
      </c>
      <c r="X37" s="1566"/>
      <c r="Y37" s="3373"/>
      <c r="Z37" s="1574" t="str">
        <f t="shared" si="15"/>
        <v>成新度</v>
      </c>
      <c r="AA37" s="1575" t="e">
        <f t="shared" si="3"/>
        <v>#N/A</v>
      </c>
      <c r="AB37" s="1575" t="e">
        <f t="shared" si="4"/>
        <v>#N/A</v>
      </c>
      <c r="AC37" s="1575" t="e">
        <f t="shared" si="5"/>
        <v>#N/A</v>
      </c>
    </row>
    <row r="38" spans="1:29" s="1219" customFormat="1" ht="15">
      <c r="A38" s="600"/>
      <c r="B38" s="529" t="s">
        <v>780</v>
      </c>
      <c r="C38" s="574"/>
      <c r="D38" s="254">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373"/>
      <c r="Q38" s="1150" t="str">
        <f t="shared" si="11"/>
        <v>写字楼等级</v>
      </c>
      <c r="R38" s="1567" t="s">
        <v>8</v>
      </c>
      <c r="S38" s="1568">
        <f t="shared" si="12"/>
        <v>100</v>
      </c>
      <c r="T38" s="1567" t="s">
        <v>8</v>
      </c>
      <c r="U38" s="1568">
        <f t="shared" si="13"/>
        <v>100</v>
      </c>
      <c r="V38" s="1567" t="s">
        <v>8</v>
      </c>
      <c r="W38" s="1568">
        <f t="shared" si="14"/>
        <v>100</v>
      </c>
      <c r="X38" s="1569"/>
      <c r="Y38" s="3373"/>
      <c r="Z38" s="1149" t="str">
        <f t="shared" si="15"/>
        <v>写字楼等级</v>
      </c>
      <c r="AA38" s="1570">
        <f t="shared" si="3"/>
        <v>1</v>
      </c>
      <c r="AB38" s="1570">
        <f t="shared" si="4"/>
        <v>1</v>
      </c>
      <c r="AC38" s="1570">
        <f t="shared" si="5"/>
        <v>1</v>
      </c>
    </row>
    <row r="39" spans="1:29" ht="15">
      <c r="A39" s="594"/>
      <c r="B39" s="529"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373" t="s">
        <v>550</v>
      </c>
      <c r="Q39" s="1571" t="str">
        <f t="shared" si="11"/>
        <v>物业管理</v>
      </c>
      <c r="R39" s="1572" t="s">
        <v>8</v>
      </c>
      <c r="S39" s="1573">
        <f t="shared" si="12"/>
        <v>100</v>
      </c>
      <c r="T39" s="1572" t="s">
        <v>8</v>
      </c>
      <c r="U39" s="1573">
        <f t="shared" si="13"/>
        <v>100</v>
      </c>
      <c r="V39" s="1572" t="s">
        <v>8</v>
      </c>
      <c r="W39" s="1573">
        <f t="shared" si="14"/>
        <v>100</v>
      </c>
      <c r="X39" s="1566"/>
      <c r="Y39" s="3373" t="s">
        <v>550</v>
      </c>
      <c r="Z39" s="1574" t="str">
        <f t="shared" si="15"/>
        <v>物业管理</v>
      </c>
      <c r="AA39" s="1575">
        <f t="shared" si="3"/>
        <v>1</v>
      </c>
      <c r="AB39" s="1575">
        <f t="shared" si="4"/>
        <v>1</v>
      </c>
      <c r="AC39" s="1575">
        <f t="shared" si="5"/>
        <v>1</v>
      </c>
    </row>
    <row r="40" spans="1:29" ht="15">
      <c r="A40" s="594"/>
      <c r="B40" s="1895"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373"/>
      <c r="Q40" s="1571" t="str">
        <f t="shared" si="11"/>
        <v>市政基础设施</v>
      </c>
      <c r="R40" s="1572" t="s">
        <v>8</v>
      </c>
      <c r="S40" s="1573">
        <f t="shared" si="12"/>
        <v>100</v>
      </c>
      <c r="T40" s="1572" t="s">
        <v>8</v>
      </c>
      <c r="U40" s="1573">
        <f t="shared" si="13"/>
        <v>100</v>
      </c>
      <c r="V40" s="1572" t="s">
        <v>8</v>
      </c>
      <c r="W40" s="1573">
        <f t="shared" si="14"/>
        <v>100</v>
      </c>
      <c r="X40" s="1566"/>
      <c r="Y40" s="3373"/>
      <c r="Z40" s="1574" t="str">
        <f t="shared" si="15"/>
        <v>市政基础设施</v>
      </c>
      <c r="AA40" s="1575">
        <f t="shared" si="3"/>
        <v>1</v>
      </c>
      <c r="AB40" s="1575">
        <f t="shared" si="4"/>
        <v>1</v>
      </c>
      <c r="AC40" s="1575">
        <f t="shared" si="5"/>
        <v>1</v>
      </c>
    </row>
    <row r="41" spans="1:29" ht="15">
      <c r="A41" s="594"/>
      <c r="B41" s="529"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373"/>
      <c r="Q41" s="1571" t="str">
        <f t="shared" si="11"/>
        <v>层高</v>
      </c>
      <c r="R41" s="1572" t="s">
        <v>8</v>
      </c>
      <c r="S41" s="1573">
        <f t="shared" si="12"/>
        <v>100</v>
      </c>
      <c r="T41" s="1572" t="s">
        <v>8</v>
      </c>
      <c r="U41" s="1573">
        <f t="shared" si="13"/>
        <v>100</v>
      </c>
      <c r="V41" s="1572" t="s">
        <v>8</v>
      </c>
      <c r="W41" s="1573">
        <f t="shared" si="14"/>
        <v>100</v>
      </c>
      <c r="X41" s="1566"/>
      <c r="Y41" s="3373"/>
      <c r="Z41" s="1574" t="str">
        <f t="shared" si="15"/>
        <v>层高</v>
      </c>
      <c r="AA41" s="1575">
        <f t="shared" si="3"/>
        <v>1</v>
      </c>
      <c r="AB41" s="1575">
        <f t="shared" si="4"/>
        <v>1</v>
      </c>
      <c r="AC41" s="1575">
        <f t="shared" si="5"/>
        <v>1</v>
      </c>
    </row>
    <row r="42" spans="1:29" s="1338" customFormat="1" ht="15">
      <c r="A42" s="603"/>
      <c r="B42" s="903"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373"/>
      <c r="Q42" s="1604" t="str">
        <f t="shared" si="11"/>
        <v>单套建筑面积</v>
      </c>
      <c r="R42" s="1576" t="s">
        <v>8</v>
      </c>
      <c r="S42" s="1577">
        <f t="shared" si="12"/>
        <v>100</v>
      </c>
      <c r="T42" s="1576" t="s">
        <v>8</v>
      </c>
      <c r="U42" s="1577">
        <f t="shared" si="13"/>
        <v>100</v>
      </c>
      <c r="V42" s="1576" t="s">
        <v>8</v>
      </c>
      <c r="W42" s="1577">
        <f t="shared" si="14"/>
        <v>100</v>
      </c>
      <c r="X42" s="1578"/>
      <c r="Y42" s="3373"/>
      <c r="Z42" s="1579" t="str">
        <f t="shared" si="15"/>
        <v>单套建筑面积</v>
      </c>
      <c r="AA42" s="1575">
        <f t="shared" si="3"/>
        <v>1</v>
      </c>
      <c r="AB42" s="1575">
        <f t="shared" si="4"/>
        <v>1</v>
      </c>
      <c r="AC42" s="1575">
        <f t="shared" si="5"/>
        <v>1</v>
      </c>
    </row>
    <row r="43" spans="1:29" ht="15">
      <c r="A43" s="594"/>
      <c r="B43" s="529"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373"/>
      <c r="Q43" s="1571" t="str">
        <f t="shared" si="11"/>
        <v>内部装修</v>
      </c>
      <c r="R43" s="1572" t="s">
        <v>8</v>
      </c>
      <c r="S43" s="1573">
        <f t="shared" si="12"/>
        <v>100</v>
      </c>
      <c r="T43" s="1572" t="s">
        <v>8</v>
      </c>
      <c r="U43" s="1573">
        <f t="shared" si="13"/>
        <v>100</v>
      </c>
      <c r="V43" s="1572" t="s">
        <v>8</v>
      </c>
      <c r="W43" s="1573">
        <f t="shared" si="14"/>
        <v>100</v>
      </c>
      <c r="X43" s="1566"/>
      <c r="Y43" s="3373"/>
      <c r="Z43" s="1574" t="str">
        <f t="shared" si="15"/>
        <v>内部装修</v>
      </c>
      <c r="AA43" s="1575">
        <f t="shared" si="3"/>
        <v>1</v>
      </c>
      <c r="AB43" s="1575">
        <f t="shared" si="4"/>
        <v>1</v>
      </c>
      <c r="AC43" s="1575">
        <f t="shared" si="5"/>
        <v>1</v>
      </c>
    </row>
    <row r="44" spans="1:29" ht="27">
      <c r="A44" s="594"/>
      <c r="B44" s="529"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373"/>
      <c r="Q44" s="1571" t="str">
        <f t="shared" si="11"/>
        <v>内部装修维护情况</v>
      </c>
      <c r="R44" s="1572" t="s">
        <v>8</v>
      </c>
      <c r="S44" s="1573">
        <f t="shared" si="12"/>
        <v>100</v>
      </c>
      <c r="T44" s="1572" t="s">
        <v>8</v>
      </c>
      <c r="U44" s="1573">
        <f t="shared" si="13"/>
        <v>100</v>
      </c>
      <c r="V44" s="1572" t="s">
        <v>8</v>
      </c>
      <c r="W44" s="1573">
        <f t="shared" si="14"/>
        <v>100</v>
      </c>
      <c r="X44" s="1566"/>
      <c r="Y44" s="3373"/>
      <c r="Z44" s="1574" t="str">
        <f t="shared" si="15"/>
        <v>内部装修维护情况</v>
      </c>
      <c r="AA44" s="1575">
        <f t="shared" si="3"/>
        <v>1</v>
      </c>
      <c r="AB44" s="1575">
        <f t="shared" si="4"/>
        <v>1</v>
      </c>
      <c r="AC44" s="1575">
        <f t="shared" si="5"/>
        <v>1</v>
      </c>
    </row>
    <row r="45" spans="1:29" s="1219" customFormat="1" ht="15">
      <c r="A45" s="600"/>
      <c r="B45" s="877">
        <v>111</v>
      </c>
      <c r="C45" s="879"/>
      <c r="D45" s="254">
        <v>100</v>
      </c>
      <c r="E45" s="530"/>
      <c r="F45" s="863">
        <f>SUMIF(127:127,E45,128:128)-SUMIF(127:127,C45,128:128)+100</f>
        <v>100</v>
      </c>
      <c r="G45" s="530"/>
      <c r="H45" s="254">
        <f>SUMIF(127:127,G45,128:128)-SUMIF(127:127,C45,128:128)+100</f>
        <v>100</v>
      </c>
      <c r="I45" s="530"/>
      <c r="J45" s="254">
        <f>SUMIF(127:127,I45,128:128)-SUMIF(127:127,C45,128:128)+100</f>
        <v>100</v>
      </c>
      <c r="K45" s="581"/>
      <c r="L45" s="2135"/>
      <c r="M45" s="2136"/>
      <c r="N45" s="2136"/>
      <c r="O45" s="2136"/>
      <c r="P45" s="3373"/>
      <c r="Q45" s="1150">
        <f t="shared" si="11"/>
        <v>111</v>
      </c>
      <c r="R45" s="1567" t="s">
        <v>8</v>
      </c>
      <c r="S45" s="1568">
        <f t="shared" si="12"/>
        <v>100</v>
      </c>
      <c r="T45" s="1567" t="s">
        <v>8</v>
      </c>
      <c r="U45" s="1568">
        <f t="shared" si="13"/>
        <v>100</v>
      </c>
      <c r="V45" s="1567" t="s">
        <v>8</v>
      </c>
      <c r="W45" s="1568">
        <f t="shared" si="14"/>
        <v>100</v>
      </c>
      <c r="X45" s="1569"/>
      <c r="Y45" s="3373"/>
      <c r="Z45" s="1149">
        <f t="shared" si="15"/>
        <v>111</v>
      </c>
      <c r="AA45" s="1570">
        <f t="shared" si="3"/>
        <v>1</v>
      </c>
      <c r="AB45" s="1570">
        <f t="shared" si="4"/>
        <v>1</v>
      </c>
      <c r="AC45" s="1570">
        <f t="shared" si="5"/>
        <v>1</v>
      </c>
    </row>
    <row r="46" spans="1:29" ht="15">
      <c r="A46" s="594"/>
      <c r="B46" s="877">
        <v>111</v>
      </c>
      <c r="C46" s="539"/>
      <c r="D46" s="540">
        <v>100</v>
      </c>
      <c r="E46" s="530"/>
      <c r="F46" s="575">
        <f>SUMIF(129:129,E46,130:130)-SUMIF(129:129,C46,130:130)+100</f>
        <v>100</v>
      </c>
      <c r="G46" s="530"/>
      <c r="H46" s="540">
        <f>SUMIF(129:129,G46,130:130)-SUMIF(129:129,C46,130:130)+100</f>
        <v>100</v>
      </c>
      <c r="I46" s="530"/>
      <c r="J46" s="540">
        <f>SUMIF(129:129,I46,130:130)-SUMIF(129:129,C46,130:130)+100</f>
        <v>100</v>
      </c>
      <c r="K46" s="581"/>
      <c r="L46" s="2142"/>
      <c r="M46" s="2134"/>
      <c r="N46" s="2134"/>
      <c r="O46" s="2134"/>
      <c r="P46" s="3373"/>
      <c r="Q46" s="1571">
        <f t="shared" si="11"/>
        <v>111</v>
      </c>
      <c r="R46" s="1572" t="s">
        <v>8</v>
      </c>
      <c r="S46" s="1573">
        <f t="shared" si="12"/>
        <v>100</v>
      </c>
      <c r="T46" s="1572" t="s">
        <v>8</v>
      </c>
      <c r="U46" s="1573">
        <f t="shared" si="13"/>
        <v>100</v>
      </c>
      <c r="V46" s="1572" t="s">
        <v>8</v>
      </c>
      <c r="W46" s="1573">
        <f t="shared" si="14"/>
        <v>100</v>
      </c>
      <c r="X46" s="1566"/>
      <c r="Y46" s="3373"/>
      <c r="Z46" s="1574">
        <f t="shared" si="15"/>
        <v>111</v>
      </c>
      <c r="AA46" s="1575">
        <f t="shared" si="3"/>
        <v>1</v>
      </c>
      <c r="AB46" s="1575">
        <f t="shared" si="4"/>
        <v>1</v>
      </c>
      <c r="AC46" s="1575">
        <f t="shared" si="5"/>
        <v>1</v>
      </c>
    </row>
    <row r="47" spans="1:29" ht="15.75" thickBot="1">
      <c r="A47" s="885"/>
      <c r="B47" s="544">
        <v>111</v>
      </c>
      <c r="C47" s="545"/>
      <c r="D47" s="546">
        <v>100</v>
      </c>
      <c r="E47" s="530"/>
      <c r="F47" s="866">
        <f>SUMIF(131:131,E47,132:132)-SUMIF(131:131,C47,132:132)+100</f>
        <v>100</v>
      </c>
      <c r="G47" s="530"/>
      <c r="H47" s="546">
        <f>SUMIF(131:131,G47,132:132)-SUMIF(131:131,C47,132:132)+100</f>
        <v>100</v>
      </c>
      <c r="I47" s="530"/>
      <c r="J47" s="546">
        <f>SUMIF(131:131,I47,132:132)-SUMIF(131:131,C47,132:132)+100</f>
        <v>100</v>
      </c>
      <c r="K47" s="581"/>
      <c r="L47" s="2142"/>
      <c r="M47" s="2134"/>
      <c r="N47" s="2134"/>
      <c r="O47" s="2134"/>
      <c r="P47" s="3448"/>
      <c r="Q47" s="1571">
        <f t="shared" si="11"/>
        <v>111</v>
      </c>
      <c r="R47" s="1572" t="s">
        <v>8</v>
      </c>
      <c r="S47" s="1573">
        <f t="shared" si="12"/>
        <v>100</v>
      </c>
      <c r="T47" s="1572" t="s">
        <v>8</v>
      </c>
      <c r="U47" s="1573">
        <f t="shared" si="13"/>
        <v>100</v>
      </c>
      <c r="V47" s="1572" t="s">
        <v>8</v>
      </c>
      <c r="W47" s="1573">
        <f t="shared" si="14"/>
        <v>100</v>
      </c>
      <c r="X47" s="1566"/>
      <c r="Y47" s="3448"/>
      <c r="Z47" s="1574">
        <f t="shared" si="15"/>
        <v>111</v>
      </c>
      <c r="AA47" s="1575">
        <f t="shared" si="3"/>
        <v>1</v>
      </c>
      <c r="AB47" s="1575">
        <f t="shared" si="4"/>
        <v>1</v>
      </c>
      <c r="AC47" s="1575">
        <f t="shared" si="5"/>
        <v>1</v>
      </c>
    </row>
    <row r="48" spans="1:29" ht="15">
      <c r="A48" s="607" t="s">
        <v>735</v>
      </c>
      <c r="B48" s="886"/>
      <c r="C48" s="2651" t="s">
        <v>1</v>
      </c>
      <c r="D48" s="2652"/>
      <c r="E48" s="2653"/>
      <c r="F48" s="2654"/>
      <c r="G48" s="2655"/>
      <c r="H48" s="2656"/>
      <c r="I48" s="2653"/>
      <c r="J48" s="2656"/>
      <c r="K48" s="1610"/>
      <c r="L48" s="2144"/>
      <c r="M48" s="2134"/>
      <c r="N48" s="2134"/>
      <c r="O48" s="2134"/>
      <c r="P48" s="3390" t="str">
        <f>A48</f>
        <v>成交单价（元/平方米）</v>
      </c>
      <c r="Q48" s="3368"/>
      <c r="R48" s="3447">
        <f>E48</f>
        <v>0</v>
      </c>
      <c r="S48" s="3447"/>
      <c r="T48" s="3447">
        <f>G48</f>
        <v>0</v>
      </c>
      <c r="U48" s="3447"/>
      <c r="V48" s="3447">
        <f>I48</f>
        <v>0</v>
      </c>
      <c r="W48" s="3447"/>
      <c r="X48" s="1558"/>
      <c r="Y48" s="1580"/>
      <c r="Z48" s="1558"/>
      <c r="AA48" s="1558"/>
      <c r="AB48" s="1558"/>
      <c r="AC48" s="1558"/>
    </row>
    <row r="49" spans="1:29" ht="15.75" thickBot="1">
      <c r="A49" s="615" t="s">
        <v>2765</v>
      </c>
      <c r="B49" s="887"/>
      <c r="C49" s="2657" t="e">
        <f>R50</f>
        <v>#DIV/0!</v>
      </c>
      <c r="D49" s="2658"/>
      <c r="E49" s="2659" t="e">
        <f>R49</f>
        <v>#DIV/0!</v>
      </c>
      <c r="F49" s="2659"/>
      <c r="G49" s="2657" t="e">
        <f>T49</f>
        <v>#DIV/0!</v>
      </c>
      <c r="H49" s="2658"/>
      <c r="I49" s="2659" t="e">
        <f>V49</f>
        <v>#DIV/0!</v>
      </c>
      <c r="J49" s="2658"/>
      <c r="K49" s="1611"/>
      <c r="L49" s="2144"/>
      <c r="M49" s="2134"/>
      <c r="N49" s="2134"/>
      <c r="O49" s="2134"/>
      <c r="P49" s="3390" t="str">
        <f>A49</f>
        <v>比较价格（元/平方米）</v>
      </c>
      <c r="Q49" s="3368"/>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1558"/>
      <c r="Y49" s="1558"/>
      <c r="Z49" s="1558"/>
      <c r="AA49" s="1558"/>
      <c r="AB49" s="1558"/>
      <c r="AC49" s="1558"/>
    </row>
    <row r="50" spans="1:29" ht="15.75" thickBot="1">
      <c r="A50" s="621" t="s">
        <v>2935</v>
      </c>
      <c r="B50" s="622"/>
      <c r="C50" s="2660" t="e">
        <f>R50</f>
        <v>#DIV/0!</v>
      </c>
      <c r="D50" s="2660"/>
      <c r="E50" s="2660"/>
      <c r="F50" s="2660"/>
      <c r="G50" s="2660"/>
      <c r="H50" s="2660"/>
      <c r="I50" s="2660"/>
      <c r="J50" s="2660"/>
      <c r="K50" s="1612"/>
      <c r="L50" s="2144"/>
      <c r="M50" s="2134"/>
      <c r="N50" s="2134"/>
      <c r="O50" s="2134"/>
      <c r="P50" s="3475" t="str">
        <f>A50</f>
        <v>估价对象XX用房的比较价格（楼面单价，元/平方米）</v>
      </c>
      <c r="Q50" s="3390"/>
      <c r="R50" s="3446" t="e">
        <f>IF(F1="售价",ROUND(AVERAGE(R49:V49),0),ROUND(AVERAGE(R49:V49),1))</f>
        <v>#DIV/0!</v>
      </c>
      <c r="S50" s="3446"/>
      <c r="T50" s="3446"/>
      <c r="U50" s="3446"/>
      <c r="V50" s="3446"/>
      <c r="W50" s="3446"/>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574</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529</v>
      </c>
      <c r="B59" s="646"/>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8">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621" t="s">
        <v>2561</v>
      </c>
      <c r="C83" s="2622" t="s">
        <v>2562</v>
      </c>
      <c r="D83" s="2622" t="s">
        <v>2563</v>
      </c>
      <c r="E83" s="2622" t="s">
        <v>2564</v>
      </c>
      <c r="F83" s="2622" t="s">
        <v>2565</v>
      </c>
      <c r="G83" s="2622" t="s">
        <v>2566</v>
      </c>
      <c r="H83" s="674"/>
      <c r="I83" s="674"/>
      <c r="J83" s="674"/>
      <c r="K83" s="674"/>
      <c r="L83" s="674"/>
      <c r="M83" s="2625"/>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4"/>
      <c r="I84" s="934"/>
      <c r="J84" s="934"/>
      <c r="K84" s="934"/>
      <c r="L84" s="934"/>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1"/>
      <c r="G89" s="688"/>
      <c r="H89" s="688"/>
      <c r="I89" s="688"/>
      <c r="J89" s="688"/>
      <c r="K89" s="688"/>
      <c r="L89" s="688"/>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2"/>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6" t="s">
        <v>786</v>
      </c>
      <c r="C119" s="718"/>
      <c r="D119" s="718"/>
      <c r="E119" s="718"/>
      <c r="F119" s="718"/>
      <c r="G119" s="718"/>
      <c r="H119" s="718"/>
      <c r="I119" s="718"/>
      <c r="J119" s="718"/>
      <c r="K119" s="718"/>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505" t="s">
        <v>787</v>
      </c>
      <c r="C1" s="506" t="s">
        <v>720</v>
      </c>
      <c r="D1" s="849"/>
      <c r="E1" s="508"/>
      <c r="F1" s="2833"/>
      <c r="G1" s="1600" t="s">
        <v>721</v>
      </c>
      <c r="H1" s="508"/>
      <c r="I1" s="508"/>
      <c r="J1" s="508"/>
      <c r="K1" s="509"/>
      <c r="L1" s="1561"/>
      <c r="M1" s="1562"/>
      <c r="N1" s="1562"/>
      <c r="O1" s="1562"/>
      <c r="P1" s="1563"/>
      <c r="Q1" s="1563"/>
      <c r="R1" s="1563"/>
      <c r="S1" s="1563"/>
      <c r="T1" s="1563"/>
      <c r="U1" s="1563"/>
      <c r="V1" s="1563"/>
      <c r="W1" s="1563"/>
      <c r="X1" s="1563"/>
      <c r="Y1" s="1563"/>
      <c r="Z1" s="1563"/>
      <c r="AA1" s="1563"/>
      <c r="AB1" s="1563"/>
      <c r="AC1" s="430"/>
    </row>
    <row r="2" spans="1:29" s="1335" customFormat="1" ht="28.5" customHeight="1">
      <c r="A2" s="425"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30"/>
    </row>
    <row r="3" spans="1:29" s="1335" customFormat="1" ht="28.5" customHeight="1" thickBot="1">
      <c r="A3" s="511" t="s">
        <v>519</v>
      </c>
      <c r="B3" s="512" t="e">
        <f>C43</f>
        <v>#DIV/0!</v>
      </c>
      <c r="C3" s="852" t="s">
        <v>722</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521</v>
      </c>
      <c r="B4" s="515"/>
      <c r="C4" s="3374" t="s">
        <v>522</v>
      </c>
      <c r="D4" s="3375"/>
      <c r="E4" s="3398" t="s">
        <v>523</v>
      </c>
      <c r="F4" s="3399"/>
      <c r="G4" s="3374" t="s">
        <v>524</v>
      </c>
      <c r="H4" s="3375"/>
      <c r="I4" s="3374" t="s">
        <v>525</v>
      </c>
      <c r="J4" s="3375"/>
      <c r="K4" s="516" t="s">
        <v>526</v>
      </c>
      <c r="L4" s="2133"/>
      <c r="M4" s="2134"/>
      <c r="N4" s="2134"/>
      <c r="O4" s="2134"/>
      <c r="P4" s="3376" t="s">
        <v>527</v>
      </c>
      <c r="Q4" s="3377"/>
      <c r="R4" s="3362" t="s">
        <v>523</v>
      </c>
      <c r="S4" s="3363"/>
      <c r="T4" s="3362" t="s">
        <v>524</v>
      </c>
      <c r="U4" s="3363"/>
      <c r="V4" s="3382" t="s">
        <v>525</v>
      </c>
      <c r="W4" s="3382"/>
      <c r="X4" s="1566"/>
      <c r="Y4" s="3362" t="s">
        <v>527</v>
      </c>
      <c r="Z4" s="3363"/>
      <c r="AA4" s="3357" t="s">
        <v>523</v>
      </c>
      <c r="AB4" s="3358" t="s">
        <v>524</v>
      </c>
      <c r="AC4" s="3357" t="s">
        <v>525</v>
      </c>
    </row>
    <row r="5" spans="1:29" ht="15">
      <c r="A5" s="517"/>
      <c r="B5" s="518"/>
      <c r="C5" s="3385" t="s">
        <v>2929</v>
      </c>
      <c r="D5" s="3386"/>
      <c r="E5" s="3400" t="s">
        <v>2930</v>
      </c>
      <c r="F5" s="3401"/>
      <c r="G5" s="3385" t="s">
        <v>2931</v>
      </c>
      <c r="H5" s="3386"/>
      <c r="I5" s="3385" t="s">
        <v>2932</v>
      </c>
      <c r="J5" s="3386"/>
      <c r="K5" s="516"/>
      <c r="L5" s="2133"/>
      <c r="M5" s="2134"/>
      <c r="N5" s="2134"/>
      <c r="O5" s="2134"/>
      <c r="P5" s="3378"/>
      <c r="Q5" s="3379"/>
      <c r="R5" s="3364"/>
      <c r="S5" s="3365"/>
      <c r="T5" s="3364"/>
      <c r="U5" s="3365"/>
      <c r="V5" s="3382"/>
      <c r="W5" s="3382"/>
      <c r="X5" s="1566"/>
      <c r="Y5" s="3364"/>
      <c r="Z5" s="3365"/>
      <c r="AA5" s="3358"/>
      <c r="AB5" s="3358"/>
      <c r="AC5" s="3358"/>
    </row>
    <row r="6" spans="1:29" ht="15.75" thickBot="1">
      <c r="A6" s="519"/>
      <c r="B6" s="520"/>
      <c r="C6" s="3383" t="s">
        <v>2933</v>
      </c>
      <c r="D6" s="3384"/>
      <c r="E6" s="3402" t="s">
        <v>2933</v>
      </c>
      <c r="F6" s="3403"/>
      <c r="G6" s="3383" t="s">
        <v>2933</v>
      </c>
      <c r="H6" s="3384"/>
      <c r="I6" s="3383" t="s">
        <v>2933</v>
      </c>
      <c r="J6" s="3384"/>
      <c r="K6" s="516" t="s">
        <v>528</v>
      </c>
      <c r="L6" s="2133"/>
      <c r="M6" s="2134"/>
      <c r="N6" s="2134"/>
      <c r="O6" s="2134"/>
      <c r="P6" s="3380"/>
      <c r="Q6" s="3381"/>
      <c r="R6" s="3364"/>
      <c r="S6" s="3365"/>
      <c r="T6" s="3366"/>
      <c r="U6" s="3367"/>
      <c r="V6" s="3382"/>
      <c r="W6" s="3382"/>
      <c r="X6" s="1566"/>
      <c r="Y6" s="3366"/>
      <c r="Z6" s="3367"/>
      <c r="AA6" s="3359"/>
      <c r="AB6" s="3359"/>
      <c r="AC6" s="3359"/>
    </row>
    <row r="7" spans="1:29" s="1219" customFormat="1" ht="15.75" thickBot="1">
      <c r="A7" s="2938"/>
      <c r="B7" s="2945" t="s">
        <v>529</v>
      </c>
      <c r="C7" s="521">
        <f>'数据-取费表'!B2</f>
        <v>43083</v>
      </c>
      <c r="D7" s="522">
        <v>100</v>
      </c>
      <c r="E7" s="523"/>
      <c r="F7" s="524">
        <f>SUMIF(52:52,YEAR(E7)&amp;"-"&amp;MONTH(E7),53:53)</f>
        <v>0</v>
      </c>
      <c r="G7" s="523"/>
      <c r="H7" s="522">
        <f>SUMIF(52:52,YEAR(G7)&amp;"-"&amp;MONTH(G7),53:53)</f>
        <v>0</v>
      </c>
      <c r="I7" s="523"/>
      <c r="J7" s="522">
        <f>SUMIF(52:52,YEAR(I7)&amp;"-"&amp;MONTH(I7),53:53)</f>
        <v>0</v>
      </c>
      <c r="K7" s="526"/>
      <c r="L7" s="2135"/>
      <c r="M7" s="2136"/>
      <c r="N7" s="2136"/>
      <c r="O7" s="2136"/>
      <c r="P7" s="3360" t="s">
        <v>530</v>
      </c>
      <c r="Q7" s="3369"/>
      <c r="R7" s="1567" t="s">
        <v>8</v>
      </c>
      <c r="S7" s="1568">
        <f t="shared" ref="S7:S15" si="0">F7</f>
        <v>0</v>
      </c>
      <c r="T7" s="1567" t="s">
        <v>8</v>
      </c>
      <c r="U7" s="1568">
        <f t="shared" ref="U7:U15" si="1">H7</f>
        <v>0</v>
      </c>
      <c r="V7" s="1567" t="s">
        <v>8</v>
      </c>
      <c r="W7" s="1568">
        <f t="shared" ref="W7:W15" si="2">J7</f>
        <v>0</v>
      </c>
      <c r="X7" s="1569"/>
      <c r="Y7" s="3360" t="s">
        <v>530</v>
      </c>
      <c r="Z7" s="3361"/>
      <c r="AA7" s="1570" t="e">
        <f>D7/F7</f>
        <v>#DIV/0!</v>
      </c>
      <c r="AB7" s="1570" t="e">
        <f>D7/H7</f>
        <v>#DIV/0!</v>
      </c>
      <c r="AC7" s="1570" t="e">
        <f>D7/J7</f>
        <v>#DIV/0!</v>
      </c>
    </row>
    <row r="8" spans="1:29" s="1219" customFormat="1" ht="15.75" thickBot="1">
      <c r="A8" s="2939"/>
      <c r="B8" s="2946" t="s">
        <v>531</v>
      </c>
      <c r="C8" s="527" t="s">
        <v>576</v>
      </c>
      <c r="D8" s="522">
        <v>100</v>
      </c>
      <c r="E8" s="527"/>
      <c r="F8" s="524">
        <f>SUMIF(55:55,E8,56:56)-SUMIF(55:55,C8,56:56)+100</f>
        <v>0</v>
      </c>
      <c r="G8" s="527"/>
      <c r="H8" s="522">
        <f>SUMIF(55:55,G8,56:56)-SUMIF(55:55,C8,56:56)+100</f>
        <v>0</v>
      </c>
      <c r="I8" s="527"/>
      <c r="J8" s="522">
        <f>SUMIF(55:55,I8,56:56)-SUMIF(55:55,C8,56:56)+100</f>
        <v>0</v>
      </c>
      <c r="K8" s="526"/>
      <c r="L8" s="2135"/>
      <c r="M8" s="2136"/>
      <c r="N8" s="2136"/>
      <c r="O8" s="2136"/>
      <c r="P8" s="3360" t="s">
        <v>533</v>
      </c>
      <c r="Q8" s="3361"/>
      <c r="R8" s="1567" t="s">
        <v>8</v>
      </c>
      <c r="S8" s="1568">
        <f t="shared" si="0"/>
        <v>0</v>
      </c>
      <c r="T8" s="1567" t="s">
        <v>8</v>
      </c>
      <c r="U8" s="1568">
        <f t="shared" si="1"/>
        <v>0</v>
      </c>
      <c r="V8" s="1567" t="s">
        <v>8</v>
      </c>
      <c r="W8" s="1568">
        <f t="shared" si="2"/>
        <v>0</v>
      </c>
      <c r="X8" s="1569"/>
      <c r="Y8" s="3360" t="s">
        <v>533</v>
      </c>
      <c r="Z8" s="3361"/>
      <c r="AA8" s="1570" t="e">
        <f t="shared" ref="AA8:AA40" si="3">D8/F8</f>
        <v>#DIV/0!</v>
      </c>
      <c r="AB8" s="1570" t="e">
        <f t="shared" ref="AB8:AB40" si="4">D8/H8</f>
        <v>#DIV/0!</v>
      </c>
      <c r="AC8" s="1570" t="e">
        <f t="shared" ref="AC8:AC40" si="5">D8/J8</f>
        <v>#DIV/0!</v>
      </c>
    </row>
    <row r="9" spans="1:29" s="1219" customFormat="1" ht="15">
      <c r="A9" s="2940"/>
      <c r="B9" s="2947" t="s">
        <v>2761</v>
      </c>
      <c r="C9" s="857"/>
      <c r="D9" s="253">
        <v>100</v>
      </c>
      <c r="E9" s="860"/>
      <c r="F9" s="253">
        <f>SUMIF(57:57,E9,58:58)-SUMIF(57:57,C9,58:58)+100</f>
        <v>100</v>
      </c>
      <c r="G9" s="858"/>
      <c r="H9" s="253">
        <f>SUMIF(57:57,G9,58:58)-SUMIF(57:57,C9,58:58)+100</f>
        <v>100</v>
      </c>
      <c r="I9" s="858"/>
      <c r="J9" s="253">
        <f>SUMIF(57:57,I9,58:58)-SUMIF(57:57,C9,58:58)+100</f>
        <v>100</v>
      </c>
      <c r="K9" s="526"/>
      <c r="L9" s="2135"/>
      <c r="M9" s="2136"/>
      <c r="N9" s="2136"/>
      <c r="O9" s="2137"/>
      <c r="P9" s="3368" t="s">
        <v>535</v>
      </c>
      <c r="Q9" s="1150" t="str">
        <f t="shared" ref="Q9:Q15" si="6">B9</f>
        <v>用途</v>
      </c>
      <c r="R9" s="1567" t="s">
        <v>8</v>
      </c>
      <c r="S9" s="1568">
        <f t="shared" si="0"/>
        <v>100</v>
      </c>
      <c r="T9" s="1567" t="s">
        <v>8</v>
      </c>
      <c r="U9" s="1568">
        <f t="shared" si="1"/>
        <v>100</v>
      </c>
      <c r="V9" s="1567" t="s">
        <v>8</v>
      </c>
      <c r="W9" s="1568">
        <f t="shared" si="2"/>
        <v>100</v>
      </c>
      <c r="X9" s="1569"/>
      <c r="Y9" s="3325" t="s">
        <v>536</v>
      </c>
      <c r="Z9" s="1149" t="str">
        <f t="shared" ref="Z9:Z15" si="7">Q9</f>
        <v>用途</v>
      </c>
      <c r="AA9" s="1570">
        <f t="shared" si="3"/>
        <v>1</v>
      </c>
      <c r="AB9" s="1570">
        <f t="shared" si="4"/>
        <v>1</v>
      </c>
      <c r="AC9" s="1570">
        <f t="shared" si="5"/>
        <v>1</v>
      </c>
    </row>
    <row r="10" spans="1:29" s="1337" customFormat="1" ht="27">
      <c r="A10" s="2941"/>
      <c r="B10" s="2946" t="s">
        <v>2762</v>
      </c>
      <c r="C10" s="861"/>
      <c r="D10" s="254">
        <v>100</v>
      </c>
      <c r="E10" s="861"/>
      <c r="F10" s="254">
        <f>SUMIF(59:59,E10,60:60)-SUMIF(59:59,C10,60:60)+100</f>
        <v>100</v>
      </c>
      <c r="G10" s="862"/>
      <c r="H10" s="254">
        <f>SUMIF(59:59,G10,60:60)-SUMIF(59:59,C10,60:60)+100</f>
        <v>100</v>
      </c>
      <c r="I10" s="861"/>
      <c r="J10" s="254">
        <f>SUMIF(59:59,I10,60:60)-SUMIF(59:59,C10,60:60)+100</f>
        <v>100</v>
      </c>
      <c r="K10" s="584"/>
      <c r="L10" s="2138"/>
      <c r="M10" s="2178"/>
      <c r="N10" s="2178"/>
      <c r="O10" s="2139"/>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2"/>
      <c r="B11" s="2946" t="s">
        <v>2763</v>
      </c>
      <c r="C11" s="533"/>
      <c r="D11" s="254">
        <v>100</v>
      </c>
      <c r="E11" s="533"/>
      <c r="F11" s="254" t="e">
        <f>LOOKUP(E11,62:62,63:63)-LOOKUP(C11,62:62,63:63)+100</f>
        <v>#N/A</v>
      </c>
      <c r="G11" s="534"/>
      <c r="H11" s="254" t="e">
        <f>LOOKUP(G11,62:62,63:63)-LOOKUP(C11,62:62,63:63)+100</f>
        <v>#N/A</v>
      </c>
      <c r="I11" s="533"/>
      <c r="J11" s="254" t="e">
        <f>LOOKUP(I11,62:62,63:63)-LOOKUP(C11,62:62,63:63)+100</f>
        <v>#N/A</v>
      </c>
      <c r="K11" s="584"/>
      <c r="L11" s="2140"/>
      <c r="M11" s="2134"/>
      <c r="N11" s="2134"/>
      <c r="O11" s="2141"/>
      <c r="P11" s="3368"/>
      <c r="Q11" s="1150" t="str">
        <f t="shared" si="6"/>
        <v>容积率</v>
      </c>
      <c r="R11" s="1567" t="s">
        <v>8</v>
      </c>
      <c r="S11" s="1568" t="e">
        <f t="shared" si="0"/>
        <v>#N/A</v>
      </c>
      <c r="T11" s="1567" t="s">
        <v>8</v>
      </c>
      <c r="U11" s="1568" t="e">
        <f t="shared" si="1"/>
        <v>#N/A</v>
      </c>
      <c r="V11" s="1567" t="s">
        <v>8</v>
      </c>
      <c r="W11" s="1568" t="e">
        <f t="shared" si="2"/>
        <v>#N/A</v>
      </c>
      <c r="X11" s="1569"/>
      <c r="Y11" s="3325"/>
      <c r="Z11" s="1149" t="str">
        <f t="shared" si="7"/>
        <v>容积率</v>
      </c>
      <c r="AA11" s="1570" t="e">
        <f t="shared" si="3"/>
        <v>#N/A</v>
      </c>
      <c r="AB11" s="1570" t="e">
        <f t="shared" si="4"/>
        <v>#N/A</v>
      </c>
      <c r="AC11" s="1570" t="e">
        <f t="shared" si="5"/>
        <v>#N/A</v>
      </c>
    </row>
    <row r="12" spans="1:29" s="1219" customFormat="1" ht="15">
      <c r="A12" s="2943"/>
      <c r="B12" s="2949">
        <v>111</v>
      </c>
      <c r="C12" s="530"/>
      <c r="D12" s="538">
        <v>100</v>
      </c>
      <c r="E12" s="539"/>
      <c r="F12" s="254">
        <f>SUMIF(64:64,E12,65:65)-SUMIF(64:64,C12,65:65)+100</f>
        <v>100</v>
      </c>
      <c r="G12" s="919"/>
      <c r="H12" s="254">
        <f>SUMIF(64:64,G12,65:65)-SUMIF(64:64,C12,65:65)+100</f>
        <v>100</v>
      </c>
      <c r="I12" s="879"/>
      <c r="J12" s="254">
        <f>SUMIF(64:64,I12,65:65)-SUMIF(64:64,C12,65:65)+100</f>
        <v>100</v>
      </c>
      <c r="K12" s="581"/>
      <c r="L12" s="2135"/>
      <c r="M12" s="2136"/>
      <c r="N12" s="2136"/>
      <c r="O12" s="2137"/>
      <c r="P12" s="3368"/>
      <c r="Q12" s="1150">
        <f t="shared" si="6"/>
        <v>111</v>
      </c>
      <c r="R12" s="1567" t="s">
        <v>8</v>
      </c>
      <c r="S12" s="1568">
        <f t="shared" si="0"/>
        <v>100</v>
      </c>
      <c r="T12" s="1567" t="s">
        <v>8</v>
      </c>
      <c r="U12" s="1568">
        <f t="shared" si="1"/>
        <v>100</v>
      </c>
      <c r="V12" s="1567" t="s">
        <v>8</v>
      </c>
      <c r="W12" s="1568">
        <f t="shared" si="2"/>
        <v>100</v>
      </c>
      <c r="X12" s="1569"/>
      <c r="Y12" s="3325"/>
      <c r="Z12" s="1149">
        <f t="shared" si="7"/>
        <v>111</v>
      </c>
      <c r="AA12" s="1570">
        <f>D12/F12</f>
        <v>1</v>
      </c>
      <c r="AB12" s="1570">
        <f>D12/H12</f>
        <v>1</v>
      </c>
      <c r="AC12" s="1570">
        <f>D12/J12</f>
        <v>1</v>
      </c>
    </row>
    <row r="13" spans="1:29" ht="15">
      <c r="A13" s="2943"/>
      <c r="B13" s="2949">
        <v>111</v>
      </c>
      <c r="C13" s="539"/>
      <c r="D13" s="540">
        <v>100</v>
      </c>
      <c r="E13" s="539"/>
      <c r="F13" s="254">
        <f>SUMIF(66:66,E13,67:67)-SUMIF(66:66,C13,67:67)+100</f>
        <v>100</v>
      </c>
      <c r="G13" s="919"/>
      <c r="H13" s="540">
        <f>SUMIF(66:66,G13,67:67)-SUMIF(66:66,C13,67:67)+100</f>
        <v>100</v>
      </c>
      <c r="I13" s="879"/>
      <c r="J13" s="540">
        <f>SUMIF(66:66,I13,67:67)-SUMIF(66:66,C13,67:67)+100</f>
        <v>100</v>
      </c>
      <c r="K13" s="581"/>
      <c r="L13" s="2142"/>
      <c r="M13" s="2134"/>
      <c r="N13" s="2134"/>
      <c r="O13" s="2141"/>
      <c r="P13" s="3368"/>
      <c r="Q13" s="1150">
        <f t="shared" si="6"/>
        <v>111</v>
      </c>
      <c r="R13" s="1567" t="s">
        <v>8</v>
      </c>
      <c r="S13" s="1568">
        <f t="shared" si="0"/>
        <v>100</v>
      </c>
      <c r="T13" s="1567" t="s">
        <v>8</v>
      </c>
      <c r="U13" s="1568">
        <f t="shared" si="1"/>
        <v>100</v>
      </c>
      <c r="V13" s="1567" t="s">
        <v>8</v>
      </c>
      <c r="W13" s="1568">
        <f t="shared" si="2"/>
        <v>100</v>
      </c>
      <c r="X13" s="1569"/>
      <c r="Y13" s="3325"/>
      <c r="Z13" s="1149">
        <f t="shared" si="7"/>
        <v>111</v>
      </c>
      <c r="AA13" s="1570">
        <f t="shared" si="3"/>
        <v>1</v>
      </c>
      <c r="AB13" s="1570">
        <f t="shared" si="4"/>
        <v>1</v>
      </c>
      <c r="AC13" s="1570">
        <f t="shared" si="5"/>
        <v>1</v>
      </c>
    </row>
    <row r="14" spans="1:29" ht="15.75" thickBot="1">
      <c r="A14" s="2944"/>
      <c r="B14" s="2950">
        <v>111</v>
      </c>
      <c r="C14" s="545"/>
      <c r="D14" s="546">
        <v>100</v>
      </c>
      <c r="E14" s="545"/>
      <c r="F14" s="546">
        <f>SUMIF(68:68,E14,69:69)-SUMIF(68:68,C14,69:69)+100</f>
        <v>100</v>
      </c>
      <c r="G14" s="919"/>
      <c r="H14" s="546">
        <f>SUMIF(68:68,G14,69:69)-SUMIF(68:68,C14,69:69)+100</f>
        <v>100</v>
      </c>
      <c r="I14" s="879"/>
      <c r="J14" s="546">
        <f>SUMIF(68:68,I14,69:69)-SUMIF(68:68,C14,69:69)+100</f>
        <v>100</v>
      </c>
      <c r="K14" s="581"/>
      <c r="L14" s="2142"/>
      <c r="M14" s="2134"/>
      <c r="N14" s="2134"/>
      <c r="O14" s="2141"/>
      <c r="P14" s="3368"/>
      <c r="Q14" s="1150">
        <f t="shared" si="6"/>
        <v>111</v>
      </c>
      <c r="R14" s="1567" t="s">
        <v>8</v>
      </c>
      <c r="S14" s="1568">
        <f t="shared" si="0"/>
        <v>100</v>
      </c>
      <c r="T14" s="1567" t="s">
        <v>8</v>
      </c>
      <c r="U14" s="1568">
        <f t="shared" si="1"/>
        <v>100</v>
      </c>
      <c r="V14" s="1567" t="s">
        <v>8</v>
      </c>
      <c r="W14" s="1568">
        <f t="shared" si="2"/>
        <v>100</v>
      </c>
      <c r="X14" s="1569"/>
      <c r="Y14" s="3325"/>
      <c r="Z14" s="1149">
        <f t="shared" si="7"/>
        <v>111</v>
      </c>
      <c r="AA14" s="1570">
        <f t="shared" si="3"/>
        <v>1</v>
      </c>
      <c r="AB14" s="1570">
        <f t="shared" si="4"/>
        <v>1</v>
      </c>
      <c r="AC14" s="1570">
        <f t="shared" si="5"/>
        <v>1</v>
      </c>
    </row>
    <row r="15" spans="1:29" ht="57">
      <c r="A15" s="2936" t="s">
        <v>2759</v>
      </c>
      <c r="B15" s="166" t="s">
        <v>788</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42"/>
      <c r="M15" s="2134"/>
      <c r="N15" s="2134"/>
      <c r="O15" s="2141"/>
      <c r="P15" s="3370" t="s">
        <v>540</v>
      </c>
      <c r="Q15" s="1571" t="str">
        <f t="shared" si="6"/>
        <v>产业集聚程度</v>
      </c>
      <c r="R15" s="1572" t="s">
        <v>8</v>
      </c>
      <c r="S15" s="1573">
        <f t="shared" si="0"/>
        <v>100</v>
      </c>
      <c r="T15" s="1572" t="s">
        <v>8</v>
      </c>
      <c r="U15" s="1573">
        <f t="shared" si="1"/>
        <v>100</v>
      </c>
      <c r="V15" s="1572" t="s">
        <v>8</v>
      </c>
      <c r="W15" s="1573">
        <f t="shared" si="2"/>
        <v>100</v>
      </c>
      <c r="X15" s="1566"/>
      <c r="Y15" s="3370" t="s">
        <v>540</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8"/>
      <c r="L16" s="2142"/>
      <c r="M16" s="2134"/>
      <c r="N16" s="2134"/>
      <c r="O16" s="2141"/>
      <c r="P16" s="3371"/>
      <c r="Q16" s="1571"/>
      <c r="R16" s="1572"/>
      <c r="S16" s="1573"/>
      <c r="T16" s="1572"/>
      <c r="U16" s="1573"/>
      <c r="V16" s="1572"/>
      <c r="W16" s="1573"/>
      <c r="X16" s="1566"/>
      <c r="Y16" s="3371"/>
      <c r="Z16" s="1574"/>
      <c r="AA16" s="1575">
        <v>1</v>
      </c>
      <c r="AB16" s="1575">
        <v>1</v>
      </c>
      <c r="AC16" s="1575">
        <v>1</v>
      </c>
    </row>
    <row r="17" spans="1:29" ht="85.5">
      <c r="A17" s="532"/>
      <c r="B17" s="871" t="s">
        <v>295</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42"/>
      <c r="M17" s="2134"/>
      <c r="N17" s="2134"/>
      <c r="O17" s="2141"/>
      <c r="P17" s="3371"/>
      <c r="Q17" s="1571" t="str">
        <f>B17</f>
        <v>交通便捷度</v>
      </c>
      <c r="R17" s="1572" t="s">
        <v>8</v>
      </c>
      <c r="S17" s="1573">
        <f>F17</f>
        <v>100</v>
      </c>
      <c r="T17" s="1572" t="s">
        <v>8</v>
      </c>
      <c r="U17" s="1573">
        <f>H17</f>
        <v>100</v>
      </c>
      <c r="V17" s="1572" t="s">
        <v>8</v>
      </c>
      <c r="W17" s="1573">
        <f>J17</f>
        <v>100</v>
      </c>
      <c r="X17" s="1566"/>
      <c r="Y17" s="3371"/>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8"/>
      <c r="L18" s="2142"/>
      <c r="M18" s="2134"/>
      <c r="N18" s="2134"/>
      <c r="O18" s="2141"/>
      <c r="P18" s="3371"/>
      <c r="Q18" s="1571"/>
      <c r="R18" s="1572"/>
      <c r="S18" s="1573"/>
      <c r="T18" s="1572"/>
      <c r="U18" s="1573"/>
      <c r="V18" s="1572"/>
      <c r="W18" s="1573"/>
      <c r="X18" s="1566"/>
      <c r="Y18" s="3371"/>
      <c r="Z18" s="1574"/>
      <c r="AA18" s="1575">
        <v>1</v>
      </c>
      <c r="AB18" s="1575">
        <v>1</v>
      </c>
      <c r="AC18" s="1575">
        <v>1</v>
      </c>
    </row>
    <row r="19" spans="1:29" ht="42.75">
      <c r="A19" s="532"/>
      <c r="B19" s="2627"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42"/>
      <c r="M19" s="2134"/>
      <c r="N19" s="2134"/>
      <c r="O19" s="2141"/>
      <c r="P19" s="3371"/>
      <c r="Q19" s="1571" t="str">
        <f>B19</f>
        <v>公共配套设施</v>
      </c>
      <c r="R19" s="1572" t="s">
        <v>8</v>
      </c>
      <c r="S19" s="1573">
        <f>F19</f>
        <v>100</v>
      </c>
      <c r="T19" s="1572" t="s">
        <v>8</v>
      </c>
      <c r="U19" s="1573">
        <f>H19</f>
        <v>100</v>
      </c>
      <c r="V19" s="1572" t="s">
        <v>8</v>
      </c>
      <c r="W19" s="1573">
        <f>J19</f>
        <v>100</v>
      </c>
      <c r="X19" s="1566"/>
      <c r="Y19" s="3371"/>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8"/>
      <c r="L20" s="2142"/>
      <c r="M20" s="2134"/>
      <c r="N20" s="2134"/>
      <c r="O20" s="2141"/>
      <c r="P20" s="3371"/>
      <c r="Q20" s="1571"/>
      <c r="R20" s="1572"/>
      <c r="S20" s="1573"/>
      <c r="T20" s="1572"/>
      <c r="U20" s="1573"/>
      <c r="V20" s="1572"/>
      <c r="W20" s="1573"/>
      <c r="X20" s="1566"/>
      <c r="Y20" s="3371"/>
      <c r="Z20" s="1574"/>
      <c r="AA20" s="1575">
        <v>1</v>
      </c>
      <c r="AB20" s="1575">
        <v>1</v>
      </c>
      <c r="AC20" s="1575">
        <v>1</v>
      </c>
    </row>
    <row r="21" spans="1:29" ht="28.5">
      <c r="A21" s="532"/>
      <c r="B21" s="2615"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42"/>
      <c r="M21" s="2134"/>
      <c r="N21" s="2134"/>
      <c r="O21" s="2141"/>
      <c r="P21" s="3371"/>
      <c r="Q21" s="2603" t="str">
        <f>B21</f>
        <v>基础设施水平</v>
      </c>
      <c r="R21" s="1572" t="s">
        <v>8</v>
      </c>
      <c r="S21" s="1573">
        <f>F21</f>
        <v>100</v>
      </c>
      <c r="T21" s="1572" t="s">
        <v>8</v>
      </c>
      <c r="U21" s="1573">
        <f>H21</f>
        <v>100</v>
      </c>
      <c r="V21" s="1572" t="s">
        <v>8</v>
      </c>
      <c r="W21" s="1573">
        <f>J21</f>
        <v>100</v>
      </c>
      <c r="X21" s="2605"/>
      <c r="Y21" s="3371"/>
      <c r="Z21" s="2604"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26"/>
      <c r="L22" s="2142"/>
      <c r="M22" s="2134"/>
      <c r="N22" s="2134"/>
      <c r="O22" s="2141"/>
      <c r="P22" s="3371"/>
      <c r="Q22" s="2603"/>
      <c r="R22" s="1572"/>
      <c r="S22" s="1573"/>
      <c r="T22" s="1572"/>
      <c r="U22" s="1573"/>
      <c r="V22" s="1572"/>
      <c r="W22" s="1573"/>
      <c r="X22" s="2605"/>
      <c r="Y22" s="3371"/>
      <c r="Z22" s="2604"/>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42"/>
      <c r="M23" s="2134"/>
      <c r="N23" s="2134"/>
      <c r="O23" s="2141"/>
      <c r="P23" s="3371"/>
      <c r="Q23" s="1571" t="str">
        <f>B23</f>
        <v>环境质量</v>
      </c>
      <c r="R23" s="1572" t="s">
        <v>8</v>
      </c>
      <c r="S23" s="1573">
        <f>F23</f>
        <v>100</v>
      </c>
      <c r="T23" s="1572" t="s">
        <v>8</v>
      </c>
      <c r="U23" s="1573">
        <f>H23</f>
        <v>100</v>
      </c>
      <c r="V23" s="1572" t="s">
        <v>8</v>
      </c>
      <c r="W23" s="1573">
        <f>J23</f>
        <v>100</v>
      </c>
      <c r="X23" s="1566"/>
      <c r="Y23" s="3371"/>
      <c r="Z23" s="1574" t="str">
        <f>Q23</f>
        <v>环境质量</v>
      </c>
      <c r="AA23" s="1575">
        <f t="shared" si="3"/>
        <v>1</v>
      </c>
      <c r="AB23" s="1575">
        <f t="shared" si="4"/>
        <v>1</v>
      </c>
      <c r="AC23" s="1575">
        <f t="shared" si="5"/>
        <v>1</v>
      </c>
    </row>
    <row r="24" spans="1:29" ht="15">
      <c r="A24" s="532"/>
      <c r="B24" s="921"/>
      <c r="C24" s="576"/>
      <c r="D24" s="555"/>
      <c r="E24" s="556"/>
      <c r="F24" s="557"/>
      <c r="G24" s="558"/>
      <c r="H24" s="555"/>
      <c r="I24" s="556"/>
      <c r="J24" s="555"/>
      <c r="K24" s="898"/>
      <c r="L24" s="2142"/>
      <c r="M24" s="2134"/>
      <c r="N24" s="2134"/>
      <c r="O24" s="2141"/>
      <c r="P24" s="3371"/>
      <c r="Q24" s="1571"/>
      <c r="R24" s="1572"/>
      <c r="S24" s="1573"/>
      <c r="T24" s="1572"/>
      <c r="U24" s="1573"/>
      <c r="V24" s="1572"/>
      <c r="W24" s="1573"/>
      <c r="X24" s="1566"/>
      <c r="Y24" s="3371"/>
      <c r="Z24" s="1574"/>
      <c r="AA24" s="1575">
        <v>1</v>
      </c>
      <c r="AB24" s="1575">
        <v>1</v>
      </c>
      <c r="AC24" s="1575">
        <v>1</v>
      </c>
    </row>
    <row r="25" spans="1:29" ht="15">
      <c r="A25" s="517"/>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371"/>
      <c r="Q25" s="1571">
        <f>B25</f>
        <v>111</v>
      </c>
      <c r="R25" s="1572" t="s">
        <v>8</v>
      </c>
      <c r="S25" s="1573">
        <f>F25</f>
        <v>100</v>
      </c>
      <c r="T25" s="1572" t="s">
        <v>8</v>
      </c>
      <c r="U25" s="1573">
        <f>H25</f>
        <v>100</v>
      </c>
      <c r="V25" s="1572" t="s">
        <v>8</v>
      </c>
      <c r="W25" s="1573">
        <f>J25</f>
        <v>100</v>
      </c>
      <c r="X25" s="1566"/>
      <c r="Y25" s="3371"/>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371"/>
      <c r="Q26" s="1571">
        <f t="shared" ref="Q26:Q40" si="11">B26</f>
        <v>111</v>
      </c>
      <c r="R26" s="1572" t="s">
        <v>8</v>
      </c>
      <c r="S26" s="1573">
        <f>F26</f>
        <v>100</v>
      </c>
      <c r="T26" s="1572" t="s">
        <v>8</v>
      </c>
      <c r="U26" s="1573">
        <f>H26</f>
        <v>100</v>
      </c>
      <c r="V26" s="1572" t="s">
        <v>8</v>
      </c>
      <c r="W26" s="1573">
        <f>J26</f>
        <v>100</v>
      </c>
      <c r="X26" s="1566"/>
      <c r="Y26" s="3371"/>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371"/>
      <c r="Q27" s="1150">
        <f t="shared" si="11"/>
        <v>111</v>
      </c>
      <c r="R27" s="1567" t="s">
        <v>8</v>
      </c>
      <c r="S27" s="1568">
        <f>F27</f>
        <v>100</v>
      </c>
      <c r="T27" s="1567" t="s">
        <v>8</v>
      </c>
      <c r="U27" s="1568">
        <f>H27</f>
        <v>100</v>
      </c>
      <c r="V27" s="1567" t="s">
        <v>8</v>
      </c>
      <c r="W27" s="1568">
        <f>J27</f>
        <v>100</v>
      </c>
      <c r="X27" s="1569"/>
      <c r="Y27" s="3371"/>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42"/>
      <c r="M28" s="2134"/>
      <c r="N28" s="2134"/>
      <c r="O28" s="2141"/>
      <c r="P28" s="3371"/>
      <c r="Q28" s="1571">
        <f t="shared" si="11"/>
        <v>111</v>
      </c>
      <c r="R28" s="1572" t="s">
        <v>8</v>
      </c>
      <c r="S28" s="1573">
        <f t="shared" ref="S28:S40" si="12">F28</f>
        <v>100</v>
      </c>
      <c r="T28" s="1572" t="s">
        <v>8</v>
      </c>
      <c r="U28" s="1573">
        <f t="shared" ref="U28:U40" si="13">H28</f>
        <v>100</v>
      </c>
      <c r="V28" s="1572" t="s">
        <v>8</v>
      </c>
      <c r="W28" s="1573">
        <f t="shared" ref="W28:W40" si="14">J28</f>
        <v>100</v>
      </c>
      <c r="X28" s="1566"/>
      <c r="Y28" s="3371"/>
      <c r="Z28" s="1574">
        <f t="shared" ref="Z28:Z40" si="15">Q28</f>
        <v>111</v>
      </c>
      <c r="AA28" s="1575">
        <f t="shared" si="3"/>
        <v>1</v>
      </c>
      <c r="AB28" s="1575">
        <f t="shared" si="4"/>
        <v>1</v>
      </c>
      <c r="AC28" s="1575">
        <f t="shared" si="5"/>
        <v>1</v>
      </c>
    </row>
    <row r="29" spans="1:29" ht="15">
      <c r="A29" s="2933" t="s">
        <v>2760</v>
      </c>
      <c r="B29" s="172" t="s">
        <v>779</v>
      </c>
      <c r="C29" s="915"/>
      <c r="D29" s="597">
        <v>100</v>
      </c>
      <c r="E29" s="915"/>
      <c r="F29" s="575">
        <f>SUMIF(88:88,E29,89:89)-SUMIF(88:88,C29,89:89)+100</f>
        <v>100</v>
      </c>
      <c r="G29" s="915"/>
      <c r="H29" s="540">
        <f>SUMIF(88:88,G29,89:89)-SUMIF(88:88,C29,89:89)+100</f>
        <v>100</v>
      </c>
      <c r="I29" s="915"/>
      <c r="J29" s="597">
        <f>SUMIF(88:88,I29,89:89)-SUMIF(88:88,C29,89:89)+100</f>
        <v>100</v>
      </c>
      <c r="K29" s="584"/>
      <c r="L29" s="2142"/>
      <c r="M29" s="2134"/>
      <c r="N29" s="2134"/>
      <c r="O29" s="2141"/>
      <c r="P29" s="3372" t="s">
        <v>550</v>
      </c>
      <c r="Q29" s="1571" t="str">
        <f t="shared" si="11"/>
        <v>建筑类型</v>
      </c>
      <c r="R29" s="1572" t="s">
        <v>8</v>
      </c>
      <c r="S29" s="1573">
        <f t="shared" si="12"/>
        <v>100</v>
      </c>
      <c r="T29" s="1572" t="s">
        <v>8</v>
      </c>
      <c r="U29" s="1573">
        <f t="shared" si="13"/>
        <v>100</v>
      </c>
      <c r="V29" s="1572" t="s">
        <v>8</v>
      </c>
      <c r="W29" s="1573">
        <f t="shared" si="14"/>
        <v>100</v>
      </c>
      <c r="X29" s="1566"/>
      <c r="Y29" s="3373" t="s">
        <v>550</v>
      </c>
      <c r="Z29" s="1574" t="str">
        <f t="shared" si="15"/>
        <v>建筑类型</v>
      </c>
      <c r="AA29" s="1575">
        <f t="shared" si="3"/>
        <v>1</v>
      </c>
      <c r="AB29" s="1575">
        <f t="shared" si="4"/>
        <v>1</v>
      </c>
      <c r="AC29" s="1575">
        <f t="shared" si="5"/>
        <v>1</v>
      </c>
    </row>
    <row r="30" spans="1:29" s="1338" customFormat="1" ht="15">
      <c r="A30" s="603"/>
      <c r="B30" s="529" t="s">
        <v>726</v>
      </c>
      <c r="C30" s="879"/>
      <c r="D30" s="254">
        <v>100</v>
      </c>
      <c r="E30" s="534"/>
      <c r="F30" s="863" t="e">
        <f>LOOKUP(E30,91:91,92:92)-LOOKUP(C30,91:91,92:92)+100</f>
        <v>#N/A</v>
      </c>
      <c r="G30" s="533"/>
      <c r="H30" s="254" t="e">
        <f>LOOKUP(G30,91:91,92:92)-LOOKUP(C30,91:91,92:92)+100</f>
        <v>#N/A</v>
      </c>
      <c r="I30" s="533"/>
      <c r="J30" s="254" t="e">
        <f>LOOKUP(I30,91:91,92:92)-LOOKUP(C30,91:91,92:92)+100</f>
        <v>#N/A</v>
      </c>
      <c r="K30" s="581"/>
      <c r="L30" s="2140"/>
      <c r="M30" s="2171"/>
      <c r="N30" s="2171"/>
      <c r="O30" s="2143"/>
      <c r="P30" s="3373"/>
      <c r="Q30" s="1604" t="str">
        <f t="shared" si="11"/>
        <v>项目建筑规模</v>
      </c>
      <c r="R30" s="1576" t="s">
        <v>8</v>
      </c>
      <c r="S30" s="1577" t="e">
        <f t="shared" si="12"/>
        <v>#N/A</v>
      </c>
      <c r="T30" s="1576" t="s">
        <v>8</v>
      </c>
      <c r="U30" s="1577" t="e">
        <f t="shared" si="13"/>
        <v>#N/A</v>
      </c>
      <c r="V30" s="1576" t="s">
        <v>8</v>
      </c>
      <c r="W30" s="1577" t="e">
        <f t="shared" si="14"/>
        <v>#N/A</v>
      </c>
      <c r="X30" s="1578"/>
      <c r="Y30" s="3373"/>
      <c r="Z30" s="1579" t="str">
        <f t="shared" si="15"/>
        <v>项目建筑规模</v>
      </c>
      <c r="AA30" s="1575" t="e">
        <f t="shared" si="3"/>
        <v>#N/A</v>
      </c>
      <c r="AB30" s="1575" t="e">
        <f t="shared" si="4"/>
        <v>#N/A</v>
      </c>
      <c r="AC30" s="1575" t="e">
        <f t="shared" si="5"/>
        <v>#N/A</v>
      </c>
    </row>
    <row r="31" spans="1:29" ht="15">
      <c r="A31" s="594"/>
      <c r="B31" s="529"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373"/>
      <c r="Q31" s="1571" t="str">
        <f t="shared" si="11"/>
        <v>建筑结构</v>
      </c>
      <c r="R31" s="1572" t="s">
        <v>8</v>
      </c>
      <c r="S31" s="1573">
        <f t="shared" si="12"/>
        <v>100</v>
      </c>
      <c r="T31" s="1572" t="s">
        <v>8</v>
      </c>
      <c r="U31" s="1573">
        <f t="shared" si="13"/>
        <v>100</v>
      </c>
      <c r="V31" s="1572" t="s">
        <v>8</v>
      </c>
      <c r="W31" s="1573">
        <f t="shared" si="14"/>
        <v>100</v>
      </c>
      <c r="X31" s="1566"/>
      <c r="Y31" s="3373"/>
      <c r="Z31" s="1574" t="str">
        <f t="shared" si="15"/>
        <v>建筑结构</v>
      </c>
      <c r="AA31" s="1575">
        <f t="shared" si="3"/>
        <v>1</v>
      </c>
      <c r="AB31" s="1575">
        <f t="shared" si="4"/>
        <v>1</v>
      </c>
      <c r="AC31" s="1575">
        <f t="shared" si="5"/>
        <v>1</v>
      </c>
    </row>
    <row r="32" spans="1:29" ht="15">
      <c r="A32" s="594"/>
      <c r="B32" s="529"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373"/>
      <c r="Q32" s="1571" t="str">
        <f t="shared" si="11"/>
        <v>公共部分装修</v>
      </c>
      <c r="R32" s="1572" t="s">
        <v>8</v>
      </c>
      <c r="S32" s="1573">
        <f t="shared" si="12"/>
        <v>100</v>
      </c>
      <c r="T32" s="1572" t="s">
        <v>8</v>
      </c>
      <c r="U32" s="1573">
        <f t="shared" si="13"/>
        <v>100</v>
      </c>
      <c r="V32" s="1572" t="s">
        <v>8</v>
      </c>
      <c r="W32" s="1573">
        <f t="shared" si="14"/>
        <v>100</v>
      </c>
      <c r="X32" s="1566"/>
      <c r="Y32" s="3373"/>
      <c r="Z32" s="1574" t="str">
        <f t="shared" si="15"/>
        <v>公共部分装修</v>
      </c>
      <c r="AA32" s="1575">
        <f t="shared" si="3"/>
        <v>1</v>
      </c>
      <c r="AB32" s="1575">
        <f t="shared" si="4"/>
        <v>1</v>
      </c>
      <c r="AC32" s="1575">
        <f t="shared" si="5"/>
        <v>1</v>
      </c>
    </row>
    <row r="33" spans="1:29" ht="15">
      <c r="A33" s="594"/>
      <c r="B33" s="529" t="s">
        <v>763</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42"/>
      <c r="M33" s="2134"/>
      <c r="N33" s="2134"/>
      <c r="O33" s="2141"/>
      <c r="P33" s="3373"/>
      <c r="Q33" s="1571" t="str">
        <f t="shared" si="11"/>
        <v>成新度</v>
      </c>
      <c r="R33" s="1572" t="s">
        <v>8</v>
      </c>
      <c r="S33" s="1573" t="e">
        <f t="shared" si="12"/>
        <v>#N/A</v>
      </c>
      <c r="T33" s="1572" t="s">
        <v>8</v>
      </c>
      <c r="U33" s="1573" t="e">
        <f t="shared" si="13"/>
        <v>#N/A</v>
      </c>
      <c r="V33" s="1572" t="s">
        <v>8</v>
      </c>
      <c r="W33" s="1573" t="e">
        <f t="shared" si="14"/>
        <v>#N/A</v>
      </c>
      <c r="X33" s="1566"/>
      <c r="Y33" s="3373"/>
      <c r="Z33" s="1574" t="str">
        <f t="shared" si="15"/>
        <v>成新度</v>
      </c>
      <c r="AA33" s="1575" t="e">
        <f t="shared" si="3"/>
        <v>#N/A</v>
      </c>
      <c r="AB33" s="1575" t="e">
        <f t="shared" si="4"/>
        <v>#N/A</v>
      </c>
      <c r="AC33" s="1575" t="e">
        <f t="shared" si="5"/>
        <v>#N/A</v>
      </c>
    </row>
    <row r="34" spans="1:29" s="1219" customFormat="1" ht="15">
      <c r="A34" s="600"/>
      <c r="B34" s="529" t="s">
        <v>781</v>
      </c>
      <c r="C34" s="574"/>
      <c r="D34" s="254">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373"/>
      <c r="Q34" s="1150" t="str">
        <f t="shared" si="11"/>
        <v>物业管理</v>
      </c>
      <c r="R34" s="1567" t="s">
        <v>8</v>
      </c>
      <c r="S34" s="1568">
        <f t="shared" si="12"/>
        <v>100</v>
      </c>
      <c r="T34" s="1567" t="s">
        <v>8</v>
      </c>
      <c r="U34" s="1568">
        <f t="shared" si="13"/>
        <v>100</v>
      </c>
      <c r="V34" s="1567" t="s">
        <v>8</v>
      </c>
      <c r="W34" s="1568">
        <f t="shared" si="14"/>
        <v>100</v>
      </c>
      <c r="X34" s="1569"/>
      <c r="Y34" s="3373"/>
      <c r="Z34" s="1149" t="str">
        <f t="shared" si="15"/>
        <v>物业管理</v>
      </c>
      <c r="AA34" s="1570">
        <f t="shared" si="3"/>
        <v>1</v>
      </c>
      <c r="AB34" s="1570">
        <f t="shared" si="4"/>
        <v>1</v>
      </c>
      <c r="AC34" s="1570">
        <f t="shared" si="5"/>
        <v>1</v>
      </c>
    </row>
    <row r="35" spans="1:29" ht="15">
      <c r="A35" s="594"/>
      <c r="B35" s="1895"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373" t="s">
        <v>550</v>
      </c>
      <c r="Q35" s="1571" t="str">
        <f t="shared" si="11"/>
        <v>市政基础设施</v>
      </c>
      <c r="R35" s="1572" t="s">
        <v>8</v>
      </c>
      <c r="S35" s="1573">
        <f t="shared" si="12"/>
        <v>100</v>
      </c>
      <c r="T35" s="1572" t="s">
        <v>8</v>
      </c>
      <c r="U35" s="1573">
        <f t="shared" si="13"/>
        <v>100</v>
      </c>
      <c r="V35" s="1572" t="s">
        <v>8</v>
      </c>
      <c r="W35" s="1573">
        <f t="shared" si="14"/>
        <v>100</v>
      </c>
      <c r="X35" s="1566"/>
      <c r="Y35" s="3373" t="s">
        <v>550</v>
      </c>
      <c r="Z35" s="1574" t="str">
        <f t="shared" si="15"/>
        <v>市政基础设施</v>
      </c>
      <c r="AA35" s="1575">
        <f t="shared" si="3"/>
        <v>1</v>
      </c>
      <c r="AB35" s="1575">
        <f t="shared" si="4"/>
        <v>1</v>
      </c>
      <c r="AC35" s="1575">
        <f t="shared" si="5"/>
        <v>1</v>
      </c>
    </row>
    <row r="36" spans="1:29" ht="15">
      <c r="A36" s="594"/>
      <c r="B36" s="529"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373"/>
      <c r="Q36" s="1571" t="str">
        <f t="shared" si="11"/>
        <v>内部装修</v>
      </c>
      <c r="R36" s="1572" t="s">
        <v>8</v>
      </c>
      <c r="S36" s="1573">
        <f t="shared" si="12"/>
        <v>100</v>
      </c>
      <c r="T36" s="1572" t="s">
        <v>8</v>
      </c>
      <c r="U36" s="1573">
        <f t="shared" si="13"/>
        <v>100</v>
      </c>
      <c r="V36" s="1572" t="s">
        <v>8</v>
      </c>
      <c r="W36" s="1573">
        <f t="shared" si="14"/>
        <v>100</v>
      </c>
      <c r="X36" s="1566"/>
      <c r="Y36" s="3373"/>
      <c r="Z36" s="1574" t="str">
        <f t="shared" si="15"/>
        <v>内部装修</v>
      </c>
      <c r="AA36" s="1575">
        <f t="shared" si="3"/>
        <v>1</v>
      </c>
      <c r="AB36" s="1575">
        <f t="shared" si="4"/>
        <v>1</v>
      </c>
      <c r="AC36" s="1575">
        <f t="shared" si="5"/>
        <v>1</v>
      </c>
    </row>
    <row r="37" spans="1:29" ht="15">
      <c r="A37" s="594"/>
      <c r="B37" s="529"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373"/>
      <c r="Q37" s="1571" t="str">
        <f t="shared" si="11"/>
        <v>内部装修状况</v>
      </c>
      <c r="R37" s="1572" t="s">
        <v>8</v>
      </c>
      <c r="S37" s="1573">
        <f t="shared" si="12"/>
        <v>100</v>
      </c>
      <c r="T37" s="1572" t="s">
        <v>8</v>
      </c>
      <c r="U37" s="1573">
        <f t="shared" si="13"/>
        <v>100</v>
      </c>
      <c r="V37" s="1572" t="s">
        <v>8</v>
      </c>
      <c r="W37" s="1573">
        <f t="shared" si="14"/>
        <v>100</v>
      </c>
      <c r="X37" s="1566"/>
      <c r="Y37" s="3373"/>
      <c r="Z37" s="1574" t="str">
        <f t="shared" si="15"/>
        <v>内部装修状况</v>
      </c>
      <c r="AA37" s="1575">
        <f t="shared" si="3"/>
        <v>1</v>
      </c>
      <c r="AB37" s="1575">
        <f t="shared" si="4"/>
        <v>1</v>
      </c>
      <c r="AC37" s="1575">
        <f t="shared" si="5"/>
        <v>1</v>
      </c>
    </row>
    <row r="38" spans="1:29" s="1338"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40"/>
      <c r="M38" s="2171"/>
      <c r="N38" s="2171"/>
      <c r="O38" s="2143"/>
      <c r="P38" s="3373"/>
      <c r="Q38" s="1604">
        <f t="shared" si="11"/>
        <v>111</v>
      </c>
      <c r="R38" s="1576" t="s">
        <v>8</v>
      </c>
      <c r="S38" s="1577">
        <f t="shared" si="12"/>
        <v>100</v>
      </c>
      <c r="T38" s="1576" t="s">
        <v>8</v>
      </c>
      <c r="U38" s="1577">
        <f t="shared" si="13"/>
        <v>100</v>
      </c>
      <c r="V38" s="1576" t="s">
        <v>8</v>
      </c>
      <c r="W38" s="1577">
        <f t="shared" si="14"/>
        <v>100</v>
      </c>
      <c r="X38" s="1578"/>
      <c r="Y38" s="3373"/>
      <c r="Z38" s="1579">
        <f t="shared" si="15"/>
        <v>111</v>
      </c>
      <c r="AA38" s="1575">
        <f t="shared" si="3"/>
        <v>1</v>
      </c>
      <c r="AB38" s="1575">
        <f t="shared" si="4"/>
        <v>1</v>
      </c>
      <c r="AC38" s="1575">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42"/>
      <c r="M39" s="2134"/>
      <c r="N39" s="2134"/>
      <c r="O39" s="2141"/>
      <c r="P39" s="3373"/>
      <c r="Q39" s="1571">
        <f t="shared" si="11"/>
        <v>111</v>
      </c>
      <c r="R39" s="1572" t="s">
        <v>8</v>
      </c>
      <c r="S39" s="1573">
        <f t="shared" si="12"/>
        <v>100</v>
      </c>
      <c r="T39" s="1572" t="s">
        <v>8</v>
      </c>
      <c r="U39" s="1573">
        <f t="shared" si="13"/>
        <v>100</v>
      </c>
      <c r="V39" s="1572" t="s">
        <v>8</v>
      </c>
      <c r="W39" s="1573">
        <f t="shared" si="14"/>
        <v>100</v>
      </c>
      <c r="X39" s="1566"/>
      <c r="Y39" s="3373"/>
      <c r="Z39" s="1574">
        <f t="shared" si="15"/>
        <v>111</v>
      </c>
      <c r="AA39" s="1575">
        <f t="shared" si="3"/>
        <v>1</v>
      </c>
      <c r="AB39" s="1575">
        <f t="shared" si="4"/>
        <v>1</v>
      </c>
      <c r="AC39" s="1575">
        <f t="shared" si="5"/>
        <v>1</v>
      </c>
    </row>
    <row r="40" spans="1:29" ht="15.75"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42"/>
      <c r="M40" s="2134"/>
      <c r="N40" s="2134"/>
      <c r="O40" s="2141"/>
      <c r="P40" s="3448"/>
      <c r="Q40" s="1571">
        <f t="shared" si="11"/>
        <v>111</v>
      </c>
      <c r="R40" s="1572" t="s">
        <v>8</v>
      </c>
      <c r="S40" s="1573">
        <f t="shared" si="12"/>
        <v>100</v>
      </c>
      <c r="T40" s="1572" t="s">
        <v>8</v>
      </c>
      <c r="U40" s="1573">
        <f t="shared" si="13"/>
        <v>100</v>
      </c>
      <c r="V40" s="1572" t="s">
        <v>8</v>
      </c>
      <c r="W40" s="1573">
        <f t="shared" si="14"/>
        <v>100</v>
      </c>
      <c r="X40" s="1566"/>
      <c r="Y40" s="3448"/>
      <c r="Z40" s="1574">
        <f t="shared" si="15"/>
        <v>111</v>
      </c>
      <c r="AA40" s="1575">
        <f t="shared" si="3"/>
        <v>1</v>
      </c>
      <c r="AB40" s="1575">
        <f t="shared" si="4"/>
        <v>1</v>
      </c>
      <c r="AC40" s="1575">
        <f t="shared" si="5"/>
        <v>1</v>
      </c>
    </row>
    <row r="41" spans="1:29" ht="15">
      <c r="A41" s="607" t="s">
        <v>735</v>
      </c>
      <c r="B41" s="886"/>
      <c r="C41" s="2651" t="s">
        <v>1</v>
      </c>
      <c r="D41" s="2652"/>
      <c r="E41" s="2653"/>
      <c r="F41" s="2654"/>
      <c r="G41" s="2655"/>
      <c r="H41" s="2656"/>
      <c r="I41" s="2653"/>
      <c r="J41" s="2656"/>
      <c r="K41" s="1610"/>
      <c r="L41" s="2144"/>
      <c r="M41" s="2145"/>
      <c r="N41" s="2134"/>
      <c r="O41" s="2145"/>
      <c r="P41" s="3368" t="str">
        <f>A41</f>
        <v>成交单价（元/平方米）</v>
      </c>
      <c r="Q41" s="3368"/>
      <c r="R41" s="3447">
        <f>E41</f>
        <v>0</v>
      </c>
      <c r="S41" s="3447"/>
      <c r="T41" s="3447">
        <f>G41</f>
        <v>0</v>
      </c>
      <c r="U41" s="3447"/>
      <c r="V41" s="3447">
        <f>I41</f>
        <v>0</v>
      </c>
      <c r="W41" s="3447"/>
      <c r="X41" s="1558"/>
      <c r="Y41" s="1580"/>
      <c r="Z41" s="1558"/>
      <c r="AA41" s="1558"/>
      <c r="AB41" s="1558"/>
      <c r="AC41" s="1558"/>
    </row>
    <row r="42" spans="1:29" ht="15.75" thickBot="1">
      <c r="A42" s="615" t="s">
        <v>2765</v>
      </c>
      <c r="B42" s="887"/>
      <c r="C42" s="2657" t="e">
        <f>R43</f>
        <v>#DIV/0!</v>
      </c>
      <c r="D42" s="2658"/>
      <c r="E42" s="2659" t="e">
        <f>R42</f>
        <v>#DIV/0!</v>
      </c>
      <c r="F42" s="2659"/>
      <c r="G42" s="2657" t="e">
        <f>T42</f>
        <v>#DIV/0!</v>
      </c>
      <c r="H42" s="2658"/>
      <c r="I42" s="2659" t="e">
        <f>V42</f>
        <v>#DIV/0!</v>
      </c>
      <c r="J42" s="2658"/>
      <c r="K42" s="1611"/>
      <c r="L42" s="2144"/>
      <c r="M42" s="2145"/>
      <c r="N42" s="2134"/>
      <c r="O42" s="2145"/>
      <c r="P42" s="3368" t="str">
        <f>A42</f>
        <v>比较价格（元/平方米）</v>
      </c>
      <c r="Q42" s="3368"/>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1558"/>
      <c r="Y42" s="1558"/>
      <c r="Z42" s="1558"/>
      <c r="AA42" s="1558"/>
      <c r="AB42" s="1558"/>
      <c r="AC42" s="1558"/>
    </row>
    <row r="43" spans="1:29" ht="15.75" thickBot="1">
      <c r="A43" s="621" t="s">
        <v>2935</v>
      </c>
      <c r="B43" s="622"/>
      <c r="C43" s="2660" t="e">
        <f>R43</f>
        <v>#DIV/0!</v>
      </c>
      <c r="D43" s="2660"/>
      <c r="E43" s="2660"/>
      <c r="F43" s="2660"/>
      <c r="G43" s="2660"/>
      <c r="H43" s="2660"/>
      <c r="I43" s="2660"/>
      <c r="J43" s="2660"/>
      <c r="K43" s="1612"/>
      <c r="L43" s="2144"/>
      <c r="M43" s="2145"/>
      <c r="N43" s="2145"/>
      <c r="O43" s="2145"/>
      <c r="P43" s="3389" t="str">
        <f>A43</f>
        <v>估价对象XX用房的比较价格（楼面单价，元/平方米）</v>
      </c>
      <c r="Q43" s="3390"/>
      <c r="R43" s="3446" t="e">
        <f>IF(F1="售价",ROUND(AVERAGE(R42:V42),0),ROUND(AVERAGE(R42:V42),1))</f>
        <v>#DIV/0!</v>
      </c>
      <c r="S43" s="3446"/>
      <c r="T43" s="3446"/>
      <c r="U43" s="3446"/>
      <c r="V43" s="3446"/>
      <c r="W43" s="3446"/>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574</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529</v>
      </c>
      <c r="B52" s="646"/>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621" t="s">
        <v>2561</v>
      </c>
      <c r="C76" s="2622" t="s">
        <v>2562</v>
      </c>
      <c r="D76" s="2622" t="s">
        <v>2563</v>
      </c>
      <c r="E76" s="2622" t="s">
        <v>2564</v>
      </c>
      <c r="F76" s="2622" t="s">
        <v>2565</v>
      </c>
      <c r="G76" s="2622" t="s">
        <v>2566</v>
      </c>
      <c r="H76" s="934"/>
      <c r="I76" s="934"/>
      <c r="J76" s="934"/>
      <c r="K76" s="934"/>
      <c r="L76" s="934"/>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2"/>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6" t="s">
        <v>790</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IF(B37="元/平方米",C39,ROUND(B2*10000/D3,0))</f>
        <v>#DIV/0!</v>
      </c>
      <c r="C3" s="852" t="s">
        <v>795</v>
      </c>
      <c r="D3" s="851">
        <f>SUMIF('数据-汇总表'!$C19:$C33,D1,'数据-汇总表'!$E19:$E33)</f>
        <v>0</v>
      </c>
      <c r="E3" s="1848" t="s">
        <v>2077</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4" t="s">
        <v>797</v>
      </c>
      <c r="D4" s="3375"/>
      <c r="E4" s="3374" t="s">
        <v>798</v>
      </c>
      <c r="F4" s="3375"/>
      <c r="G4" s="3374" t="s">
        <v>799</v>
      </c>
      <c r="H4" s="3375"/>
      <c r="I4" s="3374" t="s">
        <v>800</v>
      </c>
      <c r="J4" s="3375"/>
      <c r="K4" s="516" t="s">
        <v>801</v>
      </c>
      <c r="L4" s="2133"/>
      <c r="M4" s="2134"/>
      <c r="N4" s="2134"/>
      <c r="O4" s="2134"/>
      <c r="P4" s="3376" t="s">
        <v>802</v>
      </c>
      <c r="Q4" s="3377"/>
      <c r="R4" s="3362" t="s">
        <v>798</v>
      </c>
      <c r="S4" s="3363"/>
      <c r="T4" s="3362" t="s">
        <v>799</v>
      </c>
      <c r="U4" s="3363"/>
      <c r="V4" s="3382" t="s">
        <v>800</v>
      </c>
      <c r="W4" s="3382"/>
      <c r="X4" s="1566"/>
      <c r="Y4" s="3362" t="s">
        <v>802</v>
      </c>
      <c r="Z4" s="3363"/>
      <c r="AA4" s="3357" t="s">
        <v>798</v>
      </c>
      <c r="AB4" s="3358" t="s">
        <v>799</v>
      </c>
      <c r="AC4" s="3357" t="s">
        <v>800</v>
      </c>
    </row>
    <row r="5" spans="1:29" ht="15">
      <c r="A5" s="517"/>
      <c r="B5" s="518"/>
      <c r="C5" s="3385" t="s">
        <v>2929</v>
      </c>
      <c r="D5" s="3386"/>
      <c r="E5" s="3385" t="s">
        <v>2930</v>
      </c>
      <c r="F5" s="3386"/>
      <c r="G5" s="3385" t="s">
        <v>2931</v>
      </c>
      <c r="H5" s="3386"/>
      <c r="I5" s="3385" t="s">
        <v>2932</v>
      </c>
      <c r="J5" s="3386"/>
      <c r="K5" s="516"/>
      <c r="L5" s="2133"/>
      <c r="M5" s="2134"/>
      <c r="N5" s="2134"/>
      <c r="O5" s="2134"/>
      <c r="P5" s="3378"/>
      <c r="Q5" s="3379"/>
      <c r="R5" s="3364"/>
      <c r="S5" s="3365"/>
      <c r="T5" s="3364"/>
      <c r="U5" s="3365"/>
      <c r="V5" s="3382"/>
      <c r="W5" s="3382"/>
      <c r="X5" s="1566"/>
      <c r="Y5" s="3364"/>
      <c r="Z5" s="3365"/>
      <c r="AA5" s="3358"/>
      <c r="AB5" s="3358"/>
      <c r="AC5" s="3358"/>
    </row>
    <row r="6" spans="1:29" ht="15.75" thickBot="1">
      <c r="A6" s="519"/>
      <c r="B6" s="520"/>
      <c r="C6" s="3383" t="s">
        <v>2933</v>
      </c>
      <c r="D6" s="3384"/>
      <c r="E6" s="3387" t="s">
        <v>2933</v>
      </c>
      <c r="F6" s="3388"/>
      <c r="G6" s="3383" t="s">
        <v>2933</v>
      </c>
      <c r="H6" s="3384"/>
      <c r="I6" s="3383" t="s">
        <v>2933</v>
      </c>
      <c r="J6" s="3384"/>
      <c r="K6" s="516" t="s">
        <v>528</v>
      </c>
      <c r="L6" s="2133"/>
      <c r="M6" s="2134"/>
      <c r="N6" s="2134"/>
      <c r="O6" s="2134"/>
      <c r="P6" s="3380"/>
      <c r="Q6" s="3381"/>
      <c r="R6" s="3364"/>
      <c r="S6" s="3365"/>
      <c r="T6" s="3366"/>
      <c r="U6" s="3367"/>
      <c r="V6" s="3382"/>
      <c r="W6" s="3382"/>
      <c r="X6" s="1566"/>
      <c r="Y6" s="3366"/>
      <c r="Z6" s="3367"/>
      <c r="AA6" s="3359"/>
      <c r="AB6" s="3359"/>
      <c r="AC6" s="3359"/>
    </row>
    <row r="7" spans="1:29" s="1219" customFormat="1" ht="15.75" thickBot="1">
      <c r="A7" s="2938"/>
      <c r="B7" s="2945" t="s">
        <v>529</v>
      </c>
      <c r="C7" s="521">
        <f>'数据-取费表'!B2</f>
        <v>43083</v>
      </c>
      <c r="D7" s="522">
        <v>100</v>
      </c>
      <c r="E7" s="523"/>
      <c r="F7" s="524">
        <f>SUMIF(48:48,YEAR(E7)&amp;"-"&amp;MONTH(E7),49:49)</f>
        <v>0</v>
      </c>
      <c r="G7" s="525"/>
      <c r="H7" s="522">
        <f>SUMIF(48:48,YEAR(G7)&amp;"-"&amp;MONTH(G7),49:49)</f>
        <v>0</v>
      </c>
      <c r="I7" s="525"/>
      <c r="J7" s="522">
        <f>SUMIF(48:48,YEAR(I7)&amp;"-"&amp;MONTH(I7),49:49)</f>
        <v>0</v>
      </c>
      <c r="K7" s="526"/>
      <c r="L7" s="2135"/>
      <c r="M7" s="2136"/>
      <c r="N7" s="2136"/>
      <c r="O7" s="2136"/>
      <c r="P7" s="3360" t="s">
        <v>530</v>
      </c>
      <c r="Q7" s="3369"/>
      <c r="R7" s="1567" t="s">
        <v>8</v>
      </c>
      <c r="S7" s="1568">
        <f t="shared" ref="S7:S14" si="0">F7</f>
        <v>0</v>
      </c>
      <c r="T7" s="1567" t="s">
        <v>8</v>
      </c>
      <c r="U7" s="1568">
        <f t="shared" ref="U7:U14" si="1">H7</f>
        <v>0</v>
      </c>
      <c r="V7" s="1567" t="s">
        <v>8</v>
      </c>
      <c r="W7" s="1568">
        <f t="shared" ref="W7:W14" si="2">J7</f>
        <v>0</v>
      </c>
      <c r="X7" s="1569"/>
      <c r="Y7" s="3360" t="s">
        <v>530</v>
      </c>
      <c r="Z7" s="3361"/>
      <c r="AA7" s="1570" t="e">
        <f>D7/F7</f>
        <v>#DIV/0!</v>
      </c>
      <c r="AB7" s="1570" t="e">
        <f>D7/H7</f>
        <v>#DIV/0!</v>
      </c>
      <c r="AC7" s="1570" t="e">
        <f>D7/J7</f>
        <v>#DIV/0!</v>
      </c>
    </row>
    <row r="8" spans="1:29" s="1219" customFormat="1" ht="15.75" thickBot="1">
      <c r="A8" s="2939"/>
      <c r="B8" s="2946" t="s">
        <v>531</v>
      </c>
      <c r="C8" s="527" t="s">
        <v>576</v>
      </c>
      <c r="D8" s="522">
        <v>100</v>
      </c>
      <c r="E8" s="527"/>
      <c r="F8" s="524">
        <f>SUMIF(51:51,E8,52:52)-SUMIF(51:51,C8,52:52)+100</f>
        <v>0</v>
      </c>
      <c r="G8" s="527"/>
      <c r="H8" s="522">
        <f>SUMIF(51:51,G8,52:52)-SUMIF(51:51,C8,52:52)+100</f>
        <v>0</v>
      </c>
      <c r="I8" s="527"/>
      <c r="J8" s="522">
        <f>SUMIF(51:51,I8,52:52)-SUMIF(51:51,C8,52:52)+100</f>
        <v>0</v>
      </c>
      <c r="K8" s="526"/>
      <c r="L8" s="2135"/>
      <c r="M8" s="2136"/>
      <c r="N8" s="2136"/>
      <c r="O8" s="2136"/>
      <c r="P8" s="3360" t="s">
        <v>533</v>
      </c>
      <c r="Q8" s="3361"/>
      <c r="R8" s="1567" t="s">
        <v>8</v>
      </c>
      <c r="S8" s="1568">
        <f t="shared" si="0"/>
        <v>0</v>
      </c>
      <c r="T8" s="1567" t="s">
        <v>8</v>
      </c>
      <c r="U8" s="1568">
        <f t="shared" si="1"/>
        <v>0</v>
      </c>
      <c r="V8" s="1567" t="s">
        <v>8</v>
      </c>
      <c r="W8" s="1568">
        <f t="shared" si="2"/>
        <v>0</v>
      </c>
      <c r="X8" s="1569"/>
      <c r="Y8" s="3360" t="s">
        <v>533</v>
      </c>
      <c r="Z8" s="3361"/>
      <c r="AA8" s="1570" t="e">
        <f t="shared" ref="AA8:AA36" si="3">D8/F8</f>
        <v>#DIV/0!</v>
      </c>
      <c r="AB8" s="1570" t="e">
        <f t="shared" ref="AB8:AB36" si="4">D8/H8</f>
        <v>#DIV/0!</v>
      </c>
      <c r="AC8" s="1570" t="e">
        <f t="shared" ref="AC8:AC36" si="5">D8/J8</f>
        <v>#DIV/0!</v>
      </c>
    </row>
    <row r="9" spans="1:29" s="1219" customFormat="1" ht="15">
      <c r="A9" s="2940"/>
      <c r="B9" s="2947" t="s">
        <v>2761</v>
      </c>
      <c r="C9" s="857"/>
      <c r="D9" s="253">
        <v>100</v>
      </c>
      <c r="E9" s="860"/>
      <c r="F9" s="253">
        <f>SUMIF(53:53,E9,54:54)-SUMIF(53:53,C9,54:54)+100</f>
        <v>100</v>
      </c>
      <c r="G9" s="858"/>
      <c r="H9" s="253">
        <f>SUMIF(53:53,G9,54:54)-SUMIF(53:53,C9,54:54)+100</f>
        <v>100</v>
      </c>
      <c r="I9" s="858"/>
      <c r="J9" s="253">
        <f>SUMIF(53:53,I9,54:54)-SUMIF(53:53,C9,54:54)+100</f>
        <v>100</v>
      </c>
      <c r="K9" s="526"/>
      <c r="L9" s="2135"/>
      <c r="M9" s="2136"/>
      <c r="N9" s="2136"/>
      <c r="O9" s="2137"/>
      <c r="P9" s="3368" t="s">
        <v>535</v>
      </c>
      <c r="Q9" s="1150" t="str">
        <f t="shared" ref="Q9:Q14" si="6">B9</f>
        <v>用途</v>
      </c>
      <c r="R9" s="1567" t="s">
        <v>8</v>
      </c>
      <c r="S9" s="1568">
        <f t="shared" si="0"/>
        <v>100</v>
      </c>
      <c r="T9" s="1567" t="s">
        <v>8</v>
      </c>
      <c r="U9" s="1568">
        <f t="shared" si="1"/>
        <v>100</v>
      </c>
      <c r="V9" s="1567" t="s">
        <v>8</v>
      </c>
      <c r="W9" s="1568">
        <f t="shared" si="2"/>
        <v>100</v>
      </c>
      <c r="X9" s="1569"/>
      <c r="Y9" s="3325"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SUMIF(55:55,E10,56:56)-SUMIF(55:55,C10,56:56)+100</f>
        <v>100</v>
      </c>
      <c r="G10" s="862"/>
      <c r="H10" s="254">
        <f>SUMIF(55:55,G10,56:56)-SUMIF(55:55,C10,56:56)+100</f>
        <v>100</v>
      </c>
      <c r="I10" s="861"/>
      <c r="J10" s="254">
        <f>SUMIF(55:55,I10,56:56)-SUMIF(55:55,C10,56:56)+100</f>
        <v>100</v>
      </c>
      <c r="K10" s="584"/>
      <c r="L10" s="2138"/>
      <c r="M10" s="2178"/>
      <c r="N10" s="2178"/>
      <c r="O10" s="2139"/>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3"/>
      <c r="B11" s="2949">
        <v>111</v>
      </c>
      <c r="C11" s="530"/>
      <c r="D11" s="254">
        <v>100</v>
      </c>
      <c r="E11" s="530"/>
      <c r="F11" s="254">
        <f>SUMIF(57:57,E11,58:58)-SUMIF(57:57,C11,58:58)+100</f>
        <v>100</v>
      </c>
      <c r="G11" s="530"/>
      <c r="H11" s="254">
        <f>SUMIF(57:57,G11,58:58)-SUMIF(57:57,C11,58:58)+100</f>
        <v>100</v>
      </c>
      <c r="I11" s="530"/>
      <c r="J11" s="254">
        <f>SUMIF(57:57,I11,58:58)-SUMIF(57:57,C11,58:58)+100</f>
        <v>100</v>
      </c>
      <c r="K11" s="581"/>
      <c r="L11" s="2140"/>
      <c r="M11" s="2134"/>
      <c r="N11" s="2134"/>
      <c r="O11" s="2141"/>
      <c r="P11" s="3368"/>
      <c r="Q11" s="1150">
        <f t="shared" si="6"/>
        <v>111</v>
      </c>
      <c r="R11" s="1567" t="s">
        <v>8</v>
      </c>
      <c r="S11" s="1568">
        <f t="shared" si="0"/>
        <v>100</v>
      </c>
      <c r="T11" s="1567" t="s">
        <v>8</v>
      </c>
      <c r="U11" s="1568">
        <f t="shared" si="1"/>
        <v>100</v>
      </c>
      <c r="V11" s="1567" t="s">
        <v>8</v>
      </c>
      <c r="W11" s="1568">
        <f t="shared" si="2"/>
        <v>100</v>
      </c>
      <c r="X11" s="1569"/>
      <c r="Y11" s="3325"/>
      <c r="Z11" s="1149">
        <f t="shared" si="7"/>
        <v>111</v>
      </c>
      <c r="AA11" s="1570">
        <f t="shared" si="3"/>
        <v>1</v>
      </c>
      <c r="AB11" s="1570">
        <f t="shared" si="4"/>
        <v>1</v>
      </c>
      <c r="AC11" s="1570">
        <f t="shared" si="5"/>
        <v>1</v>
      </c>
    </row>
    <row r="12" spans="1:29" s="1219" customFormat="1" ht="15">
      <c r="A12" s="2943"/>
      <c r="B12" s="2949">
        <v>111</v>
      </c>
      <c r="C12" s="530"/>
      <c r="D12" s="538">
        <v>100</v>
      </c>
      <c r="E12" s="530"/>
      <c r="F12" s="254">
        <f>SUMIF(59:59,E12,60:60)-SUMIF(59:59,C12,60:60)+100</f>
        <v>100</v>
      </c>
      <c r="G12" s="530"/>
      <c r="H12" s="254">
        <f>SUMIF(59:59,G12,60:60)-SUMIF(59:59,C12,60:60)+100</f>
        <v>100</v>
      </c>
      <c r="I12" s="530"/>
      <c r="J12" s="254">
        <f>SUMIF(59:59,I12,60:60)-SUMIF(59:59,C12,60:60)+100</f>
        <v>100</v>
      </c>
      <c r="K12" s="581"/>
      <c r="L12" s="2135"/>
      <c r="M12" s="2136"/>
      <c r="N12" s="2136"/>
      <c r="O12" s="2137"/>
      <c r="P12" s="3368"/>
      <c r="Q12" s="1150">
        <f t="shared" si="6"/>
        <v>111</v>
      </c>
      <c r="R12" s="1567" t="s">
        <v>8</v>
      </c>
      <c r="S12" s="1568">
        <f t="shared" si="0"/>
        <v>100</v>
      </c>
      <c r="T12" s="1567" t="s">
        <v>8</v>
      </c>
      <c r="U12" s="1568">
        <f t="shared" si="1"/>
        <v>100</v>
      </c>
      <c r="V12" s="1567" t="s">
        <v>8</v>
      </c>
      <c r="W12" s="1568">
        <f t="shared" si="2"/>
        <v>100</v>
      </c>
      <c r="X12" s="1569"/>
      <c r="Y12" s="3325"/>
      <c r="Z12" s="1149">
        <f t="shared" si="7"/>
        <v>111</v>
      </c>
      <c r="AA12" s="1570">
        <f>D12/F12</f>
        <v>1</v>
      </c>
      <c r="AB12" s="1570">
        <f>D12/H12</f>
        <v>1</v>
      </c>
      <c r="AC12" s="1570">
        <f>D12/J12</f>
        <v>1</v>
      </c>
    </row>
    <row r="13" spans="1:29" ht="15.75" thickBot="1">
      <c r="A13" s="2944"/>
      <c r="B13" s="2950">
        <v>111</v>
      </c>
      <c r="C13" s="539"/>
      <c r="D13" s="540">
        <v>100</v>
      </c>
      <c r="E13" s="530"/>
      <c r="F13" s="254">
        <f>SUMIF(61:61,E13,62:62)-SUMIF(61:61,C13,62:62)+100</f>
        <v>100</v>
      </c>
      <c r="G13" s="530"/>
      <c r="H13" s="540">
        <f>SUMIF(61:61,G13,62:62)-SUMIF(61:61,C13,62:62)+100</f>
        <v>100</v>
      </c>
      <c r="I13" s="530"/>
      <c r="J13" s="540">
        <f>SUMIF(61:61,I13,62:62)-SUMIF(61:61,C13,62:62)+100</f>
        <v>100</v>
      </c>
      <c r="K13" s="581"/>
      <c r="L13" s="2142"/>
      <c r="M13" s="2134"/>
      <c r="N13" s="2134"/>
      <c r="O13" s="2141"/>
      <c r="P13" s="3368"/>
      <c r="Q13" s="1150">
        <f t="shared" si="6"/>
        <v>111</v>
      </c>
      <c r="R13" s="1567" t="s">
        <v>8</v>
      </c>
      <c r="S13" s="1568">
        <f t="shared" si="0"/>
        <v>100</v>
      </c>
      <c r="T13" s="1567" t="s">
        <v>8</v>
      </c>
      <c r="U13" s="1568">
        <f t="shared" si="1"/>
        <v>100</v>
      </c>
      <c r="V13" s="1567" t="s">
        <v>8</v>
      </c>
      <c r="W13" s="1568">
        <f t="shared" si="2"/>
        <v>100</v>
      </c>
      <c r="X13" s="1569"/>
      <c r="Y13" s="3325"/>
      <c r="Z13" s="1149">
        <f t="shared" si="7"/>
        <v>111</v>
      </c>
      <c r="AA13" s="1570">
        <f t="shared" si="3"/>
        <v>1</v>
      </c>
      <c r="AB13" s="1570">
        <f t="shared" si="4"/>
        <v>1</v>
      </c>
      <c r="AC13" s="1570">
        <f t="shared" si="5"/>
        <v>1</v>
      </c>
    </row>
    <row r="14" spans="1:29" ht="114">
      <c r="A14" s="2936" t="s">
        <v>2759</v>
      </c>
      <c r="B14" s="547"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SUMIF(63:63,E15,64:64)-SUMIF(63:63,C15,64:64)+100</f>
        <v>100</v>
      </c>
      <c r="G14" s="552"/>
      <c r="H14" s="549">
        <f>SUMIF(63:63,G15,64:64)-SUMIF(63:63,C15,64:64)+100</f>
        <v>100</v>
      </c>
      <c r="I14" s="550"/>
      <c r="J14" s="549">
        <f>SUMIF(63:63,I15,64:64)-SUMIF(63:63,C15,64:64)+100</f>
        <v>100</v>
      </c>
      <c r="K14" s="897"/>
      <c r="L14" s="2142"/>
      <c r="M14" s="2134"/>
      <c r="N14" s="2134"/>
      <c r="O14" s="2141"/>
      <c r="P14" s="3370" t="s">
        <v>540</v>
      </c>
      <c r="Q14" s="1571" t="str">
        <f t="shared" si="6"/>
        <v>交通便捷度</v>
      </c>
      <c r="R14" s="1572" t="s">
        <v>8</v>
      </c>
      <c r="S14" s="1573">
        <f t="shared" si="0"/>
        <v>100</v>
      </c>
      <c r="T14" s="1572" t="s">
        <v>8</v>
      </c>
      <c r="U14" s="1573">
        <f t="shared" si="1"/>
        <v>100</v>
      </c>
      <c r="V14" s="1572" t="s">
        <v>8</v>
      </c>
      <c r="W14" s="1573">
        <f t="shared" si="2"/>
        <v>100</v>
      </c>
      <c r="X14" s="1566"/>
      <c r="Y14" s="3370" t="s">
        <v>540</v>
      </c>
      <c r="Z14" s="1574" t="str">
        <f t="shared" si="7"/>
        <v>交通便捷度</v>
      </c>
      <c r="AA14" s="1575">
        <f t="shared" si="3"/>
        <v>1</v>
      </c>
      <c r="AB14" s="1575">
        <f t="shared" si="4"/>
        <v>1</v>
      </c>
      <c r="AC14" s="1575">
        <f t="shared" si="5"/>
        <v>1</v>
      </c>
    </row>
    <row r="15" spans="1:29" ht="15">
      <c r="A15" s="517"/>
      <c r="B15" s="923"/>
      <c r="C15" s="576"/>
      <c r="D15" s="555"/>
      <c r="E15" s="576"/>
      <c r="F15" s="557"/>
      <c r="G15" s="576"/>
      <c r="H15" s="559"/>
      <c r="I15" s="576"/>
      <c r="J15" s="555"/>
      <c r="K15" s="898"/>
      <c r="L15" s="2142"/>
      <c r="M15" s="2134"/>
      <c r="N15" s="2134"/>
      <c r="O15" s="2141"/>
      <c r="P15" s="3371"/>
      <c r="Q15" s="1571"/>
      <c r="R15" s="1572"/>
      <c r="S15" s="1573"/>
      <c r="T15" s="1572"/>
      <c r="U15" s="1573"/>
      <c r="V15" s="1572"/>
      <c r="W15" s="1573"/>
      <c r="X15" s="1566"/>
      <c r="Y15" s="3371"/>
      <c r="Z15" s="1574"/>
      <c r="AA15" s="1575">
        <v>1</v>
      </c>
      <c r="AB15" s="1575">
        <v>1</v>
      </c>
      <c r="AC15" s="1575">
        <v>1</v>
      </c>
    </row>
    <row r="16" spans="1:29" ht="42.75">
      <c r="A16" s="517"/>
      <c r="B16" s="2627" t="s">
        <v>2549</v>
      </c>
      <c r="C16" s="872" t="str">
        <f>IF(B1="工业",估价对象房地状况!G5,估价对象房地状况!C7)</f>
        <v>估价对象所在区域公共配套设施齐备情况一般</v>
      </c>
      <c r="D16" s="565">
        <v>100</v>
      </c>
      <c r="E16" s="572"/>
      <c r="F16" s="571">
        <f>SUMIF(65:65,E17,66:66)-SUMIF(65:65,C17,66:66)+100</f>
        <v>100</v>
      </c>
      <c r="G16" s="572"/>
      <c r="H16" s="565">
        <f>SUMIF(65:65,G17,66:66)-SUMIF(65:65,C17,66:66)+100</f>
        <v>100</v>
      </c>
      <c r="I16" s="570"/>
      <c r="J16" s="565">
        <f>SUMIF(65:65,I17,66:66)-SUMIF(65:65,C17,66:66)+100</f>
        <v>100</v>
      </c>
      <c r="K16" s="897"/>
      <c r="L16" s="2142"/>
      <c r="M16" s="2134"/>
      <c r="N16" s="2134"/>
      <c r="O16" s="2141"/>
      <c r="P16" s="3371"/>
      <c r="Q16" s="1571" t="str">
        <f>B16</f>
        <v>公共配套设施</v>
      </c>
      <c r="R16" s="1572" t="s">
        <v>8</v>
      </c>
      <c r="S16" s="1573">
        <f>F16</f>
        <v>100</v>
      </c>
      <c r="T16" s="1572" t="s">
        <v>8</v>
      </c>
      <c r="U16" s="1573">
        <f>H16</f>
        <v>100</v>
      </c>
      <c r="V16" s="1572" t="s">
        <v>8</v>
      </c>
      <c r="W16" s="1573">
        <f>J16</f>
        <v>100</v>
      </c>
      <c r="X16" s="1566"/>
      <c r="Y16" s="3371"/>
      <c r="Z16" s="1574" t="str">
        <f>Q16</f>
        <v>公共配套设施</v>
      </c>
      <c r="AA16" s="1575">
        <f t="shared" si="3"/>
        <v>1</v>
      </c>
      <c r="AB16" s="1575">
        <f t="shared" si="4"/>
        <v>1</v>
      </c>
      <c r="AC16" s="1575">
        <f t="shared" si="5"/>
        <v>1</v>
      </c>
    </row>
    <row r="17" spans="1:29" ht="15">
      <c r="A17" s="517"/>
      <c r="B17" s="566"/>
      <c r="C17" s="873"/>
      <c r="D17" s="555"/>
      <c r="E17" s="576"/>
      <c r="F17" s="557"/>
      <c r="G17" s="576"/>
      <c r="H17" s="555"/>
      <c r="I17" s="576"/>
      <c r="J17" s="555"/>
      <c r="K17" s="898"/>
      <c r="L17" s="2142"/>
      <c r="M17" s="2134"/>
      <c r="N17" s="2134"/>
      <c r="O17" s="2141"/>
      <c r="P17" s="3371"/>
      <c r="Q17" s="1571"/>
      <c r="R17" s="1572"/>
      <c r="S17" s="1573"/>
      <c r="T17" s="1572"/>
      <c r="U17" s="1573"/>
      <c r="V17" s="1572"/>
      <c r="W17" s="1573"/>
      <c r="X17" s="1566"/>
      <c r="Y17" s="3371"/>
      <c r="Z17" s="1574"/>
      <c r="AA17" s="1575">
        <v>1</v>
      </c>
      <c r="AB17" s="1575">
        <v>1</v>
      </c>
      <c r="AC17" s="1575">
        <v>1</v>
      </c>
    </row>
    <row r="18" spans="1:29" ht="42.75">
      <c r="A18" s="517"/>
      <c r="B18" s="2615" t="s">
        <v>2561</v>
      </c>
      <c r="C18" s="872" t="str">
        <f>IF(B1="工业",估价对象房地状况!G6,估价对象房地状况!C8)</f>
        <v>估价对象所在区域基础设施水平-六通</v>
      </c>
      <c r="D18" s="559">
        <v>100</v>
      </c>
      <c r="E18" s="572"/>
      <c r="F18" s="571">
        <f>SUMIF(67:67,E19,68:68)-SUMIF(67:67,C19,68:68)+100</f>
        <v>100</v>
      </c>
      <c r="G18" s="572"/>
      <c r="H18" s="565">
        <f>SUMIF(67:67,G19,68:68)-SUMIF(67:67,C19,68:68)+100</f>
        <v>100</v>
      </c>
      <c r="I18" s="570"/>
      <c r="J18" s="565">
        <f>SUMIF(67:67,I19,68:68)-SUMIF(67:67,C19,68:68)+100</f>
        <v>100</v>
      </c>
      <c r="K18" s="897"/>
      <c r="L18" s="2142"/>
      <c r="M18" s="2134"/>
      <c r="N18" s="2134"/>
      <c r="O18" s="2141"/>
      <c r="P18" s="3371"/>
      <c r="Q18" s="2603" t="str">
        <f>B18</f>
        <v>基础设施水平</v>
      </c>
      <c r="R18" s="1572" t="s">
        <v>8</v>
      </c>
      <c r="S18" s="1573">
        <f>F18</f>
        <v>100</v>
      </c>
      <c r="T18" s="1572" t="s">
        <v>8</v>
      </c>
      <c r="U18" s="1573">
        <f>H18</f>
        <v>100</v>
      </c>
      <c r="V18" s="1572" t="s">
        <v>8</v>
      </c>
      <c r="W18" s="1573">
        <f>J18</f>
        <v>100</v>
      </c>
      <c r="X18" s="2605"/>
      <c r="Y18" s="3371"/>
      <c r="Z18" s="2604" t="str">
        <f>Q18</f>
        <v>基础设施水平</v>
      </c>
      <c r="AA18" s="1575">
        <f t="shared" ref="AA18" si="8">D18/F18</f>
        <v>1</v>
      </c>
      <c r="AB18" s="1575">
        <f t="shared" ref="AB18" si="9">D18/H18</f>
        <v>1</v>
      </c>
      <c r="AC18" s="1575">
        <f t="shared" ref="AC18" si="10">D18/J18</f>
        <v>1</v>
      </c>
    </row>
    <row r="19" spans="1:29" ht="15">
      <c r="A19" s="517"/>
      <c r="B19" s="578"/>
      <c r="C19" s="873"/>
      <c r="D19" s="559"/>
      <c r="E19" s="576"/>
      <c r="F19" s="557"/>
      <c r="G19" s="576"/>
      <c r="H19" s="555"/>
      <c r="I19" s="576"/>
      <c r="J19" s="555"/>
      <c r="K19" s="2626"/>
      <c r="L19" s="2142"/>
      <c r="M19" s="2134"/>
      <c r="N19" s="2134"/>
      <c r="O19" s="2141"/>
      <c r="P19" s="3371"/>
      <c r="Q19" s="2603"/>
      <c r="R19" s="1572"/>
      <c r="S19" s="1573"/>
      <c r="T19" s="1572"/>
      <c r="U19" s="1573"/>
      <c r="V19" s="1572"/>
      <c r="W19" s="1573"/>
      <c r="X19" s="2605"/>
      <c r="Y19" s="3371"/>
      <c r="Z19" s="2604"/>
      <c r="AA19" s="1575">
        <v>1</v>
      </c>
      <c r="AB19" s="1575">
        <v>1</v>
      </c>
      <c r="AC19" s="1575">
        <v>1</v>
      </c>
    </row>
    <row r="20" spans="1:29" ht="57">
      <c r="A20" s="517"/>
      <c r="B20" s="560" t="s">
        <v>803</v>
      </c>
      <c r="C20" s="872" t="str">
        <f>IF(B1="工业",估价对象房地状况!G7,估价对象房地状况!C9)</f>
        <v>周边2公里内有长沙医学院、观音岩水库，区域自然环境较好</v>
      </c>
      <c r="D20" s="565">
        <v>100</v>
      </c>
      <c r="E20" s="562"/>
      <c r="F20" s="563">
        <f>SUMIF(69:69,E21,70:70)-SUMIF(69:69,C21,70:70)+100</f>
        <v>100</v>
      </c>
      <c r="G20" s="564"/>
      <c r="H20" s="559">
        <f>SUMIF(69:69,G21,70:70)-SUMIF(69:69,C21,70:70)+100</f>
        <v>100</v>
      </c>
      <c r="I20" s="562"/>
      <c r="J20" s="559">
        <f>SUMIF(69:69,I21,70:70)-SUMIF(69:69,C21,70:70)+100</f>
        <v>100</v>
      </c>
      <c r="K20" s="897"/>
      <c r="L20" s="2142"/>
      <c r="M20" s="2134"/>
      <c r="N20" s="2134"/>
      <c r="O20" s="2141"/>
      <c r="P20" s="3371"/>
      <c r="Q20" s="1571" t="str">
        <f>B20</f>
        <v>自然及人文环境</v>
      </c>
      <c r="R20" s="1572" t="s">
        <v>8</v>
      </c>
      <c r="S20" s="1573">
        <f>F20</f>
        <v>100</v>
      </c>
      <c r="T20" s="1572" t="s">
        <v>8</v>
      </c>
      <c r="U20" s="1573">
        <f>H20</f>
        <v>100</v>
      </c>
      <c r="V20" s="1572" t="s">
        <v>8</v>
      </c>
      <c r="W20" s="1573">
        <f>J20</f>
        <v>100</v>
      </c>
      <c r="X20" s="1566"/>
      <c r="Y20" s="3371"/>
      <c r="Z20" s="1574" t="str">
        <f>Q20</f>
        <v>自然及人文环境</v>
      </c>
      <c r="AA20" s="1575">
        <f t="shared" si="3"/>
        <v>1</v>
      </c>
      <c r="AB20" s="1575">
        <f t="shared" si="4"/>
        <v>1</v>
      </c>
      <c r="AC20" s="1575">
        <f t="shared" si="5"/>
        <v>1</v>
      </c>
    </row>
    <row r="21" spans="1:29" ht="15">
      <c r="A21" s="517"/>
      <c r="B21" s="566"/>
      <c r="C21" s="576"/>
      <c r="D21" s="555"/>
      <c r="E21" s="576"/>
      <c r="F21" s="557"/>
      <c r="G21" s="576"/>
      <c r="H21" s="555"/>
      <c r="I21" s="576"/>
      <c r="J21" s="555"/>
      <c r="K21" s="898"/>
      <c r="L21" s="2142"/>
      <c r="M21" s="2134"/>
      <c r="N21" s="2134"/>
      <c r="O21" s="2141"/>
      <c r="P21" s="3371"/>
      <c r="Q21" s="1571"/>
      <c r="R21" s="1572"/>
      <c r="S21" s="1573"/>
      <c r="T21" s="1572"/>
      <c r="U21" s="1573"/>
      <c r="V21" s="1572"/>
      <c r="W21" s="1573"/>
      <c r="X21" s="1566"/>
      <c r="Y21" s="3371"/>
      <c r="Z21" s="1574"/>
      <c r="AA21" s="1575">
        <v>1</v>
      </c>
      <c r="AB21" s="1575">
        <v>1</v>
      </c>
      <c r="AC21" s="1575">
        <v>1</v>
      </c>
    </row>
    <row r="22" spans="1:29" ht="15">
      <c r="A22" s="517"/>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371"/>
      <c r="Q22" s="1571" t="str">
        <f>B22</f>
        <v>楼层</v>
      </c>
      <c r="R22" s="1572" t="s">
        <v>8</v>
      </c>
      <c r="S22" s="1573">
        <f>F22</f>
        <v>100</v>
      </c>
      <c r="T22" s="1572" t="s">
        <v>8</v>
      </c>
      <c r="U22" s="1573">
        <f>H22</f>
        <v>100</v>
      </c>
      <c r="V22" s="1572" t="s">
        <v>8</v>
      </c>
      <c r="W22" s="1573">
        <f>J22</f>
        <v>100</v>
      </c>
      <c r="X22" s="1566"/>
      <c r="Y22" s="3371"/>
      <c r="Z22" s="1574" t="str">
        <f>Q22</f>
        <v>楼层</v>
      </c>
      <c r="AA22" s="1575">
        <f t="shared" si="3"/>
        <v>1</v>
      </c>
      <c r="AB22" s="1575">
        <f t="shared" si="4"/>
        <v>1</v>
      </c>
      <c r="AC22" s="1575">
        <f t="shared" si="5"/>
        <v>1</v>
      </c>
    </row>
    <row r="23" spans="1:29" ht="15">
      <c r="A23" s="517"/>
      <c r="B23" s="924">
        <v>111</v>
      </c>
      <c r="C23" s="530"/>
      <c r="D23" s="540">
        <v>100</v>
      </c>
      <c r="E23" s="530"/>
      <c r="F23" s="575">
        <f>SUMIF(73:73,E23,74:74)-SUMIF(73:73,C23,74:74)+100</f>
        <v>100</v>
      </c>
      <c r="G23" s="530"/>
      <c r="H23" s="540">
        <f>SUMIF(73:73,G23,74:74)-SUMIF(73:73,C23,74:74)+100</f>
        <v>100</v>
      </c>
      <c r="I23" s="530"/>
      <c r="J23" s="540">
        <f>SUMIF(73:73,I23,74:74)-SUMIF(73:73,C23,74:74)+100</f>
        <v>100</v>
      </c>
      <c r="K23" s="581"/>
      <c r="L23" s="2142"/>
      <c r="M23" s="2134"/>
      <c r="N23" s="2134"/>
      <c r="O23" s="2141"/>
      <c r="P23" s="3371"/>
      <c r="Q23" s="1571">
        <f>B23</f>
        <v>111</v>
      </c>
      <c r="R23" s="1572" t="s">
        <v>8</v>
      </c>
      <c r="S23" s="1573">
        <f>F23</f>
        <v>100</v>
      </c>
      <c r="T23" s="1572" t="s">
        <v>8</v>
      </c>
      <c r="U23" s="1573">
        <f>H23</f>
        <v>100</v>
      </c>
      <c r="V23" s="1572" t="s">
        <v>8</v>
      </c>
      <c r="W23" s="1573">
        <f>J23</f>
        <v>100</v>
      </c>
      <c r="X23" s="1566"/>
      <c r="Y23" s="3371"/>
      <c r="Z23" s="1574">
        <f>Q23</f>
        <v>111</v>
      </c>
      <c r="AA23" s="1575">
        <f t="shared" si="3"/>
        <v>1</v>
      </c>
      <c r="AB23" s="1575">
        <f t="shared" si="4"/>
        <v>1</v>
      </c>
      <c r="AC23" s="1575">
        <f t="shared" si="5"/>
        <v>1</v>
      </c>
    </row>
    <row r="24" spans="1:29" ht="15">
      <c r="A24" s="517"/>
      <c r="B24" s="924">
        <v>111</v>
      </c>
      <c r="C24" s="530"/>
      <c r="D24" s="540">
        <v>100</v>
      </c>
      <c r="E24" s="530"/>
      <c r="F24" s="575">
        <f>SUMIF(75:75,E24,76:76)-SUMIF(75:75,C24,76:76)+100</f>
        <v>100</v>
      </c>
      <c r="G24" s="530"/>
      <c r="H24" s="540">
        <f>SUMIF(75:75,G24,76:76)-SUMIF(75:75,C24,76:76)+100</f>
        <v>100</v>
      </c>
      <c r="I24" s="530"/>
      <c r="J24" s="540">
        <f>SUMIF(75:75,I24,76:76)-SUMIF(75:75,C24,76:76)+100</f>
        <v>100</v>
      </c>
      <c r="K24" s="581"/>
      <c r="L24" s="2142"/>
      <c r="M24" s="2134"/>
      <c r="N24" s="2134"/>
      <c r="O24" s="2141"/>
      <c r="P24" s="3371"/>
      <c r="Q24" s="1571">
        <f t="shared" ref="Q24:Q36" si="11">B24</f>
        <v>111</v>
      </c>
      <c r="R24" s="1572" t="s">
        <v>8</v>
      </c>
      <c r="S24" s="1573">
        <f>F24</f>
        <v>100</v>
      </c>
      <c r="T24" s="1572" t="s">
        <v>8</v>
      </c>
      <c r="U24" s="1573">
        <f>H24</f>
        <v>100</v>
      </c>
      <c r="V24" s="1572" t="s">
        <v>8</v>
      </c>
      <c r="W24" s="1573">
        <f>J24</f>
        <v>100</v>
      </c>
      <c r="X24" s="1566"/>
      <c r="Y24" s="3371"/>
      <c r="Z24" s="1574">
        <f>Q24</f>
        <v>111</v>
      </c>
      <c r="AA24" s="1575">
        <f t="shared" si="3"/>
        <v>1</v>
      </c>
      <c r="AB24" s="1575">
        <f t="shared" si="4"/>
        <v>1</v>
      </c>
      <c r="AC24" s="1575">
        <f t="shared" si="5"/>
        <v>1</v>
      </c>
    </row>
    <row r="25" spans="1:29" s="1219" customFormat="1" ht="15.75"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35"/>
      <c r="M25" s="2136"/>
      <c r="N25" s="2136"/>
      <c r="O25" s="2137"/>
      <c r="P25" s="3371"/>
      <c r="Q25" s="1150">
        <f t="shared" si="11"/>
        <v>111</v>
      </c>
      <c r="R25" s="1567" t="s">
        <v>8</v>
      </c>
      <c r="S25" s="1568">
        <f>F25</f>
        <v>100</v>
      </c>
      <c r="T25" s="1567" t="s">
        <v>8</v>
      </c>
      <c r="U25" s="1568">
        <f>H25</f>
        <v>100</v>
      </c>
      <c r="V25" s="1567" t="s">
        <v>8</v>
      </c>
      <c r="W25" s="1568">
        <f>J25</f>
        <v>100</v>
      </c>
      <c r="X25" s="1569"/>
      <c r="Y25" s="3371"/>
      <c r="Z25" s="1149">
        <f>Q25</f>
        <v>111</v>
      </c>
      <c r="AA25" s="1575">
        <f>D25/F25</f>
        <v>1</v>
      </c>
      <c r="AB25" s="1575">
        <f>D25/H25</f>
        <v>1</v>
      </c>
      <c r="AC25" s="1575">
        <f>D25/J25</f>
        <v>1</v>
      </c>
    </row>
    <row r="26" spans="1:29" ht="15">
      <c r="A26" s="2933" t="s">
        <v>2760</v>
      </c>
      <c r="B26" s="170" t="s">
        <v>805</v>
      </c>
      <c r="C26" s="927">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372" t="s">
        <v>550</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373" t="s">
        <v>550</v>
      </c>
      <c r="Z26" s="1574" t="str">
        <f t="shared" ref="Z26:Z36" si="15">Q26</f>
        <v>配套类型</v>
      </c>
      <c r="AA26" s="1575">
        <f t="shared" si="3"/>
        <v>1</v>
      </c>
      <c r="AB26" s="1575">
        <f t="shared" si="4"/>
        <v>1</v>
      </c>
      <c r="AC26" s="1575">
        <f t="shared" si="5"/>
        <v>1</v>
      </c>
    </row>
    <row r="27" spans="1:29" s="1338" customFormat="1" ht="15">
      <c r="A27" s="928"/>
      <c r="B27" s="582" t="s">
        <v>806</v>
      </c>
      <c r="C27" s="929"/>
      <c r="D27" s="254">
        <v>100</v>
      </c>
      <c r="E27" s="929"/>
      <c r="F27" s="575">
        <f>SUMIF(81:81,E27,82:82)-SUMIF(81:81,C27,82:82)+100</f>
        <v>100</v>
      </c>
      <c r="G27" s="929"/>
      <c r="H27" s="540">
        <f>SUMIF(81:81,G27,82:82)-SUMIF(81:81,C27,82:82)+100</f>
        <v>100</v>
      </c>
      <c r="I27" s="929"/>
      <c r="J27" s="540">
        <f>SUMIF(81:81,I27,82:82)-SUMIF(81:81,C27,82:82)+100</f>
        <v>100</v>
      </c>
      <c r="K27" s="581"/>
      <c r="L27" s="2140"/>
      <c r="M27" s="2171"/>
      <c r="N27" s="2171"/>
      <c r="O27" s="2143"/>
      <c r="P27" s="3373"/>
      <c r="Q27" s="1604" t="str">
        <f t="shared" si="11"/>
        <v>项目停车位配比</v>
      </c>
      <c r="R27" s="1576" t="s">
        <v>8</v>
      </c>
      <c r="S27" s="1577">
        <f t="shared" si="12"/>
        <v>100</v>
      </c>
      <c r="T27" s="1576" t="s">
        <v>8</v>
      </c>
      <c r="U27" s="1577">
        <f t="shared" si="13"/>
        <v>100</v>
      </c>
      <c r="V27" s="1576" t="s">
        <v>8</v>
      </c>
      <c r="W27" s="1577">
        <f t="shared" si="14"/>
        <v>100</v>
      </c>
      <c r="X27" s="1578"/>
      <c r="Y27" s="3373"/>
      <c r="Z27" s="1579" t="str">
        <f t="shared" si="15"/>
        <v>项目停车位配比</v>
      </c>
      <c r="AA27" s="1575">
        <f t="shared" si="3"/>
        <v>1</v>
      </c>
      <c r="AB27" s="1575">
        <f t="shared" si="4"/>
        <v>1</v>
      </c>
      <c r="AC27" s="1575">
        <f t="shared" si="5"/>
        <v>1</v>
      </c>
    </row>
    <row r="28" spans="1:29" ht="15">
      <c r="A28" s="930"/>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373"/>
      <c r="Q28" s="1571" t="str">
        <f t="shared" si="11"/>
        <v>公共部分装修</v>
      </c>
      <c r="R28" s="1572" t="s">
        <v>8</v>
      </c>
      <c r="S28" s="1573">
        <f t="shared" si="12"/>
        <v>100</v>
      </c>
      <c r="T28" s="1572" t="s">
        <v>8</v>
      </c>
      <c r="U28" s="1573">
        <f t="shared" si="13"/>
        <v>100</v>
      </c>
      <c r="V28" s="1572" t="s">
        <v>8</v>
      </c>
      <c r="W28" s="1573">
        <f t="shared" si="14"/>
        <v>100</v>
      </c>
      <c r="X28" s="1566"/>
      <c r="Y28" s="3373"/>
      <c r="Z28" s="1574" t="str">
        <f t="shared" si="15"/>
        <v>公共部分装修</v>
      </c>
      <c r="AA28" s="1575">
        <f t="shared" si="3"/>
        <v>1</v>
      </c>
      <c r="AB28" s="1575">
        <f t="shared" si="4"/>
        <v>1</v>
      </c>
      <c r="AC28" s="1575">
        <f t="shared" si="5"/>
        <v>1</v>
      </c>
    </row>
    <row r="29" spans="1:29" ht="15">
      <c r="A29" s="930"/>
      <c r="B29" s="582" t="s">
        <v>808</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42"/>
      <c r="M29" s="2134"/>
      <c r="N29" s="2134"/>
      <c r="O29" s="2141"/>
      <c r="P29" s="3373"/>
      <c r="Q29" s="1571" t="str">
        <f t="shared" si="11"/>
        <v>成新率</v>
      </c>
      <c r="R29" s="1572" t="s">
        <v>8</v>
      </c>
      <c r="S29" s="1573" t="e">
        <f t="shared" si="12"/>
        <v>#N/A</v>
      </c>
      <c r="T29" s="1572" t="s">
        <v>8</v>
      </c>
      <c r="U29" s="1573" t="e">
        <f t="shared" si="13"/>
        <v>#N/A</v>
      </c>
      <c r="V29" s="1572" t="s">
        <v>8</v>
      </c>
      <c r="W29" s="1573" t="e">
        <f t="shared" si="14"/>
        <v>#N/A</v>
      </c>
      <c r="X29" s="1566"/>
      <c r="Y29" s="3373"/>
      <c r="Z29" s="1574" t="str">
        <f t="shared" si="15"/>
        <v>成新率</v>
      </c>
      <c r="AA29" s="1575" t="e">
        <f t="shared" si="3"/>
        <v>#N/A</v>
      </c>
      <c r="AB29" s="1575" t="e">
        <f t="shared" si="4"/>
        <v>#N/A</v>
      </c>
      <c r="AC29" s="1575" t="e">
        <f t="shared" si="5"/>
        <v>#N/A</v>
      </c>
    </row>
    <row r="30" spans="1:29" ht="15">
      <c r="A30" s="930"/>
      <c r="B30" s="582" t="s">
        <v>809</v>
      </c>
      <c r="C30" s="931"/>
      <c r="D30" s="540">
        <v>100</v>
      </c>
      <c r="E30" s="931"/>
      <c r="F30" s="575">
        <f>SUMIF(88:88,E30,89:89)-SUMIF(88:88,C30,89:89)+100</f>
        <v>100</v>
      </c>
      <c r="G30" s="931"/>
      <c r="H30" s="540">
        <f>SUMIF(88:88,E30,89:89)-SUMIF(88:88,C30,89:89)+100</f>
        <v>100</v>
      </c>
      <c r="I30" s="931"/>
      <c r="J30" s="540">
        <f>SUMIF(88:88,E30,89:89)-SUMIF(88:88,C30,89:89)+100</f>
        <v>100</v>
      </c>
      <c r="K30" s="584"/>
      <c r="L30" s="2142"/>
      <c r="M30" s="2134"/>
      <c r="N30" s="2134"/>
      <c r="O30" s="2141"/>
      <c r="P30" s="3373"/>
      <c r="Q30" s="1571" t="str">
        <f t="shared" si="11"/>
        <v>物业等级</v>
      </c>
      <c r="R30" s="1572" t="s">
        <v>8</v>
      </c>
      <c r="S30" s="1573">
        <f t="shared" si="12"/>
        <v>100</v>
      </c>
      <c r="T30" s="1572" t="s">
        <v>8</v>
      </c>
      <c r="U30" s="1573">
        <f t="shared" si="13"/>
        <v>100</v>
      </c>
      <c r="V30" s="1572" t="s">
        <v>8</v>
      </c>
      <c r="W30" s="1573">
        <f t="shared" si="14"/>
        <v>100</v>
      </c>
      <c r="X30" s="1566"/>
      <c r="Y30" s="3373"/>
      <c r="Z30" s="1574" t="str">
        <f t="shared" si="15"/>
        <v>物业等级</v>
      </c>
      <c r="AA30" s="1575">
        <f t="shared" si="3"/>
        <v>1</v>
      </c>
      <c r="AB30" s="1575">
        <f t="shared" si="4"/>
        <v>1</v>
      </c>
      <c r="AC30" s="1575">
        <f t="shared" si="5"/>
        <v>1</v>
      </c>
    </row>
    <row r="31" spans="1:29" s="1219" customFormat="1" ht="15">
      <c r="A31" s="932"/>
      <c r="B31" s="582" t="s">
        <v>810</v>
      </c>
      <c r="C31" s="879"/>
      <c r="D31" s="254">
        <v>100</v>
      </c>
      <c r="E31" s="879"/>
      <c r="F31" s="575" t="e">
        <f>LOOKUP(E31,91:91,92:92)-LOOKUP(C31,91:91,92:92)+100</f>
        <v>#N/A</v>
      </c>
      <c r="G31" s="879"/>
      <c r="H31" s="540" t="e">
        <f>LOOKUP(G31,91:91,92:92)-LOOKUP(C31,91:91,92:92)+100</f>
        <v>#N/A</v>
      </c>
      <c r="I31" s="879"/>
      <c r="J31" s="540" t="e">
        <f>LOOKUP(I31,91:91,92:92)-LOOKUP(C31,91:91,92:92)+100</f>
        <v>#N/A</v>
      </c>
      <c r="K31" s="584"/>
      <c r="L31" s="2135"/>
      <c r="M31" s="2136"/>
      <c r="N31" s="2136"/>
      <c r="O31" s="2137"/>
      <c r="P31" s="3373"/>
      <c r="Q31" s="1150" t="str">
        <f t="shared" si="11"/>
        <v>停车位面积</v>
      </c>
      <c r="R31" s="1567" t="s">
        <v>8</v>
      </c>
      <c r="S31" s="1568" t="e">
        <f t="shared" si="12"/>
        <v>#N/A</v>
      </c>
      <c r="T31" s="1567" t="s">
        <v>8</v>
      </c>
      <c r="U31" s="1568" t="e">
        <f t="shared" si="13"/>
        <v>#N/A</v>
      </c>
      <c r="V31" s="1567" t="s">
        <v>8</v>
      </c>
      <c r="W31" s="1568" t="e">
        <f t="shared" si="14"/>
        <v>#N/A</v>
      </c>
      <c r="X31" s="1569"/>
      <c r="Y31" s="3373"/>
      <c r="Z31" s="1149" t="str">
        <f t="shared" si="15"/>
        <v>停车位面积</v>
      </c>
      <c r="AA31" s="1570" t="e">
        <f t="shared" si="3"/>
        <v>#N/A</v>
      </c>
      <c r="AB31" s="1570" t="e">
        <f t="shared" si="4"/>
        <v>#N/A</v>
      </c>
      <c r="AC31" s="1570" t="e">
        <f t="shared" si="5"/>
        <v>#N/A</v>
      </c>
    </row>
    <row r="32" spans="1:29" ht="15">
      <c r="A32" s="930"/>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373" t="s">
        <v>550</v>
      </c>
      <c r="Q32" s="1571" t="str">
        <f t="shared" si="11"/>
        <v>车位类型</v>
      </c>
      <c r="R32" s="1572" t="s">
        <v>8</v>
      </c>
      <c r="S32" s="1573">
        <f t="shared" si="12"/>
        <v>100</v>
      </c>
      <c r="T32" s="1572" t="s">
        <v>8</v>
      </c>
      <c r="U32" s="1573">
        <f t="shared" si="13"/>
        <v>100</v>
      </c>
      <c r="V32" s="1572" t="s">
        <v>8</v>
      </c>
      <c r="W32" s="1573">
        <f t="shared" si="14"/>
        <v>100</v>
      </c>
      <c r="X32" s="1566"/>
      <c r="Y32" s="3373" t="s">
        <v>550</v>
      </c>
      <c r="Z32" s="1574" t="str">
        <f t="shared" si="15"/>
        <v>车位类型</v>
      </c>
      <c r="AA32" s="1575">
        <f t="shared" si="3"/>
        <v>1</v>
      </c>
      <c r="AB32" s="1575">
        <f t="shared" si="4"/>
        <v>1</v>
      </c>
      <c r="AC32" s="1575">
        <f t="shared" si="5"/>
        <v>1</v>
      </c>
    </row>
    <row r="33" spans="1:29" ht="15">
      <c r="A33" s="930"/>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373"/>
      <c r="Q33" s="1571" t="str">
        <f t="shared" si="11"/>
        <v>是否直接入户</v>
      </c>
      <c r="R33" s="1572" t="s">
        <v>8</v>
      </c>
      <c r="S33" s="1573">
        <f t="shared" si="12"/>
        <v>100</v>
      </c>
      <c r="T33" s="1572" t="s">
        <v>8</v>
      </c>
      <c r="U33" s="1573">
        <f t="shared" si="13"/>
        <v>100</v>
      </c>
      <c r="V33" s="1572" t="s">
        <v>8</v>
      </c>
      <c r="W33" s="1573">
        <f t="shared" si="14"/>
        <v>100</v>
      </c>
      <c r="X33" s="1566"/>
      <c r="Y33" s="3373"/>
      <c r="Z33" s="1574" t="str">
        <f t="shared" si="15"/>
        <v>是否直接入户</v>
      </c>
      <c r="AA33" s="1575">
        <f t="shared" si="3"/>
        <v>1</v>
      </c>
      <c r="AB33" s="1575">
        <f t="shared" si="4"/>
        <v>1</v>
      </c>
      <c r="AC33" s="1575">
        <f t="shared" si="5"/>
        <v>1</v>
      </c>
    </row>
    <row r="34" spans="1:29" ht="15">
      <c r="A34" s="930"/>
      <c r="B34" s="924">
        <v>111</v>
      </c>
      <c r="C34" s="530"/>
      <c r="D34" s="540">
        <v>100</v>
      </c>
      <c r="E34" s="530"/>
      <c r="F34" s="575">
        <f>SUMIF(97:97,E34,98:98)-SUMIF(97:97,C34,98:98)+100</f>
        <v>100</v>
      </c>
      <c r="G34" s="530"/>
      <c r="H34" s="540">
        <f>SUMIF(97:97,G34,98:98)-SUMIF(97:97,C34,98:98)+100</f>
        <v>100</v>
      </c>
      <c r="I34" s="530"/>
      <c r="J34" s="540">
        <f>SUMIF(97:97,I34,98:98)-SUMIF(97:97,C34,98:98)+100</f>
        <v>100</v>
      </c>
      <c r="K34" s="581"/>
      <c r="L34" s="2142"/>
      <c r="M34" s="2134"/>
      <c r="N34" s="2134"/>
      <c r="O34" s="2141"/>
      <c r="P34" s="3373"/>
      <c r="Q34" s="1571">
        <f t="shared" si="11"/>
        <v>111</v>
      </c>
      <c r="R34" s="1572" t="s">
        <v>8</v>
      </c>
      <c r="S34" s="1573">
        <f t="shared" si="12"/>
        <v>100</v>
      </c>
      <c r="T34" s="1572" t="s">
        <v>8</v>
      </c>
      <c r="U34" s="1573">
        <f t="shared" si="13"/>
        <v>100</v>
      </c>
      <c r="V34" s="1572" t="s">
        <v>8</v>
      </c>
      <c r="W34" s="1573">
        <f t="shared" si="14"/>
        <v>100</v>
      </c>
      <c r="X34" s="1566"/>
      <c r="Y34" s="3373"/>
      <c r="Z34" s="1574">
        <f t="shared" si="15"/>
        <v>111</v>
      </c>
      <c r="AA34" s="1575">
        <f t="shared" si="3"/>
        <v>1</v>
      </c>
      <c r="AB34" s="1575">
        <f t="shared" si="4"/>
        <v>1</v>
      </c>
      <c r="AC34" s="1575">
        <f t="shared" si="5"/>
        <v>1</v>
      </c>
    </row>
    <row r="35" spans="1:29" s="1338" customFormat="1" ht="15">
      <c r="A35" s="928"/>
      <c r="B35" s="924">
        <v>111</v>
      </c>
      <c r="C35" s="530"/>
      <c r="D35" s="540">
        <v>100</v>
      </c>
      <c r="E35" s="530"/>
      <c r="F35" s="575">
        <f>SUMIF(99:99,E35,100:100)-SUMIF(99:99,C35,100:100)+100</f>
        <v>100</v>
      </c>
      <c r="G35" s="530"/>
      <c r="H35" s="540">
        <f>SUMIF(99:99,G35,100:100)-SUMIF(99:99,C35,100:100)+100</f>
        <v>100</v>
      </c>
      <c r="I35" s="530"/>
      <c r="J35" s="540">
        <f>SUMIF(99:99,I35,100:100)-SUMIF(99:99,C35,100:100)+100</f>
        <v>100</v>
      </c>
      <c r="K35" s="581"/>
      <c r="L35" s="2140"/>
      <c r="M35" s="2171"/>
      <c r="N35" s="2171"/>
      <c r="O35" s="2143"/>
      <c r="P35" s="3373"/>
      <c r="Q35" s="1604">
        <f t="shared" si="11"/>
        <v>111</v>
      </c>
      <c r="R35" s="1576" t="s">
        <v>8</v>
      </c>
      <c r="S35" s="1577">
        <f t="shared" si="12"/>
        <v>100</v>
      </c>
      <c r="T35" s="1576" t="s">
        <v>8</v>
      </c>
      <c r="U35" s="1577">
        <f t="shared" si="13"/>
        <v>100</v>
      </c>
      <c r="V35" s="1576" t="s">
        <v>8</v>
      </c>
      <c r="W35" s="1577">
        <f t="shared" si="14"/>
        <v>100</v>
      </c>
      <c r="X35" s="1578"/>
      <c r="Y35" s="3373"/>
      <c r="Z35" s="1579">
        <f t="shared" si="15"/>
        <v>111</v>
      </c>
      <c r="AA35" s="1575">
        <f t="shared" si="3"/>
        <v>1</v>
      </c>
      <c r="AB35" s="1575">
        <f t="shared" si="4"/>
        <v>1</v>
      </c>
      <c r="AC35" s="1575">
        <f t="shared" si="5"/>
        <v>1</v>
      </c>
    </row>
    <row r="36" spans="1:29" ht="15.75" thickBot="1">
      <c r="A36" s="933"/>
      <c r="B36" s="913">
        <v>111</v>
      </c>
      <c r="C36" s="539"/>
      <c r="D36" s="540">
        <v>100</v>
      </c>
      <c r="E36" s="530"/>
      <c r="F36" s="575">
        <f>SUMIF(101:101,E36,102:102)-SUMIF(101:101,C36,102:102)+100</f>
        <v>100</v>
      </c>
      <c r="G36" s="530"/>
      <c r="H36" s="540">
        <f>SUMIF(101:101,G36,102:102)-SUMIF(101:101,C36,102:102)+100</f>
        <v>100</v>
      </c>
      <c r="I36" s="530"/>
      <c r="J36" s="540">
        <f>SUMIF(101:101,I36,102:102)-SUMIF(101:101,C36,102:102)+100</f>
        <v>100</v>
      </c>
      <c r="K36" s="581"/>
      <c r="L36" s="2142"/>
      <c r="M36" s="2134"/>
      <c r="N36" s="2134"/>
      <c r="O36" s="2141"/>
      <c r="P36" s="3373"/>
      <c r="Q36" s="1571">
        <f t="shared" si="11"/>
        <v>111</v>
      </c>
      <c r="R36" s="1572" t="s">
        <v>8</v>
      </c>
      <c r="S36" s="1573">
        <f t="shared" si="12"/>
        <v>100</v>
      </c>
      <c r="T36" s="1572" t="s">
        <v>8</v>
      </c>
      <c r="U36" s="1573">
        <f t="shared" si="13"/>
        <v>100</v>
      </c>
      <c r="V36" s="1572" t="s">
        <v>8</v>
      </c>
      <c r="W36" s="1573">
        <f t="shared" si="14"/>
        <v>100</v>
      </c>
      <c r="X36" s="1566"/>
      <c r="Y36" s="3373"/>
      <c r="Z36" s="1574">
        <f t="shared" si="15"/>
        <v>111</v>
      </c>
      <c r="AA36" s="1575">
        <f t="shared" si="3"/>
        <v>1</v>
      </c>
      <c r="AB36" s="1575">
        <f t="shared" si="4"/>
        <v>1</v>
      </c>
      <c r="AC36" s="1575">
        <f t="shared" si="5"/>
        <v>1</v>
      </c>
    </row>
    <row r="37" spans="1:29" ht="15">
      <c r="A37" s="1846" t="s">
        <v>2078</v>
      </c>
      <c r="B37" s="1847" t="s">
        <v>2079</v>
      </c>
      <c r="C37" s="2651" t="s">
        <v>1</v>
      </c>
      <c r="D37" s="2652"/>
      <c r="E37" s="2653"/>
      <c r="F37" s="2654"/>
      <c r="G37" s="2655"/>
      <c r="H37" s="2656"/>
      <c r="I37" s="2653"/>
      <c r="J37" s="2656"/>
      <c r="K37" s="1610"/>
      <c r="L37" s="2144"/>
      <c r="M37" s="2145"/>
      <c r="N37" s="2134"/>
      <c r="O37" s="2145"/>
      <c r="P37" s="3368" t="str">
        <f>A37</f>
        <v>成交单价</v>
      </c>
      <c r="Q37" s="3368"/>
      <c r="R37" s="3447">
        <f>E37</f>
        <v>0</v>
      </c>
      <c r="S37" s="3447"/>
      <c r="T37" s="3447">
        <f>G37</f>
        <v>0</v>
      </c>
      <c r="U37" s="3447"/>
      <c r="V37" s="3447">
        <f>I37</f>
        <v>0</v>
      </c>
      <c r="W37" s="3447"/>
      <c r="X37" s="1558"/>
      <c r="Y37" s="1580"/>
      <c r="Z37" s="1558"/>
      <c r="AA37" s="1558"/>
      <c r="AB37" s="1558"/>
      <c r="AC37" s="1558"/>
    </row>
    <row r="38" spans="1:29" ht="15.75" thickBot="1">
      <c r="A38" s="615" t="s">
        <v>2765</v>
      </c>
      <c r="B38" s="887"/>
      <c r="C38" s="2657" t="e">
        <f>R39</f>
        <v>#DIV/0!</v>
      </c>
      <c r="D38" s="2658"/>
      <c r="E38" s="2659" t="e">
        <f>R38</f>
        <v>#DIV/0!</v>
      </c>
      <c r="F38" s="2659"/>
      <c r="G38" s="2657" t="e">
        <f>T38</f>
        <v>#DIV/0!</v>
      </c>
      <c r="H38" s="2658"/>
      <c r="I38" s="2659" t="e">
        <f>V38</f>
        <v>#DIV/0!</v>
      </c>
      <c r="J38" s="2658"/>
      <c r="K38" s="1611"/>
      <c r="L38" s="2144"/>
      <c r="M38" s="2145"/>
      <c r="N38" s="2145"/>
      <c r="O38" s="2145"/>
      <c r="P38" s="3368" t="str">
        <f>A38</f>
        <v>比较价格（元/平方米）</v>
      </c>
      <c r="Q38" s="3368"/>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1558"/>
      <c r="Y38" s="1558"/>
      <c r="Z38" s="1558"/>
      <c r="AA38" s="1558"/>
      <c r="AB38" s="1558"/>
      <c r="AC38" s="1558"/>
    </row>
    <row r="39" spans="1:29" ht="15.75" thickBot="1">
      <c r="A39" s="621" t="s">
        <v>2935</v>
      </c>
      <c r="B39" s="622"/>
      <c r="C39" s="2660" t="e">
        <f>R39</f>
        <v>#DIV/0!</v>
      </c>
      <c r="D39" s="2660"/>
      <c r="E39" s="2660"/>
      <c r="F39" s="2660"/>
      <c r="G39" s="2660"/>
      <c r="H39" s="2660"/>
      <c r="I39" s="2660"/>
      <c r="J39" s="2660"/>
      <c r="K39" s="1612"/>
      <c r="L39" s="2144"/>
      <c r="M39" s="2145"/>
      <c r="N39" s="2145"/>
      <c r="O39" s="2145"/>
      <c r="P39" s="3389" t="str">
        <f>A39</f>
        <v>估价对象XX用房的比较价格（楼面单价，元/平方米）</v>
      </c>
      <c r="Q39" s="3390"/>
      <c r="R39" s="3446" t="e">
        <f>IF(F1="售价",ROUND(AVERAGE(R38:V38),0),ROUND(AVERAGE(R38:V38),1))</f>
        <v>#DIV/0!</v>
      </c>
      <c r="S39" s="3446"/>
      <c r="T39" s="3446"/>
      <c r="U39" s="3446"/>
      <c r="V39" s="3446"/>
      <c r="W39" s="3446"/>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574</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529</v>
      </c>
      <c r="B48" s="646"/>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7"/>
      <c r="B49" s="648"/>
      <c r="C49" s="2829">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4">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621" t="s">
        <v>2561</v>
      </c>
      <c r="C67" s="2622" t="s">
        <v>2562</v>
      </c>
      <c r="D67" s="2622" t="s">
        <v>2563</v>
      </c>
      <c r="E67" s="2622" t="s">
        <v>2564</v>
      </c>
      <c r="F67" s="2622" t="s">
        <v>2565</v>
      </c>
      <c r="G67" s="2622" t="s">
        <v>2566</v>
      </c>
      <c r="H67" s="674"/>
      <c r="I67" s="674"/>
      <c r="J67" s="674"/>
      <c r="K67" s="674"/>
      <c r="L67" s="674"/>
      <c r="M67" s="2625"/>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4"/>
      <c r="I68" s="934"/>
      <c r="J68" s="934"/>
      <c r="K68" s="934"/>
      <c r="L68" s="934"/>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6">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4" t="s">
        <v>718</v>
      </c>
      <c r="B1" s="922"/>
      <c r="C1" s="506" t="s">
        <v>791</v>
      </c>
      <c r="D1" s="849"/>
      <c r="E1" s="508"/>
      <c r="F1" s="2833"/>
      <c r="G1" s="1600" t="s">
        <v>792</v>
      </c>
      <c r="H1" s="508"/>
      <c r="I1" s="508"/>
      <c r="J1" s="508"/>
      <c r="K1" s="50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5"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11" t="s">
        <v>794</v>
      </c>
      <c r="B3" s="512"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30"/>
    </row>
    <row r="4" spans="1:29" ht="15">
      <c r="A4" s="514" t="s">
        <v>796</v>
      </c>
      <c r="B4" s="515"/>
      <c r="C4" s="3374" t="s">
        <v>797</v>
      </c>
      <c r="D4" s="3375"/>
      <c r="E4" s="3398" t="s">
        <v>798</v>
      </c>
      <c r="F4" s="3399"/>
      <c r="G4" s="3374" t="s">
        <v>799</v>
      </c>
      <c r="H4" s="3375"/>
      <c r="I4" s="3374" t="s">
        <v>800</v>
      </c>
      <c r="J4" s="3375"/>
      <c r="K4" s="516" t="s">
        <v>801</v>
      </c>
      <c r="L4" s="2133"/>
      <c r="M4" s="2134"/>
      <c r="N4" s="2134"/>
      <c r="O4" s="2134"/>
      <c r="P4" s="3376" t="s">
        <v>802</v>
      </c>
      <c r="Q4" s="3377"/>
      <c r="R4" s="3362" t="s">
        <v>798</v>
      </c>
      <c r="S4" s="3363"/>
      <c r="T4" s="3362" t="s">
        <v>799</v>
      </c>
      <c r="U4" s="3363"/>
      <c r="V4" s="3382" t="s">
        <v>800</v>
      </c>
      <c r="W4" s="3382"/>
      <c r="X4" s="1566"/>
      <c r="Y4" s="3362" t="s">
        <v>802</v>
      </c>
      <c r="Z4" s="3363"/>
      <c r="AA4" s="3357" t="s">
        <v>798</v>
      </c>
      <c r="AB4" s="3358" t="s">
        <v>799</v>
      </c>
      <c r="AC4" s="3357" t="s">
        <v>800</v>
      </c>
    </row>
    <row r="5" spans="1:29" ht="15">
      <c r="A5" s="517"/>
      <c r="B5" s="518"/>
      <c r="C5" s="3385" t="s">
        <v>2929</v>
      </c>
      <c r="D5" s="3386"/>
      <c r="E5" s="3400" t="s">
        <v>2930</v>
      </c>
      <c r="F5" s="3401"/>
      <c r="G5" s="3385" t="s">
        <v>2931</v>
      </c>
      <c r="H5" s="3386"/>
      <c r="I5" s="3385" t="s">
        <v>2932</v>
      </c>
      <c r="J5" s="3386"/>
      <c r="K5" s="516"/>
      <c r="L5" s="2133"/>
      <c r="M5" s="2134"/>
      <c r="N5" s="2134"/>
      <c r="O5" s="2134"/>
      <c r="P5" s="3378"/>
      <c r="Q5" s="3379"/>
      <c r="R5" s="3364"/>
      <c r="S5" s="3365"/>
      <c r="T5" s="3364"/>
      <c r="U5" s="3365"/>
      <c r="V5" s="3382"/>
      <c r="W5" s="3382"/>
      <c r="X5" s="1566"/>
      <c r="Y5" s="3364"/>
      <c r="Z5" s="3365"/>
      <c r="AA5" s="3358"/>
      <c r="AB5" s="3358"/>
      <c r="AC5" s="3358"/>
    </row>
    <row r="6" spans="1:29" ht="15.75" thickBot="1">
      <c r="A6" s="519"/>
      <c r="B6" s="520"/>
      <c r="C6" s="3383" t="s">
        <v>2933</v>
      </c>
      <c r="D6" s="3384"/>
      <c r="E6" s="3402" t="s">
        <v>2933</v>
      </c>
      <c r="F6" s="3403"/>
      <c r="G6" s="3383" t="s">
        <v>2933</v>
      </c>
      <c r="H6" s="3384"/>
      <c r="I6" s="3383" t="s">
        <v>2933</v>
      </c>
      <c r="J6" s="3384"/>
      <c r="K6" s="516" t="s">
        <v>528</v>
      </c>
      <c r="L6" s="2133"/>
      <c r="M6" s="2134"/>
      <c r="N6" s="2134"/>
      <c r="O6" s="2134"/>
      <c r="P6" s="3380"/>
      <c r="Q6" s="3381"/>
      <c r="R6" s="3364"/>
      <c r="S6" s="3365"/>
      <c r="T6" s="3366"/>
      <c r="U6" s="3367"/>
      <c r="V6" s="3382"/>
      <c r="W6" s="3382"/>
      <c r="X6" s="1566"/>
      <c r="Y6" s="3366"/>
      <c r="Z6" s="3367"/>
      <c r="AA6" s="3359"/>
      <c r="AB6" s="3359"/>
      <c r="AC6" s="3359"/>
    </row>
    <row r="7" spans="1:29" s="1219" customFormat="1" ht="15.75" thickBot="1">
      <c r="A7" s="2938"/>
      <c r="B7" s="2945" t="s">
        <v>529</v>
      </c>
      <c r="C7" s="521">
        <f>'数据-取费表'!B2</f>
        <v>43083</v>
      </c>
      <c r="D7" s="522">
        <v>100</v>
      </c>
      <c r="E7" s="523"/>
      <c r="F7" s="524">
        <f>SUMIF(46:46,YEAR(E7)&amp;"-"&amp;MONTH(E7),47:47)</f>
        <v>0</v>
      </c>
      <c r="G7" s="525"/>
      <c r="H7" s="522">
        <f>SUMIF(46:46,YEAR(G7)&amp;"-"&amp;MONTH(G7),47:47)</f>
        <v>0</v>
      </c>
      <c r="I7" s="525"/>
      <c r="J7" s="522">
        <f>SUMIF(46:46,YEAR(I7)&amp;"-"&amp;MONTH(I7),47:47)</f>
        <v>0</v>
      </c>
      <c r="K7" s="526"/>
      <c r="L7" s="2135"/>
      <c r="M7" s="2136"/>
      <c r="N7" s="2136"/>
      <c r="O7" s="2136"/>
      <c r="P7" s="3360" t="s">
        <v>530</v>
      </c>
      <c r="Q7" s="3369"/>
      <c r="R7" s="1567" t="s">
        <v>8</v>
      </c>
      <c r="S7" s="1568">
        <f t="shared" ref="S7:S14" si="0">F7</f>
        <v>0</v>
      </c>
      <c r="T7" s="1567" t="s">
        <v>8</v>
      </c>
      <c r="U7" s="1568">
        <f t="shared" ref="U7:U14" si="1">H7</f>
        <v>0</v>
      </c>
      <c r="V7" s="1567" t="s">
        <v>8</v>
      </c>
      <c r="W7" s="1568">
        <f t="shared" ref="W7:W14" si="2">J7</f>
        <v>0</v>
      </c>
      <c r="X7" s="1569"/>
      <c r="Y7" s="3360" t="s">
        <v>530</v>
      </c>
      <c r="Z7" s="3361"/>
      <c r="AA7" s="1570" t="e">
        <f>D7/F7</f>
        <v>#DIV/0!</v>
      </c>
      <c r="AB7" s="1570" t="e">
        <f>D7/H7</f>
        <v>#DIV/0!</v>
      </c>
      <c r="AC7" s="1570" t="e">
        <f>D7/J7</f>
        <v>#DIV/0!</v>
      </c>
    </row>
    <row r="8" spans="1:29" s="1219" customFormat="1" ht="15.75" thickBot="1">
      <c r="A8" s="2939"/>
      <c r="B8" s="2946" t="s">
        <v>531</v>
      </c>
      <c r="C8" s="527" t="s">
        <v>576</v>
      </c>
      <c r="D8" s="522">
        <v>100</v>
      </c>
      <c r="E8" s="527"/>
      <c r="F8" s="524">
        <f>SUMIF(49:49,E8,50:50)-SUMIF(49:49,C8,50:50)+100</f>
        <v>0</v>
      </c>
      <c r="G8" s="527"/>
      <c r="H8" s="522">
        <f>SUMIF(49:49,G8,50:50)-SUMIF(49:49,C8,50:50)+100</f>
        <v>0</v>
      </c>
      <c r="I8" s="527"/>
      <c r="J8" s="522">
        <f>SUMIF(49:49,I8,50:50)-SUMIF(49:49,C8,50:50)+100</f>
        <v>0</v>
      </c>
      <c r="K8" s="526"/>
      <c r="L8" s="2135"/>
      <c r="M8" s="2136"/>
      <c r="N8" s="2136"/>
      <c r="O8" s="2136"/>
      <c r="P8" s="3360" t="s">
        <v>533</v>
      </c>
      <c r="Q8" s="3361"/>
      <c r="R8" s="1567" t="s">
        <v>8</v>
      </c>
      <c r="S8" s="1568">
        <f t="shared" si="0"/>
        <v>0</v>
      </c>
      <c r="T8" s="1567" t="s">
        <v>8</v>
      </c>
      <c r="U8" s="1568">
        <f t="shared" si="1"/>
        <v>0</v>
      </c>
      <c r="V8" s="1567" t="s">
        <v>8</v>
      </c>
      <c r="W8" s="1568">
        <f t="shared" si="2"/>
        <v>0</v>
      </c>
      <c r="X8" s="1569"/>
      <c r="Y8" s="3360" t="s">
        <v>533</v>
      </c>
      <c r="Z8" s="3361"/>
      <c r="AA8" s="1570" t="e">
        <f t="shared" ref="AA8:AA34" si="3">D8/F8</f>
        <v>#DIV/0!</v>
      </c>
      <c r="AB8" s="1570" t="e">
        <f t="shared" ref="AB8:AB34" si="4">D8/H8</f>
        <v>#DIV/0!</v>
      </c>
      <c r="AC8" s="1570" t="e">
        <f t="shared" ref="AC8:AC34" si="5">D8/J8</f>
        <v>#DIV/0!</v>
      </c>
    </row>
    <row r="9" spans="1:29" s="1219" customFormat="1" ht="15">
      <c r="A9" s="2940"/>
      <c r="B9" s="2947" t="s">
        <v>2761</v>
      </c>
      <c r="C9" s="857"/>
      <c r="D9" s="253">
        <v>100</v>
      </c>
      <c r="E9" s="860"/>
      <c r="F9" s="253">
        <f>SUMIF(51:51,E9,52:52)-SUMIF(51:51,C9,52:52)+100</f>
        <v>100</v>
      </c>
      <c r="G9" s="860"/>
      <c r="H9" s="253">
        <f>SUMIF(51:51,G9,52:52)-SUMIF(51:51,C9,52:52)+100</f>
        <v>100</v>
      </c>
      <c r="I9" s="860"/>
      <c r="J9" s="253">
        <f>SUMIF(51:51,I9,52:52)-SUMIF(51:51,C9,52:52)+100</f>
        <v>100</v>
      </c>
      <c r="K9" s="526"/>
      <c r="L9" s="2135"/>
      <c r="M9" s="2136"/>
      <c r="N9" s="2136"/>
      <c r="O9" s="2137"/>
      <c r="P9" s="3368" t="s">
        <v>535</v>
      </c>
      <c r="Q9" s="1150" t="str">
        <f t="shared" ref="Q9:Q14" si="6">B9</f>
        <v>用途</v>
      </c>
      <c r="R9" s="1567" t="s">
        <v>8</v>
      </c>
      <c r="S9" s="1568">
        <f t="shared" si="0"/>
        <v>100</v>
      </c>
      <c r="T9" s="1567" t="s">
        <v>8</v>
      </c>
      <c r="U9" s="1568">
        <f t="shared" si="1"/>
        <v>100</v>
      </c>
      <c r="V9" s="1567" t="s">
        <v>8</v>
      </c>
      <c r="W9" s="1568">
        <f t="shared" si="2"/>
        <v>100</v>
      </c>
      <c r="X9" s="1569"/>
      <c r="Y9" s="3325" t="s">
        <v>536</v>
      </c>
      <c r="Z9" s="1149" t="str">
        <f t="shared" ref="Z9:Z14" si="7">Q9</f>
        <v>用途</v>
      </c>
      <c r="AA9" s="1570">
        <f t="shared" si="3"/>
        <v>1</v>
      </c>
      <c r="AB9" s="1570">
        <f t="shared" si="4"/>
        <v>1</v>
      </c>
      <c r="AC9" s="1570">
        <f t="shared" si="5"/>
        <v>1</v>
      </c>
    </row>
    <row r="10" spans="1:29" s="1337" customFormat="1" ht="27">
      <c r="A10" s="2941"/>
      <c r="B10" s="2946" t="s">
        <v>2762</v>
      </c>
      <c r="C10" s="861"/>
      <c r="D10" s="254">
        <v>100</v>
      </c>
      <c r="E10" s="861"/>
      <c r="F10" s="254">
        <f>SUMIF(53:53,E10,54:54)-SUMIF(53:53,C10,54:54)+100</f>
        <v>100</v>
      </c>
      <c r="G10" s="862"/>
      <c r="H10" s="254">
        <f>SUMIF(53:53,G10,54:54)-SUMIF(53:53,C10,54:54)+100</f>
        <v>100</v>
      </c>
      <c r="I10" s="861"/>
      <c r="J10" s="254">
        <f>SUMIF(53:53,I10,54:54)-SUMIF(53:53,C10,54:54)+100</f>
        <v>100</v>
      </c>
      <c r="K10" s="584"/>
      <c r="L10" s="2138"/>
      <c r="M10" s="2178"/>
      <c r="N10" s="2178"/>
      <c r="O10" s="2139"/>
      <c r="P10" s="3368"/>
      <c r="Q10" s="1150" t="str">
        <f t="shared" si="6"/>
        <v>土地使用年限（年）</v>
      </c>
      <c r="R10" s="1567" t="s">
        <v>8</v>
      </c>
      <c r="S10" s="1568">
        <f t="shared" si="0"/>
        <v>100</v>
      </c>
      <c r="T10" s="1567" t="s">
        <v>8</v>
      </c>
      <c r="U10" s="1568">
        <f t="shared" si="1"/>
        <v>100</v>
      </c>
      <c r="V10" s="1567" t="s">
        <v>8</v>
      </c>
      <c r="W10" s="1568">
        <f t="shared" si="2"/>
        <v>100</v>
      </c>
      <c r="X10" s="1569"/>
      <c r="Y10" s="3325"/>
      <c r="Z10" s="1149" t="str">
        <f t="shared" si="7"/>
        <v>土地使用年限（年）</v>
      </c>
      <c r="AA10" s="1570">
        <f t="shared" si="3"/>
        <v>1</v>
      </c>
      <c r="AB10" s="1570">
        <f t="shared" si="4"/>
        <v>1</v>
      </c>
      <c r="AC10" s="1570">
        <f t="shared" si="5"/>
        <v>1</v>
      </c>
    </row>
    <row r="11" spans="1:29" ht="15">
      <c r="A11" s="2943"/>
      <c r="B11" s="2949">
        <v>111</v>
      </c>
      <c r="C11" s="530"/>
      <c r="D11" s="254">
        <v>100</v>
      </c>
      <c r="E11" s="879"/>
      <c r="F11" s="254">
        <f>SUMIF(55:55,E11,56:56)-SUMIF(55:55,C11,56:56)+100</f>
        <v>100</v>
      </c>
      <c r="G11" s="879"/>
      <c r="H11" s="254">
        <f>SUMIF(55:55,G11,56:56)-SUMIF(55:55,C11,56:56)+100</f>
        <v>100</v>
      </c>
      <c r="I11" s="879"/>
      <c r="J11" s="254">
        <f>SUMIF(55:55,I11,56:56)-SUMIF(55:55,C11,56:56)+100</f>
        <v>100</v>
      </c>
      <c r="K11" s="581"/>
      <c r="L11" s="2140"/>
      <c r="M11" s="2134"/>
      <c r="N11" s="2134"/>
      <c r="O11" s="2141"/>
      <c r="P11" s="3368"/>
      <c r="Q11" s="1150">
        <f t="shared" si="6"/>
        <v>111</v>
      </c>
      <c r="R11" s="1567" t="s">
        <v>8</v>
      </c>
      <c r="S11" s="1568">
        <f t="shared" si="0"/>
        <v>100</v>
      </c>
      <c r="T11" s="1567" t="s">
        <v>8</v>
      </c>
      <c r="U11" s="1568">
        <f t="shared" si="1"/>
        <v>100</v>
      </c>
      <c r="V11" s="1567" t="s">
        <v>8</v>
      </c>
      <c r="W11" s="1568">
        <f t="shared" si="2"/>
        <v>100</v>
      </c>
      <c r="X11" s="1569"/>
      <c r="Y11" s="3325"/>
      <c r="Z11" s="1149">
        <f t="shared" si="7"/>
        <v>111</v>
      </c>
      <c r="AA11" s="1570">
        <f t="shared" si="3"/>
        <v>1</v>
      </c>
      <c r="AB11" s="1570">
        <f t="shared" si="4"/>
        <v>1</v>
      </c>
      <c r="AC11" s="1570">
        <f t="shared" si="5"/>
        <v>1</v>
      </c>
    </row>
    <row r="12" spans="1:29" s="1219" customFormat="1" ht="15">
      <c r="A12" s="2943"/>
      <c r="B12" s="2949">
        <v>111</v>
      </c>
      <c r="C12" s="530"/>
      <c r="D12" s="538">
        <v>100</v>
      </c>
      <c r="E12" s="879"/>
      <c r="F12" s="254">
        <f>SUMIF(57:57,E12,58:58)-SUMIF(57:57,C12,58:58)+100</f>
        <v>100</v>
      </c>
      <c r="G12" s="879"/>
      <c r="H12" s="254">
        <f>SUMIF(57:57,G12,58:58)-SUMIF(57:57,C12,58:58)+100</f>
        <v>100</v>
      </c>
      <c r="I12" s="879"/>
      <c r="J12" s="254">
        <f>SUMIF(57:57,I12,58:58)-SUMIF(57:57,C12,58:58)+100</f>
        <v>100</v>
      </c>
      <c r="K12" s="581"/>
      <c r="L12" s="2135"/>
      <c r="M12" s="2136"/>
      <c r="N12" s="2136"/>
      <c r="O12" s="2137"/>
      <c r="P12" s="3368"/>
      <c r="Q12" s="1150">
        <f t="shared" si="6"/>
        <v>111</v>
      </c>
      <c r="R12" s="1567" t="s">
        <v>8</v>
      </c>
      <c r="S12" s="1568">
        <f t="shared" si="0"/>
        <v>100</v>
      </c>
      <c r="T12" s="1567" t="s">
        <v>8</v>
      </c>
      <c r="U12" s="1568">
        <f t="shared" si="1"/>
        <v>100</v>
      </c>
      <c r="V12" s="1567" t="s">
        <v>8</v>
      </c>
      <c r="W12" s="1568">
        <f t="shared" si="2"/>
        <v>100</v>
      </c>
      <c r="X12" s="1569"/>
      <c r="Y12" s="3325"/>
      <c r="Z12" s="1149">
        <f t="shared" si="7"/>
        <v>111</v>
      </c>
      <c r="AA12" s="1570">
        <f>D12/F12</f>
        <v>1</v>
      </c>
      <c r="AB12" s="1570">
        <f>D12/H12</f>
        <v>1</v>
      </c>
      <c r="AC12" s="1570">
        <f>D12/J12</f>
        <v>1</v>
      </c>
    </row>
    <row r="13" spans="1:29" ht="15.75" thickBot="1">
      <c r="A13" s="2944"/>
      <c r="B13" s="2950">
        <v>111</v>
      </c>
      <c r="C13" s="539"/>
      <c r="D13" s="540">
        <v>100</v>
      </c>
      <c r="E13" s="879"/>
      <c r="F13" s="254">
        <f>SUMIF(59:59,E13,60:60)-SUMIF(59:59,C13,60:60)+100</f>
        <v>100</v>
      </c>
      <c r="G13" s="879"/>
      <c r="H13" s="540">
        <f>SUMIF(59:59,G13,60:60)-SUMIF(59:59,C13,60:60)+100</f>
        <v>100</v>
      </c>
      <c r="I13" s="879"/>
      <c r="J13" s="540">
        <f>SUMIF(59:59,I13,60:60)-SUMIF(59:59,C13,60:60)+100</f>
        <v>100</v>
      </c>
      <c r="K13" s="581"/>
      <c r="L13" s="2142"/>
      <c r="M13" s="2134"/>
      <c r="N13" s="2134"/>
      <c r="O13" s="2141"/>
      <c r="P13" s="3368"/>
      <c r="Q13" s="1150">
        <f t="shared" si="6"/>
        <v>111</v>
      </c>
      <c r="R13" s="1567" t="s">
        <v>8</v>
      </c>
      <c r="S13" s="1568">
        <f t="shared" si="0"/>
        <v>100</v>
      </c>
      <c r="T13" s="1567" t="s">
        <v>8</v>
      </c>
      <c r="U13" s="1568">
        <f t="shared" si="1"/>
        <v>100</v>
      </c>
      <c r="V13" s="1567" t="s">
        <v>8</v>
      </c>
      <c r="W13" s="1568">
        <f t="shared" si="2"/>
        <v>100</v>
      </c>
      <c r="X13" s="1569"/>
      <c r="Y13" s="3325"/>
      <c r="Z13" s="1149">
        <f t="shared" si="7"/>
        <v>111</v>
      </c>
      <c r="AA13" s="1570">
        <f t="shared" si="3"/>
        <v>1</v>
      </c>
      <c r="AB13" s="1570">
        <f t="shared" si="4"/>
        <v>1</v>
      </c>
      <c r="AC13" s="1570">
        <f t="shared" si="5"/>
        <v>1</v>
      </c>
    </row>
    <row r="14" spans="1:29" ht="114">
      <c r="A14" s="2936" t="s">
        <v>2759</v>
      </c>
      <c r="B14" s="166" t="s">
        <v>543</v>
      </c>
      <c r="C14" s="920" t="str">
        <f>IF(B1="工业",估价对象房地状况!G4,估价对象房地状况!C6)</f>
        <v>估价对象周边1公里有357、355路等公交车经过，公共交通通达情况一般、停车便捷程度较好，综合评价交通便捷度较差</v>
      </c>
      <c r="D14" s="549">
        <v>100</v>
      </c>
      <c r="E14" s="550"/>
      <c r="F14" s="551">
        <f>SUMIF(61:61,E15,62:62)-SUMIF(61:61,C15,62:62)+100</f>
        <v>100</v>
      </c>
      <c r="G14" s="552"/>
      <c r="H14" s="549">
        <f>SUMIF(61:61,G15,62:62)-SUMIF(61:61,C15,62:62)+100</f>
        <v>100</v>
      </c>
      <c r="I14" s="550"/>
      <c r="J14" s="549">
        <f>SUMIF(61:61,I15,62:62)-SUMIF(61:61,C15,62:62)+100</f>
        <v>100</v>
      </c>
      <c r="K14" s="897"/>
      <c r="L14" s="2142"/>
      <c r="M14" s="2134"/>
      <c r="N14" s="2134"/>
      <c r="O14" s="2141"/>
      <c r="P14" s="3370" t="s">
        <v>540</v>
      </c>
      <c r="Q14" s="1571" t="str">
        <f t="shared" si="6"/>
        <v>交通便捷度</v>
      </c>
      <c r="R14" s="1572" t="s">
        <v>8</v>
      </c>
      <c r="S14" s="1573">
        <f t="shared" si="0"/>
        <v>100</v>
      </c>
      <c r="T14" s="1572" t="s">
        <v>8</v>
      </c>
      <c r="U14" s="1573">
        <f t="shared" si="1"/>
        <v>100</v>
      </c>
      <c r="V14" s="1572" t="s">
        <v>8</v>
      </c>
      <c r="W14" s="1573">
        <f t="shared" si="2"/>
        <v>100</v>
      </c>
      <c r="X14" s="1566"/>
      <c r="Y14" s="3370" t="s">
        <v>540</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8"/>
      <c r="L15" s="2142"/>
      <c r="M15" s="2134"/>
      <c r="N15" s="2134"/>
      <c r="O15" s="2141"/>
      <c r="P15" s="3371"/>
      <c r="Q15" s="1571"/>
      <c r="R15" s="1572"/>
      <c r="S15" s="1573"/>
      <c r="T15" s="1572"/>
      <c r="U15" s="1573"/>
      <c r="V15" s="1572"/>
      <c r="W15" s="1573"/>
      <c r="X15" s="1566"/>
      <c r="Y15" s="3371"/>
      <c r="Z15" s="1574"/>
      <c r="AA15" s="1575">
        <v>1</v>
      </c>
      <c r="AB15" s="1575">
        <v>1</v>
      </c>
      <c r="AC15" s="1575">
        <v>1</v>
      </c>
    </row>
    <row r="16" spans="1:29" ht="42.75">
      <c r="A16" s="532"/>
      <c r="B16" s="2627" t="s">
        <v>2549</v>
      </c>
      <c r="C16" s="872" t="str">
        <f>IF(B1="工业",估价对象房地状况!G5,估价对象房地状况!C7)</f>
        <v>估价对象所在区域公共配套设施齐备情况一般</v>
      </c>
      <c r="D16" s="565">
        <v>100</v>
      </c>
      <c r="E16" s="570"/>
      <c r="F16" s="571">
        <f>SUMIF(63:63,E17,64:64)-SUMIF(63:63,C17,64:64)+100</f>
        <v>100</v>
      </c>
      <c r="G16" s="572"/>
      <c r="H16" s="565">
        <f>SUMIF(63:63,G17,64:64)-SUMIF(63:63,C17,64:64)+100</f>
        <v>100</v>
      </c>
      <c r="I16" s="570"/>
      <c r="J16" s="565">
        <f>SUMIF(63:63,I17,64:64)-SUMIF(63:63,C17,64:64)+100</f>
        <v>100</v>
      </c>
      <c r="K16" s="897"/>
      <c r="L16" s="2142"/>
      <c r="M16" s="2134"/>
      <c r="N16" s="2134"/>
      <c r="O16" s="2141"/>
      <c r="P16" s="3371"/>
      <c r="Q16" s="1571" t="str">
        <f>B16</f>
        <v>公共配套设施</v>
      </c>
      <c r="R16" s="1572" t="s">
        <v>8</v>
      </c>
      <c r="S16" s="1573">
        <f>F16</f>
        <v>100</v>
      </c>
      <c r="T16" s="1572" t="s">
        <v>8</v>
      </c>
      <c r="U16" s="1573">
        <f>H16</f>
        <v>100</v>
      </c>
      <c r="V16" s="1572" t="s">
        <v>8</v>
      </c>
      <c r="W16" s="1573">
        <f>J16</f>
        <v>100</v>
      </c>
      <c r="X16" s="1566"/>
      <c r="Y16" s="3371"/>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8"/>
      <c r="L17" s="2142"/>
      <c r="M17" s="2134"/>
      <c r="N17" s="2134"/>
      <c r="O17" s="2141"/>
      <c r="P17" s="3371"/>
      <c r="Q17" s="1571"/>
      <c r="R17" s="1572"/>
      <c r="S17" s="1573"/>
      <c r="T17" s="1572"/>
      <c r="U17" s="1573"/>
      <c r="V17" s="1572"/>
      <c r="W17" s="1573"/>
      <c r="X17" s="1566"/>
      <c r="Y17" s="3371"/>
      <c r="Z17" s="1574"/>
      <c r="AA17" s="1575">
        <v>1</v>
      </c>
      <c r="AB17" s="1575">
        <v>1</v>
      </c>
      <c r="AC17" s="1575">
        <v>1</v>
      </c>
    </row>
    <row r="18" spans="1:29" ht="42.75">
      <c r="A18" s="532"/>
      <c r="B18" s="2615" t="s">
        <v>2561</v>
      </c>
      <c r="C18" s="872" t="str">
        <f>IF(B1="工业",估价对象房地状况!G6,估价对象房地状况!C8)</f>
        <v>估价对象所在区域基础设施水平-六通</v>
      </c>
      <c r="D18" s="559">
        <v>100</v>
      </c>
      <c r="E18" s="562"/>
      <c r="F18" s="563">
        <f>SUMIF(65:65,E19,66:66)-SUMIF(65:65,C19,66:66)+100</f>
        <v>100</v>
      </c>
      <c r="G18" s="564"/>
      <c r="H18" s="565">
        <f>SUMIF(65:65,G19,66:66)-SUMIF(65:65,C19,66:66)+100</f>
        <v>100</v>
      </c>
      <c r="I18" s="570"/>
      <c r="J18" s="565">
        <f>SUMIF(65:65,I19,66:66)-SUMIF(65:65,C19,66:66)+100</f>
        <v>100</v>
      </c>
      <c r="K18" s="897"/>
      <c r="L18" s="2142"/>
      <c r="M18" s="2134"/>
      <c r="N18" s="2134"/>
      <c r="O18" s="2141"/>
      <c r="P18" s="3371"/>
      <c r="Q18" s="2603" t="str">
        <f>B18</f>
        <v>基础设施水平</v>
      </c>
      <c r="R18" s="1572" t="s">
        <v>8</v>
      </c>
      <c r="S18" s="1573">
        <f>F18</f>
        <v>100</v>
      </c>
      <c r="T18" s="1572" t="s">
        <v>8</v>
      </c>
      <c r="U18" s="1573">
        <f>H18</f>
        <v>100</v>
      </c>
      <c r="V18" s="1572" t="s">
        <v>8</v>
      </c>
      <c r="W18" s="1573">
        <f>J18</f>
        <v>100</v>
      </c>
      <c r="X18" s="2605"/>
      <c r="Y18" s="3371"/>
      <c r="Z18" s="2604"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26"/>
      <c r="L19" s="2142"/>
      <c r="M19" s="2134"/>
      <c r="N19" s="2134"/>
      <c r="O19" s="2141"/>
      <c r="P19" s="3371"/>
      <c r="Q19" s="2603"/>
      <c r="R19" s="1572"/>
      <c r="S19" s="1573"/>
      <c r="T19" s="1572"/>
      <c r="U19" s="1573"/>
      <c r="V19" s="1572"/>
      <c r="W19" s="1573"/>
      <c r="X19" s="2605"/>
      <c r="Y19" s="3371"/>
      <c r="Z19" s="2604"/>
      <c r="AA19" s="1575">
        <v>1</v>
      </c>
      <c r="AB19" s="1575">
        <v>1</v>
      </c>
      <c r="AC19" s="1575">
        <v>1</v>
      </c>
    </row>
    <row r="20" spans="1:29" ht="57">
      <c r="A20" s="532"/>
      <c r="B20" s="871" t="s">
        <v>803</v>
      </c>
      <c r="C20" s="872" t="str">
        <f>IF(B1="工业",估价对象房地状况!G7,估价对象房地状况!C9)</f>
        <v>周边2公里内有长沙医学院、观音岩水库，区域自然环境较好</v>
      </c>
      <c r="D20" s="565">
        <v>100</v>
      </c>
      <c r="E20" s="570"/>
      <c r="F20" s="571">
        <f>SUMIF(67:67,E21,68:68)-SUMIF(67:67,C21,68:68)+100</f>
        <v>100</v>
      </c>
      <c r="G20" s="572"/>
      <c r="H20" s="559">
        <f>SUMIF(67:67,G21,68:68)-SUMIF(67:67,C21,68:68)+100</f>
        <v>100</v>
      </c>
      <c r="I20" s="562"/>
      <c r="J20" s="559">
        <f>SUMIF(67:67,I21,68:68)-SUMIF(67:67,C21,68:68)+100</f>
        <v>100</v>
      </c>
      <c r="K20" s="897"/>
      <c r="L20" s="2142"/>
      <c r="M20" s="2134"/>
      <c r="N20" s="2134"/>
      <c r="O20" s="2141"/>
      <c r="P20" s="3371"/>
      <c r="Q20" s="1571" t="str">
        <f>B20</f>
        <v>自然及人文环境</v>
      </c>
      <c r="R20" s="1572" t="s">
        <v>8</v>
      </c>
      <c r="S20" s="1573">
        <f>F20</f>
        <v>100</v>
      </c>
      <c r="T20" s="1572" t="s">
        <v>8</v>
      </c>
      <c r="U20" s="1573">
        <f>H20</f>
        <v>100</v>
      </c>
      <c r="V20" s="1572" t="s">
        <v>8</v>
      </c>
      <c r="W20" s="1573">
        <f>J20</f>
        <v>100</v>
      </c>
      <c r="X20" s="1566"/>
      <c r="Y20" s="3371"/>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8"/>
      <c r="L21" s="2142"/>
      <c r="M21" s="2134"/>
      <c r="N21" s="2134"/>
      <c r="O21" s="2141"/>
      <c r="P21" s="3371"/>
      <c r="Q21" s="1571"/>
      <c r="R21" s="1572"/>
      <c r="S21" s="1573"/>
      <c r="T21" s="1572"/>
      <c r="U21" s="1573"/>
      <c r="V21" s="1572"/>
      <c r="W21" s="1573"/>
      <c r="X21" s="1566"/>
      <c r="Y21" s="3371"/>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371"/>
      <c r="Q22" s="1571" t="str">
        <f>B22</f>
        <v>楼层</v>
      </c>
      <c r="R22" s="1572" t="s">
        <v>8</v>
      </c>
      <c r="S22" s="1573">
        <f>F22</f>
        <v>100</v>
      </c>
      <c r="T22" s="1572" t="s">
        <v>8</v>
      </c>
      <c r="U22" s="1573">
        <f>H22</f>
        <v>100</v>
      </c>
      <c r="V22" s="1572" t="s">
        <v>8</v>
      </c>
      <c r="W22" s="1573">
        <f>J22</f>
        <v>100</v>
      </c>
      <c r="X22" s="1566"/>
      <c r="Y22" s="3371"/>
      <c r="Z22" s="1574" t="str">
        <f>Q22</f>
        <v>楼层</v>
      </c>
      <c r="AA22" s="1575">
        <f t="shared" si="3"/>
        <v>1</v>
      </c>
      <c r="AB22" s="1575">
        <f t="shared" si="4"/>
        <v>1</v>
      </c>
      <c r="AC22" s="1575">
        <f t="shared" si="5"/>
        <v>1</v>
      </c>
    </row>
    <row r="23" spans="1:29" ht="15">
      <c r="A23" s="517"/>
      <c r="B23" s="537">
        <v>111</v>
      </c>
      <c r="C23" s="530"/>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371"/>
      <c r="Q23" s="1571">
        <f>B23</f>
        <v>111</v>
      </c>
      <c r="R23" s="1572" t="s">
        <v>8</v>
      </c>
      <c r="S23" s="1573">
        <f>F23</f>
        <v>100</v>
      </c>
      <c r="T23" s="1572" t="s">
        <v>8</v>
      </c>
      <c r="U23" s="1573">
        <f>H23</f>
        <v>100</v>
      </c>
      <c r="V23" s="1572" t="s">
        <v>8</v>
      </c>
      <c r="W23" s="1573">
        <f>J23</f>
        <v>100</v>
      </c>
      <c r="X23" s="1566"/>
      <c r="Y23" s="3371"/>
      <c r="Z23" s="1574">
        <f>Q23</f>
        <v>111</v>
      </c>
      <c r="AA23" s="1575">
        <f t="shared" si="3"/>
        <v>1</v>
      </c>
      <c r="AB23" s="1575">
        <f t="shared" si="4"/>
        <v>1</v>
      </c>
      <c r="AC23" s="1575">
        <f t="shared" si="5"/>
        <v>1</v>
      </c>
    </row>
    <row r="24" spans="1:29" ht="15">
      <c r="A24" s="532"/>
      <c r="B24" s="537">
        <v>111</v>
      </c>
      <c r="C24" s="530"/>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371"/>
      <c r="Q24" s="1571">
        <f t="shared" ref="Q24:Q34" si="11">B24</f>
        <v>111</v>
      </c>
      <c r="R24" s="1572" t="s">
        <v>8</v>
      </c>
      <c r="S24" s="1573">
        <f>F24</f>
        <v>100</v>
      </c>
      <c r="T24" s="1572" t="s">
        <v>8</v>
      </c>
      <c r="U24" s="1573">
        <f>H24</f>
        <v>100</v>
      </c>
      <c r="V24" s="1572" t="s">
        <v>8</v>
      </c>
      <c r="W24" s="1573">
        <f>J24</f>
        <v>100</v>
      </c>
      <c r="X24" s="1566"/>
      <c r="Y24" s="3371"/>
      <c r="Z24" s="1574">
        <f>Q24</f>
        <v>111</v>
      </c>
      <c r="AA24" s="1575">
        <f t="shared" si="3"/>
        <v>1</v>
      </c>
      <c r="AB24" s="1575">
        <f t="shared" si="4"/>
        <v>1</v>
      </c>
      <c r="AC24" s="1575">
        <f t="shared" si="5"/>
        <v>1</v>
      </c>
    </row>
    <row r="25" spans="1:29" s="1219" customFormat="1" ht="15.75"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35"/>
      <c r="M25" s="2136"/>
      <c r="N25" s="2136"/>
      <c r="O25" s="2137"/>
      <c r="P25" s="3371"/>
      <c r="Q25" s="1150">
        <f t="shared" si="11"/>
        <v>111</v>
      </c>
      <c r="R25" s="1567" t="s">
        <v>8</v>
      </c>
      <c r="S25" s="1568">
        <f>F25</f>
        <v>100</v>
      </c>
      <c r="T25" s="1567" t="s">
        <v>8</v>
      </c>
      <c r="U25" s="1568">
        <f>H25</f>
        <v>100</v>
      </c>
      <c r="V25" s="1567" t="s">
        <v>8</v>
      </c>
      <c r="W25" s="1568">
        <f>J25</f>
        <v>100</v>
      </c>
      <c r="X25" s="1569"/>
      <c r="Y25" s="3371"/>
      <c r="Z25" s="1149">
        <f>Q25</f>
        <v>111</v>
      </c>
      <c r="AA25" s="1575">
        <f>D25/F25</f>
        <v>1</v>
      </c>
      <c r="AB25" s="1575">
        <f>D25/H25</f>
        <v>1</v>
      </c>
      <c r="AC25" s="1575">
        <f>D25/J25</f>
        <v>1</v>
      </c>
    </row>
    <row r="26" spans="1:29" ht="15">
      <c r="A26" s="2933" t="s">
        <v>2760</v>
      </c>
      <c r="B26" s="172" t="s">
        <v>807</v>
      </c>
      <c r="C26" s="915"/>
      <c r="D26" s="597">
        <v>100</v>
      </c>
      <c r="E26" s="915"/>
      <c r="F26" s="942">
        <f>SUMIF(77:77,E26,78:78)-SUMIF(77:77,C26,78:78)+100</f>
        <v>100</v>
      </c>
      <c r="G26" s="915"/>
      <c r="H26" s="597">
        <f>SUMIF(77:77,G26,78:78)-SUMIF(77:77,C26,78:78)+100</f>
        <v>100</v>
      </c>
      <c r="I26" s="915"/>
      <c r="J26" s="597">
        <f>SUMIF(77:77,I26,78:78)-SUMIF(77:77,C26,78:78)+100</f>
        <v>100</v>
      </c>
      <c r="K26" s="584"/>
      <c r="L26" s="2142"/>
      <c r="M26" s="2134"/>
      <c r="N26" s="2134"/>
      <c r="O26" s="2141"/>
      <c r="P26" s="3372"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373" t="s">
        <v>820</v>
      </c>
      <c r="Z26" s="1574" t="str">
        <f t="shared" ref="Z26:Z34" si="15">Q26</f>
        <v>公共部分装修</v>
      </c>
      <c r="AA26" s="1575">
        <f t="shared" si="3"/>
        <v>1</v>
      </c>
      <c r="AB26" s="1575">
        <f t="shared" si="4"/>
        <v>1</v>
      </c>
      <c r="AC26" s="1575">
        <f t="shared" si="5"/>
        <v>1</v>
      </c>
    </row>
    <row r="27" spans="1:29" s="1338" customFormat="1" ht="15">
      <c r="A27" s="603"/>
      <c r="B27" s="529" t="s">
        <v>808</v>
      </c>
      <c r="C27" s="882"/>
      <c r="D27" s="254">
        <v>100</v>
      </c>
      <c r="E27" s="883"/>
      <c r="F27" s="575" t="e">
        <f>LOOKUP(E27,80:80,81:81)-LOOKUP(C27,80:80,81:81)+100</f>
        <v>#N/A</v>
      </c>
      <c r="G27" s="884"/>
      <c r="H27" s="540" t="e">
        <f>LOOKUP(G27,80:80,81:81)-LOOKUP(C27,80:80,81:81)+100</f>
        <v>#N/A</v>
      </c>
      <c r="I27" s="884"/>
      <c r="J27" s="540" t="e">
        <f>LOOKUP(I27,80:80,81:81)-LOOKUP(C27,80:80,81:81)+100</f>
        <v>#N/A</v>
      </c>
      <c r="K27" s="584"/>
      <c r="L27" s="2140"/>
      <c r="M27" s="2171"/>
      <c r="N27" s="2171"/>
      <c r="O27" s="2143"/>
      <c r="P27" s="3373"/>
      <c r="Q27" s="1604" t="str">
        <f t="shared" si="11"/>
        <v>成新率</v>
      </c>
      <c r="R27" s="1576" t="s">
        <v>8</v>
      </c>
      <c r="S27" s="1577" t="e">
        <f t="shared" si="12"/>
        <v>#N/A</v>
      </c>
      <c r="T27" s="1576" t="s">
        <v>8</v>
      </c>
      <c r="U27" s="1577" t="e">
        <f t="shared" si="13"/>
        <v>#N/A</v>
      </c>
      <c r="V27" s="1576" t="s">
        <v>8</v>
      </c>
      <c r="W27" s="1577" t="e">
        <f t="shared" si="14"/>
        <v>#N/A</v>
      </c>
      <c r="X27" s="1578"/>
      <c r="Y27" s="3373"/>
      <c r="Z27" s="1579" t="str">
        <f t="shared" si="15"/>
        <v>成新率</v>
      </c>
      <c r="AA27" s="1575" t="e">
        <f t="shared" si="3"/>
        <v>#N/A</v>
      </c>
      <c r="AB27" s="1575" t="e">
        <f t="shared" si="4"/>
        <v>#N/A</v>
      </c>
      <c r="AC27" s="1575" t="e">
        <f t="shared" si="5"/>
        <v>#N/A</v>
      </c>
    </row>
    <row r="28" spans="1:29" ht="15">
      <c r="A28" s="594"/>
      <c r="B28" s="529"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373"/>
      <c r="Q28" s="1571" t="str">
        <f t="shared" si="11"/>
        <v>物业等级</v>
      </c>
      <c r="R28" s="1572" t="s">
        <v>8</v>
      </c>
      <c r="S28" s="1573">
        <f t="shared" si="12"/>
        <v>100</v>
      </c>
      <c r="T28" s="1572" t="s">
        <v>8</v>
      </c>
      <c r="U28" s="1573">
        <f t="shared" si="13"/>
        <v>100</v>
      </c>
      <c r="V28" s="1572" t="s">
        <v>8</v>
      </c>
      <c r="W28" s="1573">
        <f t="shared" si="14"/>
        <v>100</v>
      </c>
      <c r="X28" s="1566"/>
      <c r="Y28" s="3373"/>
      <c r="Z28" s="1574" t="str">
        <f t="shared" si="15"/>
        <v>物业等级</v>
      </c>
      <c r="AA28" s="1575">
        <f t="shared" si="3"/>
        <v>1</v>
      </c>
      <c r="AB28" s="1575">
        <f t="shared" si="4"/>
        <v>1</v>
      </c>
      <c r="AC28" s="1575">
        <f t="shared" si="5"/>
        <v>1</v>
      </c>
    </row>
    <row r="29" spans="1:29" ht="15">
      <c r="A29" s="594"/>
      <c r="B29" s="529" t="s">
        <v>821</v>
      </c>
      <c r="C29" s="931"/>
      <c r="D29" s="540">
        <v>100</v>
      </c>
      <c r="E29" s="931"/>
      <c r="F29" s="575">
        <f>SUMIF(84:84,E29,85:85)-SUMIF(84:84,C29,85:85)+100</f>
        <v>100</v>
      </c>
      <c r="G29" s="931"/>
      <c r="H29" s="540">
        <f>SUMIF(84:84,G29,85:85)-SUMIF(84:84,C29,85:85)+100</f>
        <v>100</v>
      </c>
      <c r="I29" s="931"/>
      <c r="J29" s="540">
        <f>SUMIF(84:84,I29,85:85)-SUMIF(84:84,C29,85:85)+100</f>
        <v>100</v>
      </c>
      <c r="K29" s="584"/>
      <c r="L29" s="2142"/>
      <c r="M29" s="2134"/>
      <c r="N29" s="2134"/>
      <c r="O29" s="2141"/>
      <c r="P29" s="3373"/>
      <c r="Q29" s="1571" t="str">
        <f t="shared" si="11"/>
        <v>有无电梯</v>
      </c>
      <c r="R29" s="1572" t="s">
        <v>8</v>
      </c>
      <c r="S29" s="1573">
        <f t="shared" si="12"/>
        <v>100</v>
      </c>
      <c r="T29" s="1572" t="s">
        <v>8</v>
      </c>
      <c r="U29" s="1573">
        <f t="shared" si="13"/>
        <v>100</v>
      </c>
      <c r="V29" s="1572" t="s">
        <v>8</v>
      </c>
      <c r="W29" s="1573">
        <f t="shared" si="14"/>
        <v>100</v>
      </c>
      <c r="X29" s="1566"/>
      <c r="Y29" s="3373"/>
      <c r="Z29" s="1574" t="str">
        <f t="shared" si="15"/>
        <v>有无电梯</v>
      </c>
      <c r="AA29" s="1575">
        <f t="shared" si="3"/>
        <v>1</v>
      </c>
      <c r="AB29" s="1575">
        <f t="shared" si="4"/>
        <v>1</v>
      </c>
      <c r="AC29" s="1575">
        <f t="shared" si="5"/>
        <v>1</v>
      </c>
    </row>
    <row r="30" spans="1:29" ht="15">
      <c r="A30" s="594"/>
      <c r="B30" s="529" t="s">
        <v>822</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42"/>
      <c r="M30" s="2134"/>
      <c r="N30" s="2134"/>
      <c r="O30" s="2141"/>
      <c r="P30" s="3373"/>
      <c r="Q30" s="1571" t="str">
        <f t="shared" si="11"/>
        <v>建筑面积</v>
      </c>
      <c r="R30" s="1572" t="s">
        <v>8</v>
      </c>
      <c r="S30" s="1573" t="e">
        <f t="shared" si="12"/>
        <v>#N/A</v>
      </c>
      <c r="T30" s="1572" t="s">
        <v>8</v>
      </c>
      <c r="U30" s="1573" t="e">
        <f t="shared" si="13"/>
        <v>#N/A</v>
      </c>
      <c r="V30" s="1572" t="s">
        <v>8</v>
      </c>
      <c r="W30" s="1573" t="e">
        <f t="shared" si="14"/>
        <v>#N/A</v>
      </c>
      <c r="X30" s="1566"/>
      <c r="Y30" s="3373"/>
      <c r="Z30" s="1574" t="str">
        <f t="shared" si="15"/>
        <v>建筑面积</v>
      </c>
      <c r="AA30" s="1575" t="e">
        <f t="shared" si="3"/>
        <v>#N/A</v>
      </c>
      <c r="AB30" s="1575" t="e">
        <f t="shared" si="4"/>
        <v>#N/A</v>
      </c>
      <c r="AC30" s="1575" t="e">
        <f t="shared" si="5"/>
        <v>#N/A</v>
      </c>
    </row>
    <row r="31" spans="1:29" s="1219" customFormat="1" ht="15">
      <c r="A31" s="600"/>
      <c r="B31" s="529" t="s">
        <v>823</v>
      </c>
      <c r="C31" s="931"/>
      <c r="D31" s="254">
        <v>100</v>
      </c>
      <c r="E31" s="931"/>
      <c r="F31" s="575">
        <f>SUMIF(89:89,E31,90:90)-SUMIF(89:89,C31,90:90)+100</f>
        <v>100</v>
      </c>
      <c r="G31" s="931"/>
      <c r="H31" s="540">
        <f>SUMIF(89:89,G31,90:90)-SUMIF(89:89,C31,90:90)+100</f>
        <v>100</v>
      </c>
      <c r="I31" s="931"/>
      <c r="J31" s="540">
        <f>SUMIF(89:89,I31,90:90)-SUMIF(89:89,C31,90:90)+100</f>
        <v>100</v>
      </c>
      <c r="K31" s="584"/>
      <c r="L31" s="2135"/>
      <c r="M31" s="2136"/>
      <c r="N31" s="2136"/>
      <c r="O31" s="2137"/>
      <c r="P31" s="3373"/>
      <c r="Q31" s="1150" t="str">
        <f t="shared" si="11"/>
        <v>是否封闭</v>
      </c>
      <c r="R31" s="1567" t="s">
        <v>8</v>
      </c>
      <c r="S31" s="1568">
        <f t="shared" si="12"/>
        <v>100</v>
      </c>
      <c r="T31" s="1567" t="s">
        <v>8</v>
      </c>
      <c r="U31" s="1568">
        <f t="shared" si="13"/>
        <v>100</v>
      </c>
      <c r="V31" s="1567" t="s">
        <v>8</v>
      </c>
      <c r="W31" s="1568">
        <f t="shared" si="14"/>
        <v>100</v>
      </c>
      <c r="X31" s="1569"/>
      <c r="Y31" s="3373"/>
      <c r="Z31" s="1149" t="str">
        <f t="shared" si="15"/>
        <v>是否封闭</v>
      </c>
      <c r="AA31" s="1570">
        <f t="shared" si="3"/>
        <v>1</v>
      </c>
      <c r="AB31" s="1570">
        <f t="shared" si="4"/>
        <v>1</v>
      </c>
      <c r="AC31" s="1570">
        <f t="shared" si="5"/>
        <v>1</v>
      </c>
    </row>
    <row r="32" spans="1:29" ht="15">
      <c r="A32" s="594"/>
      <c r="B32" s="537">
        <v>111</v>
      </c>
      <c r="C32" s="530"/>
      <c r="D32" s="540">
        <v>100</v>
      </c>
      <c r="E32" s="879"/>
      <c r="F32" s="575">
        <f>SUMIF(91:91,E32,92:92)-SUMIF(91:91,C32,92:92)+100</f>
        <v>100</v>
      </c>
      <c r="G32" s="879"/>
      <c r="H32" s="540">
        <f>SUMIF(91:91,G32,92:92)-SUMIF(91:91,C32,92:92)+100</f>
        <v>100</v>
      </c>
      <c r="I32" s="879"/>
      <c r="J32" s="540">
        <f>SUMIF(91:91,I32,92:92)-SUMIF(91:91,C32,92:92)+100</f>
        <v>100</v>
      </c>
      <c r="K32" s="581"/>
      <c r="L32" s="2142"/>
      <c r="M32" s="2134"/>
      <c r="N32" s="2134"/>
      <c r="O32" s="2141"/>
      <c r="P32" s="3373" t="s">
        <v>550</v>
      </c>
      <c r="Q32" s="1571">
        <f t="shared" si="11"/>
        <v>111</v>
      </c>
      <c r="R32" s="1572" t="s">
        <v>8</v>
      </c>
      <c r="S32" s="1573">
        <f t="shared" si="12"/>
        <v>100</v>
      </c>
      <c r="T32" s="1572" t="s">
        <v>8</v>
      </c>
      <c r="U32" s="1573">
        <f t="shared" si="13"/>
        <v>100</v>
      </c>
      <c r="V32" s="1572" t="s">
        <v>8</v>
      </c>
      <c r="W32" s="1573">
        <f t="shared" si="14"/>
        <v>100</v>
      </c>
      <c r="X32" s="1566"/>
      <c r="Y32" s="3373" t="s">
        <v>550</v>
      </c>
      <c r="Z32" s="1574">
        <f t="shared" si="15"/>
        <v>111</v>
      </c>
      <c r="AA32" s="1575">
        <f t="shared" si="3"/>
        <v>1</v>
      </c>
      <c r="AB32" s="1575">
        <f t="shared" si="4"/>
        <v>1</v>
      </c>
      <c r="AC32" s="1575">
        <f t="shared" si="5"/>
        <v>1</v>
      </c>
    </row>
    <row r="33" spans="1:29" ht="15">
      <c r="A33" s="594"/>
      <c r="B33" s="537">
        <v>111</v>
      </c>
      <c r="C33" s="530"/>
      <c r="D33" s="540">
        <v>100</v>
      </c>
      <c r="E33" s="879"/>
      <c r="F33" s="575">
        <f>SUMIF(93:93,E33,94:94)-SUMIF(93:93,C33,94:94)+100</f>
        <v>100</v>
      </c>
      <c r="G33" s="879"/>
      <c r="H33" s="540">
        <f>SUMIF(93:93,G33,94:94)-SUMIF(93:93,C33,94:94)+100</f>
        <v>100</v>
      </c>
      <c r="I33" s="879"/>
      <c r="J33" s="540">
        <f>SUMIF(93:93,I33,94:94)-SUMIF(93:93,C33,94:94)+100</f>
        <v>100</v>
      </c>
      <c r="K33" s="581"/>
      <c r="L33" s="2142"/>
      <c r="M33" s="2134"/>
      <c r="N33" s="2134"/>
      <c r="O33" s="2141"/>
      <c r="P33" s="3373"/>
      <c r="Q33" s="1571">
        <f t="shared" si="11"/>
        <v>111</v>
      </c>
      <c r="R33" s="1572" t="s">
        <v>8</v>
      </c>
      <c r="S33" s="1573">
        <f t="shared" si="12"/>
        <v>100</v>
      </c>
      <c r="T33" s="1572" t="s">
        <v>8</v>
      </c>
      <c r="U33" s="1573">
        <f t="shared" si="13"/>
        <v>100</v>
      </c>
      <c r="V33" s="1572" t="s">
        <v>8</v>
      </c>
      <c r="W33" s="1573">
        <f t="shared" si="14"/>
        <v>100</v>
      </c>
      <c r="X33" s="1566"/>
      <c r="Y33" s="3373"/>
      <c r="Z33" s="1574">
        <f t="shared" si="15"/>
        <v>111</v>
      </c>
      <c r="AA33" s="1575">
        <f t="shared" si="3"/>
        <v>1</v>
      </c>
      <c r="AB33" s="1575">
        <f t="shared" si="4"/>
        <v>1</v>
      </c>
      <c r="AC33" s="1575">
        <f t="shared" si="5"/>
        <v>1</v>
      </c>
    </row>
    <row r="34" spans="1:29" ht="15.75"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42"/>
      <c r="M34" s="2134"/>
      <c r="N34" s="2134"/>
      <c r="O34" s="2141"/>
      <c r="P34" s="3373"/>
      <c r="Q34" s="1571">
        <f t="shared" si="11"/>
        <v>111</v>
      </c>
      <c r="R34" s="1572" t="s">
        <v>8</v>
      </c>
      <c r="S34" s="1573">
        <f t="shared" si="12"/>
        <v>100</v>
      </c>
      <c r="T34" s="1572" t="s">
        <v>8</v>
      </c>
      <c r="U34" s="1573">
        <f t="shared" si="13"/>
        <v>100</v>
      </c>
      <c r="V34" s="1572" t="s">
        <v>8</v>
      </c>
      <c r="W34" s="1573">
        <f t="shared" si="14"/>
        <v>100</v>
      </c>
      <c r="X34" s="1566"/>
      <c r="Y34" s="3373"/>
      <c r="Z34" s="1574">
        <f t="shared" si="15"/>
        <v>111</v>
      </c>
      <c r="AA34" s="1575">
        <f t="shared" si="3"/>
        <v>1</v>
      </c>
      <c r="AB34" s="1575">
        <f t="shared" si="4"/>
        <v>1</v>
      </c>
      <c r="AC34" s="1575">
        <f t="shared" si="5"/>
        <v>1</v>
      </c>
    </row>
    <row r="35" spans="1:29" ht="15">
      <c r="A35" s="607" t="s">
        <v>735</v>
      </c>
      <c r="B35" s="886"/>
      <c r="C35" s="2651" t="s">
        <v>1</v>
      </c>
      <c r="D35" s="2652"/>
      <c r="E35" s="2653"/>
      <c r="F35" s="2654"/>
      <c r="G35" s="2655"/>
      <c r="H35" s="2656"/>
      <c r="I35" s="2653"/>
      <c r="J35" s="2656"/>
      <c r="K35" s="1610"/>
      <c r="L35" s="2144"/>
      <c r="M35" s="2145"/>
      <c r="N35" s="2134"/>
      <c r="O35" s="2145"/>
      <c r="P35" s="3368" t="str">
        <f>A35</f>
        <v>成交单价（元/平方米）</v>
      </c>
      <c r="Q35" s="3368"/>
      <c r="R35" s="3447">
        <f>E35</f>
        <v>0</v>
      </c>
      <c r="S35" s="3447"/>
      <c r="T35" s="3447">
        <f>G35</f>
        <v>0</v>
      </c>
      <c r="U35" s="3447"/>
      <c r="V35" s="3447">
        <f>I35</f>
        <v>0</v>
      </c>
      <c r="W35" s="3447"/>
      <c r="X35" s="1558"/>
      <c r="Y35" s="1580"/>
      <c r="Z35" s="1558"/>
      <c r="AA35" s="1558"/>
      <c r="AB35" s="1558"/>
      <c r="AC35" s="1558"/>
    </row>
    <row r="36" spans="1:29" ht="15.75" thickBot="1">
      <c r="A36" s="615" t="s">
        <v>2765</v>
      </c>
      <c r="B36" s="887"/>
      <c r="C36" s="2657" t="e">
        <f>R37</f>
        <v>#DIV/0!</v>
      </c>
      <c r="D36" s="2658"/>
      <c r="E36" s="2659" t="e">
        <f>R36</f>
        <v>#DIV/0!</v>
      </c>
      <c r="F36" s="2659"/>
      <c r="G36" s="2657" t="e">
        <f>T36</f>
        <v>#DIV/0!</v>
      </c>
      <c r="H36" s="2658"/>
      <c r="I36" s="2659" t="e">
        <f>V36</f>
        <v>#DIV/0!</v>
      </c>
      <c r="J36" s="2658"/>
      <c r="K36" s="1611"/>
      <c r="L36" s="2144"/>
      <c r="M36" s="2145"/>
      <c r="N36" s="2134"/>
      <c r="O36" s="2145"/>
      <c r="P36" s="3368" t="str">
        <f>A36</f>
        <v>比较价格（元/平方米）</v>
      </c>
      <c r="Q36" s="3368"/>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1558"/>
      <c r="Y36" s="1558"/>
      <c r="Z36" s="1558"/>
      <c r="AA36" s="1558"/>
      <c r="AB36" s="1558"/>
      <c r="AC36" s="1558"/>
    </row>
    <row r="37" spans="1:29" ht="15.75" thickBot="1">
      <c r="A37" s="621" t="s">
        <v>2935</v>
      </c>
      <c r="B37" s="622"/>
      <c r="C37" s="2660" t="e">
        <f>R37</f>
        <v>#DIV/0!</v>
      </c>
      <c r="D37" s="2660"/>
      <c r="E37" s="2660"/>
      <c r="F37" s="2660"/>
      <c r="G37" s="2660"/>
      <c r="H37" s="2660"/>
      <c r="I37" s="2660"/>
      <c r="J37" s="2660"/>
      <c r="K37" s="1612"/>
      <c r="L37" s="2144"/>
      <c r="M37" s="2145"/>
      <c r="N37" s="2145"/>
      <c r="O37" s="2145"/>
      <c r="P37" s="3389" t="str">
        <f>A37</f>
        <v>估价对象XX用房的比较价格（楼面单价，元/平方米）</v>
      </c>
      <c r="Q37" s="3390"/>
      <c r="R37" s="3446" t="e">
        <f>IF(F1="售价",ROUND(AVERAGE(R36:V36),0),ROUND(AVERAGE(R36:V36),1))</f>
        <v>#DIV/0!</v>
      </c>
      <c r="S37" s="3446"/>
      <c r="T37" s="3446"/>
      <c r="U37" s="3446"/>
      <c r="V37" s="3446"/>
      <c r="W37" s="3446"/>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574</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529</v>
      </c>
      <c r="B46" s="646"/>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4">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621" t="s">
        <v>2561</v>
      </c>
      <c r="C65" s="2622" t="s">
        <v>2562</v>
      </c>
      <c r="D65" s="2622" t="s">
        <v>2563</v>
      </c>
      <c r="E65" s="2622" t="s">
        <v>2564</v>
      </c>
      <c r="F65" s="2622" t="s">
        <v>2565</v>
      </c>
      <c r="G65" s="2622" t="s">
        <v>2566</v>
      </c>
      <c r="H65" s="674"/>
      <c r="I65" s="674"/>
      <c r="J65" s="674"/>
      <c r="K65" s="674"/>
      <c r="L65" s="674"/>
      <c r="M65" s="2625"/>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4"/>
      <c r="I66" s="934"/>
      <c r="J66" s="934"/>
      <c r="K66" s="934"/>
      <c r="L66" s="934"/>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6">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7"/>
      <c r="B1" s="2234" t="s">
        <v>2304</v>
      </c>
      <c r="C1" s="3479" t="s">
        <v>2305</v>
      </c>
      <c r="D1" s="3480"/>
      <c r="E1" s="3480"/>
      <c r="F1" s="3480"/>
      <c r="G1" s="3480"/>
      <c r="H1" s="3480"/>
      <c r="I1" s="3480"/>
      <c r="J1" s="3480"/>
      <c r="K1" s="3480"/>
      <c r="L1" s="3480"/>
      <c r="M1" s="3480"/>
      <c r="N1" s="3480"/>
      <c r="O1" s="3480"/>
      <c r="P1" s="3480"/>
      <c r="Q1" s="3480"/>
      <c r="R1" s="3480"/>
      <c r="S1" s="3481"/>
      <c r="T1" s="2234" t="s">
        <v>2306</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2307</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2928</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2927</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2926</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2941</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2925</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2924</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2308</v>
      </c>
      <c r="B17" s="2278" t="s">
        <v>2309</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3"/>
      <c r="B19" s="947"/>
      <c r="C19" s="1990"/>
      <c r="D19" s="1990"/>
      <c r="E19" s="1990"/>
      <c r="F19" s="1990"/>
      <c r="G19" s="1990"/>
      <c r="H19" s="1990"/>
      <c r="I19" s="1990"/>
      <c r="J19" s="1990"/>
      <c r="K19" s="1990"/>
      <c r="L19" s="1990"/>
      <c r="M19" s="1990"/>
      <c r="N19" s="1990"/>
      <c r="O19" s="1990"/>
      <c r="P19" s="1990"/>
      <c r="Q19" s="1990"/>
      <c r="R19" s="2225"/>
      <c r="S19" s="2028"/>
    </row>
    <row r="20" spans="1:45" ht="15.75">
      <c r="A20" s="959"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59"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476" t="s">
        <v>20</v>
      </c>
      <c r="D22" s="3477"/>
      <c r="E22" s="3477"/>
      <c r="F22" s="3477"/>
      <c r="G22" s="3477"/>
      <c r="H22" s="3477"/>
      <c r="I22" s="3477"/>
      <c r="J22" s="3477"/>
      <c r="K22" s="3477"/>
      <c r="L22" s="3477"/>
      <c r="M22" s="3477"/>
      <c r="N22" s="3477"/>
      <c r="O22" s="3477"/>
      <c r="P22" s="3477"/>
      <c r="Q22" s="3478"/>
      <c r="R22" s="492"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3" t="s">
        <v>833</v>
      </c>
      <c r="S23" s="17" t="s">
        <v>834</v>
      </c>
      <c r="T23" s="18"/>
      <c r="U23" s="18"/>
      <c r="V23" s="18"/>
      <c r="W23" s="18"/>
      <c r="X23" s="18"/>
      <c r="Y23" s="18"/>
      <c r="Z23" s="18"/>
      <c r="AA23" s="18"/>
      <c r="AB23" s="18"/>
      <c r="AC23" s="18"/>
      <c r="AD23" s="18"/>
      <c r="AE23" s="18"/>
      <c r="AF23" s="18"/>
      <c r="AG23" s="18"/>
      <c r="AH23" s="18"/>
      <c r="AI23" s="18"/>
    </row>
    <row r="24" spans="1:45" s="1614" customFormat="1">
      <c r="A24" s="960" t="s">
        <v>835</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92">
        <f>IF(B25="",0,ROUND($R$24*C25*E25*G25*I25*K25*M25*O25*Q25,0))</f>
        <v>0</v>
      </c>
      <c r="S25" s="799">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92">
        <f t="shared" ref="R26:R89" si="20">IF(B26="",0,ROUND($R$24*C26*E26*G26*I26*K26*M26*O26*Q26,0))</f>
        <v>0</v>
      </c>
      <c r="S26" s="799">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92">
        <f t="shared" si="20"/>
        <v>0</v>
      </c>
      <c r="S27" s="799">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92">
        <f t="shared" si="20"/>
        <v>0</v>
      </c>
      <c r="S28" s="799">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92">
        <f t="shared" si="20"/>
        <v>0</v>
      </c>
      <c r="S29" s="799">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92">
        <f t="shared" si="20"/>
        <v>0</v>
      </c>
      <c r="S30" s="799">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92">
        <f t="shared" si="20"/>
        <v>0</v>
      </c>
      <c r="S31" s="799">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92">
        <f t="shared" si="20"/>
        <v>0</v>
      </c>
      <c r="S32" s="799">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92">
        <f t="shared" si="20"/>
        <v>0</v>
      </c>
      <c r="S33" s="799">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92">
        <f t="shared" si="20"/>
        <v>0</v>
      </c>
      <c r="S34" s="799">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92">
        <f t="shared" si="20"/>
        <v>0</v>
      </c>
      <c r="S35" s="799">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92">
        <f t="shared" si="20"/>
        <v>0</v>
      </c>
      <c r="S36" s="799">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92">
        <f t="shared" si="20"/>
        <v>0</v>
      </c>
      <c r="S37" s="799">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92">
        <f t="shared" si="20"/>
        <v>0</v>
      </c>
      <c r="S38" s="799">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92">
        <f t="shared" si="20"/>
        <v>0</v>
      </c>
      <c r="S39" s="799">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92">
        <f t="shared" si="20"/>
        <v>0</v>
      </c>
      <c r="S40" s="799">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92">
        <f t="shared" si="20"/>
        <v>0</v>
      </c>
      <c r="S41" s="799">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92">
        <f t="shared" si="20"/>
        <v>0</v>
      </c>
      <c r="S42" s="799">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92">
        <f t="shared" si="20"/>
        <v>0</v>
      </c>
      <c r="S43" s="799">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92">
        <f t="shared" si="20"/>
        <v>0</v>
      </c>
      <c r="S44" s="799">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92">
        <f t="shared" si="20"/>
        <v>0</v>
      </c>
      <c r="S45" s="799">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92">
        <f t="shared" si="20"/>
        <v>0</v>
      </c>
      <c r="S46" s="799">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92">
        <f t="shared" si="20"/>
        <v>0</v>
      </c>
      <c r="S47" s="799">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92">
        <f t="shared" si="20"/>
        <v>0</v>
      </c>
      <c r="S48" s="799">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92">
        <f t="shared" si="20"/>
        <v>0</v>
      </c>
      <c r="S49" s="799">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92">
        <f t="shared" si="20"/>
        <v>0</v>
      </c>
      <c r="S50" s="799">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92">
        <f t="shared" si="20"/>
        <v>0</v>
      </c>
      <c r="S51" s="799">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92">
        <f t="shared" si="20"/>
        <v>0</v>
      </c>
      <c r="S52" s="799">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92">
        <f t="shared" si="20"/>
        <v>0</v>
      </c>
      <c r="S53" s="799">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92">
        <f t="shared" si="20"/>
        <v>0</v>
      </c>
      <c r="S54" s="799">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92">
        <f t="shared" si="20"/>
        <v>0</v>
      </c>
      <c r="S55" s="799">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92">
        <f t="shared" si="20"/>
        <v>0</v>
      </c>
      <c r="S56" s="799">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92">
        <f t="shared" si="20"/>
        <v>0</v>
      </c>
      <c r="S57" s="799">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92">
        <f t="shared" si="20"/>
        <v>0</v>
      </c>
      <c r="S58" s="799">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92">
        <f t="shared" si="20"/>
        <v>0</v>
      </c>
      <c r="S59" s="799">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92">
        <f t="shared" si="20"/>
        <v>0</v>
      </c>
      <c r="S60" s="799">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92">
        <f t="shared" si="20"/>
        <v>0</v>
      </c>
      <c r="S61" s="799">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92">
        <f t="shared" si="20"/>
        <v>0</v>
      </c>
      <c r="S62" s="799">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92">
        <f t="shared" si="20"/>
        <v>0</v>
      </c>
      <c r="S63" s="799">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92">
        <f t="shared" si="20"/>
        <v>0</v>
      </c>
      <c r="S64" s="799">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92">
        <f t="shared" si="20"/>
        <v>0</v>
      </c>
      <c r="S65" s="799">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92">
        <f t="shared" si="20"/>
        <v>0</v>
      </c>
      <c r="S66" s="799">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92">
        <f t="shared" si="20"/>
        <v>0</v>
      </c>
      <c r="S67" s="799">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92">
        <f t="shared" si="20"/>
        <v>0</v>
      </c>
      <c r="S68" s="799">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92">
        <f t="shared" si="20"/>
        <v>0</v>
      </c>
      <c r="S69" s="799">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92">
        <f t="shared" si="20"/>
        <v>0</v>
      </c>
      <c r="S70" s="799">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92">
        <f t="shared" si="20"/>
        <v>0</v>
      </c>
      <c r="S71" s="799">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92">
        <f t="shared" si="20"/>
        <v>0</v>
      </c>
      <c r="S72" s="799">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92">
        <f t="shared" si="20"/>
        <v>0</v>
      </c>
      <c r="S73" s="799">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92">
        <f t="shared" si="20"/>
        <v>0</v>
      </c>
      <c r="S74" s="799">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92">
        <f t="shared" si="20"/>
        <v>0</v>
      </c>
      <c r="S75" s="799">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92">
        <f t="shared" si="20"/>
        <v>0</v>
      </c>
      <c r="S76" s="799">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92">
        <f t="shared" si="20"/>
        <v>0</v>
      </c>
      <c r="S77" s="799">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92">
        <f t="shared" si="20"/>
        <v>0</v>
      </c>
      <c r="S78" s="799">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92">
        <f t="shared" si="20"/>
        <v>0</v>
      </c>
      <c r="S79" s="799">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92">
        <f t="shared" si="20"/>
        <v>0</v>
      </c>
      <c r="S80" s="799">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92">
        <f t="shared" si="20"/>
        <v>0</v>
      </c>
      <c r="S81" s="799">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92">
        <f t="shared" si="20"/>
        <v>0</v>
      </c>
      <c r="S82" s="799">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92">
        <f t="shared" si="20"/>
        <v>0</v>
      </c>
      <c r="S83" s="799">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92">
        <f t="shared" si="20"/>
        <v>0</v>
      </c>
      <c r="S84" s="799">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92">
        <f t="shared" si="20"/>
        <v>0</v>
      </c>
      <c r="S85" s="799">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92">
        <f t="shared" si="20"/>
        <v>0</v>
      </c>
      <c r="S86" s="799">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92">
        <f t="shared" si="20"/>
        <v>0</v>
      </c>
      <c r="S87" s="799">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92">
        <f t="shared" si="20"/>
        <v>0</v>
      </c>
      <c r="S88" s="799">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92">
        <f t="shared" si="20"/>
        <v>0</v>
      </c>
      <c r="S89" s="799">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92">
        <f t="shared" ref="R90:R153" si="31">IF(B90="",0,ROUND($R$24*C90*E90*G90*I90*K90*M90*O90*Q90,0))</f>
        <v>0</v>
      </c>
      <c r="S90" s="799">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92">
        <f t="shared" si="31"/>
        <v>0</v>
      </c>
      <c r="S91" s="799">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92">
        <f t="shared" si="31"/>
        <v>0</v>
      </c>
      <c r="S92" s="799">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92">
        <f t="shared" si="31"/>
        <v>0</v>
      </c>
      <c r="S93" s="799">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92">
        <f t="shared" si="31"/>
        <v>0</v>
      </c>
      <c r="S94" s="799">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92">
        <f t="shared" si="31"/>
        <v>0</v>
      </c>
      <c r="S95" s="799">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92">
        <f t="shared" si="31"/>
        <v>0</v>
      </c>
      <c r="S96" s="799">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92">
        <f t="shared" si="31"/>
        <v>0</v>
      </c>
      <c r="S97" s="799">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92">
        <f t="shared" si="31"/>
        <v>0</v>
      </c>
      <c r="S98" s="799">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92">
        <f t="shared" si="31"/>
        <v>0</v>
      </c>
      <c r="S99" s="799">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92">
        <f t="shared" si="31"/>
        <v>0</v>
      </c>
      <c r="S100" s="799">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92">
        <f t="shared" si="31"/>
        <v>0</v>
      </c>
      <c r="S101" s="799">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92">
        <f t="shared" si="31"/>
        <v>0</v>
      </c>
      <c r="S102" s="799">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92">
        <f t="shared" si="31"/>
        <v>0</v>
      </c>
      <c r="S103" s="799">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92">
        <f t="shared" si="31"/>
        <v>0</v>
      </c>
      <c r="S104" s="799">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92">
        <f t="shared" si="31"/>
        <v>0</v>
      </c>
      <c r="S105" s="799">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92">
        <f t="shared" si="31"/>
        <v>0</v>
      </c>
      <c r="S106" s="799">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92">
        <f t="shared" si="31"/>
        <v>0</v>
      </c>
      <c r="S107" s="799">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92">
        <f t="shared" si="31"/>
        <v>0</v>
      </c>
      <c r="S108" s="799">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92">
        <f t="shared" si="31"/>
        <v>0</v>
      </c>
      <c r="S109" s="799">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92">
        <f t="shared" si="31"/>
        <v>0</v>
      </c>
      <c r="S110" s="799">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92">
        <f t="shared" si="31"/>
        <v>0</v>
      </c>
      <c r="S111" s="799">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92">
        <f t="shared" si="31"/>
        <v>0</v>
      </c>
      <c r="S112" s="799">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92">
        <f t="shared" si="31"/>
        <v>0</v>
      </c>
      <c r="S113" s="799">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92">
        <f t="shared" si="31"/>
        <v>0</v>
      </c>
      <c r="S114" s="799">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92">
        <f t="shared" si="31"/>
        <v>0</v>
      </c>
      <c r="S115" s="799">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92">
        <f t="shared" si="31"/>
        <v>0</v>
      </c>
      <c r="S116" s="799">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92">
        <f t="shared" si="31"/>
        <v>0</v>
      </c>
      <c r="S117" s="799">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92">
        <f t="shared" si="31"/>
        <v>0</v>
      </c>
      <c r="S118" s="799">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92">
        <f t="shared" si="31"/>
        <v>0</v>
      </c>
      <c r="S119" s="799">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92">
        <f t="shared" si="31"/>
        <v>0</v>
      </c>
      <c r="S120" s="799">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92">
        <f t="shared" si="31"/>
        <v>0</v>
      </c>
      <c r="S121" s="799">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92">
        <f t="shared" si="31"/>
        <v>0</v>
      </c>
      <c r="S122" s="799">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92">
        <f t="shared" si="31"/>
        <v>0</v>
      </c>
      <c r="S123" s="799">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92">
        <f t="shared" si="31"/>
        <v>0</v>
      </c>
      <c r="S124" s="799">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92">
        <f t="shared" si="31"/>
        <v>0</v>
      </c>
      <c r="S125" s="799">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92">
        <f t="shared" si="31"/>
        <v>0</v>
      </c>
      <c r="S126" s="799">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92">
        <f t="shared" si="31"/>
        <v>0</v>
      </c>
      <c r="S127" s="799">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92">
        <f t="shared" si="31"/>
        <v>0</v>
      </c>
      <c r="S128" s="799">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92">
        <f t="shared" si="31"/>
        <v>0</v>
      </c>
      <c r="S129" s="799">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92">
        <f t="shared" si="31"/>
        <v>0</v>
      </c>
      <c r="S130" s="799">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92">
        <f t="shared" si="31"/>
        <v>0</v>
      </c>
      <c r="S131" s="799">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92">
        <f t="shared" si="31"/>
        <v>0</v>
      </c>
      <c r="S132" s="799">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92">
        <f t="shared" si="31"/>
        <v>0</v>
      </c>
      <c r="S133" s="799">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92">
        <f t="shared" si="31"/>
        <v>0</v>
      </c>
      <c r="S134" s="799">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92">
        <f t="shared" si="31"/>
        <v>0</v>
      </c>
      <c r="S135" s="799">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92">
        <f t="shared" si="31"/>
        <v>0</v>
      </c>
      <c r="S136" s="799">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92">
        <f t="shared" si="31"/>
        <v>0</v>
      </c>
      <c r="S137" s="799">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92">
        <f t="shared" si="31"/>
        <v>0</v>
      </c>
      <c r="S138" s="799">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92">
        <f t="shared" si="31"/>
        <v>0</v>
      </c>
      <c r="S139" s="799">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92">
        <f t="shared" si="31"/>
        <v>0</v>
      </c>
      <c r="S140" s="799">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92">
        <f t="shared" si="31"/>
        <v>0</v>
      </c>
      <c r="S141" s="799">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92">
        <f t="shared" si="31"/>
        <v>0</v>
      </c>
      <c r="S142" s="799">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92">
        <f t="shared" si="31"/>
        <v>0</v>
      </c>
      <c r="S143" s="799">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92">
        <f t="shared" si="31"/>
        <v>0</v>
      </c>
      <c r="S144" s="799">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92">
        <f t="shared" si="31"/>
        <v>0</v>
      </c>
      <c r="S145" s="799">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92">
        <f t="shared" si="31"/>
        <v>0</v>
      </c>
      <c r="S146" s="799">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92">
        <f t="shared" si="31"/>
        <v>0</v>
      </c>
      <c r="S147" s="799">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92">
        <f t="shared" si="31"/>
        <v>0</v>
      </c>
      <c r="S148" s="799">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92">
        <f t="shared" si="31"/>
        <v>0</v>
      </c>
      <c r="S149" s="799">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92">
        <f t="shared" si="31"/>
        <v>0</v>
      </c>
      <c r="S150" s="799">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92">
        <f t="shared" si="31"/>
        <v>0</v>
      </c>
      <c r="S151" s="799">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92">
        <f t="shared" si="31"/>
        <v>0</v>
      </c>
      <c r="S152" s="799">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92">
        <f t="shared" si="31"/>
        <v>0</v>
      </c>
      <c r="S153" s="799">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92">
        <f t="shared" ref="R154:R217" si="41">IF(B154="",0,ROUND($R$24*C154*E154*G154*I154*K154*M154*O154*Q154,0))</f>
        <v>0</v>
      </c>
      <c r="S154" s="799">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92">
        <f t="shared" si="41"/>
        <v>0</v>
      </c>
      <c r="S155" s="799">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92">
        <f t="shared" si="41"/>
        <v>0</v>
      </c>
      <c r="S156" s="799">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92">
        <f t="shared" si="41"/>
        <v>0</v>
      </c>
      <c r="S157" s="799">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92">
        <f t="shared" si="41"/>
        <v>0</v>
      </c>
      <c r="S158" s="799">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92">
        <f t="shared" si="41"/>
        <v>0</v>
      </c>
      <c r="S159" s="799">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92">
        <f t="shared" si="41"/>
        <v>0</v>
      </c>
      <c r="S160" s="799">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92">
        <f t="shared" si="41"/>
        <v>0</v>
      </c>
      <c r="S161" s="799">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92">
        <f t="shared" si="41"/>
        <v>0</v>
      </c>
      <c r="S162" s="799">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92">
        <f t="shared" si="41"/>
        <v>0</v>
      </c>
      <c r="S163" s="799">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92">
        <f t="shared" si="41"/>
        <v>0</v>
      </c>
      <c r="S164" s="799">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92">
        <f t="shared" si="41"/>
        <v>0</v>
      </c>
      <c r="S165" s="799">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92">
        <f t="shared" si="41"/>
        <v>0</v>
      </c>
      <c r="S166" s="799">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92">
        <f t="shared" si="41"/>
        <v>0</v>
      </c>
      <c r="S167" s="799">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92">
        <f t="shared" si="41"/>
        <v>0</v>
      </c>
      <c r="S168" s="799">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92">
        <f t="shared" si="41"/>
        <v>0</v>
      </c>
      <c r="S169" s="799">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92">
        <f t="shared" si="41"/>
        <v>0</v>
      </c>
      <c r="S170" s="799">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92">
        <f t="shared" si="41"/>
        <v>0</v>
      </c>
      <c r="S171" s="799">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92">
        <f t="shared" si="41"/>
        <v>0</v>
      </c>
      <c r="S172" s="799">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92">
        <f t="shared" si="41"/>
        <v>0</v>
      </c>
      <c r="S173" s="799">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92">
        <f t="shared" si="41"/>
        <v>0</v>
      </c>
      <c r="S174" s="799">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92">
        <f t="shared" si="41"/>
        <v>0</v>
      </c>
      <c r="S175" s="799">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92">
        <f t="shared" si="41"/>
        <v>0</v>
      </c>
      <c r="S176" s="799">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92">
        <f t="shared" si="41"/>
        <v>0</v>
      </c>
      <c r="S177" s="799">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92">
        <f t="shared" si="41"/>
        <v>0</v>
      </c>
      <c r="S178" s="799">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92">
        <f t="shared" si="41"/>
        <v>0</v>
      </c>
      <c r="S179" s="799">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92">
        <f t="shared" si="41"/>
        <v>0</v>
      </c>
      <c r="S180" s="799">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92">
        <f t="shared" si="41"/>
        <v>0</v>
      </c>
      <c r="S181" s="799">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92">
        <f t="shared" si="41"/>
        <v>0</v>
      </c>
      <c r="S182" s="799">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92">
        <f t="shared" si="41"/>
        <v>0</v>
      </c>
      <c r="S183" s="799">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92">
        <f t="shared" si="41"/>
        <v>0</v>
      </c>
      <c r="S184" s="799">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92">
        <f t="shared" si="41"/>
        <v>0</v>
      </c>
      <c r="S185" s="799">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92">
        <f t="shared" si="41"/>
        <v>0</v>
      </c>
      <c r="S186" s="799">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92">
        <f t="shared" si="41"/>
        <v>0</v>
      </c>
      <c r="S187" s="799">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92">
        <f t="shared" si="41"/>
        <v>0</v>
      </c>
      <c r="S188" s="799">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92">
        <f t="shared" si="41"/>
        <v>0</v>
      </c>
      <c r="S189" s="799">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92">
        <f t="shared" si="41"/>
        <v>0</v>
      </c>
      <c r="S190" s="799">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92">
        <f t="shared" si="41"/>
        <v>0</v>
      </c>
      <c r="S191" s="799">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92">
        <f t="shared" si="41"/>
        <v>0</v>
      </c>
      <c r="S192" s="799">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92">
        <f t="shared" si="41"/>
        <v>0</v>
      </c>
      <c r="S193" s="799">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92">
        <f t="shared" si="41"/>
        <v>0</v>
      </c>
      <c r="S194" s="799">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92">
        <f t="shared" si="41"/>
        <v>0</v>
      </c>
      <c r="S195" s="799">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92">
        <f t="shared" si="41"/>
        <v>0</v>
      </c>
      <c r="S196" s="799">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92">
        <f t="shared" si="41"/>
        <v>0</v>
      </c>
      <c r="S197" s="799">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92">
        <f t="shared" si="41"/>
        <v>0</v>
      </c>
      <c r="S198" s="799">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92">
        <f t="shared" si="41"/>
        <v>0</v>
      </c>
      <c r="S199" s="799">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92">
        <f t="shared" si="41"/>
        <v>0</v>
      </c>
      <c r="S200" s="799">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92">
        <f t="shared" si="41"/>
        <v>0</v>
      </c>
      <c r="S201" s="799">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92">
        <f t="shared" si="41"/>
        <v>0</v>
      </c>
      <c r="S202" s="799">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92">
        <f t="shared" si="41"/>
        <v>0</v>
      </c>
      <c r="S203" s="799">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92">
        <f t="shared" si="41"/>
        <v>0</v>
      </c>
      <c r="S204" s="799">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92">
        <f t="shared" si="41"/>
        <v>0</v>
      </c>
      <c r="S205" s="799">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92">
        <f t="shared" si="41"/>
        <v>0</v>
      </c>
      <c r="S206" s="799">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92">
        <f t="shared" si="41"/>
        <v>0</v>
      </c>
      <c r="S207" s="799">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92">
        <f t="shared" si="41"/>
        <v>0</v>
      </c>
      <c r="S208" s="799">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92">
        <f t="shared" si="41"/>
        <v>0</v>
      </c>
      <c r="S209" s="799">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92">
        <f t="shared" si="41"/>
        <v>0</v>
      </c>
      <c r="S210" s="799">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92">
        <f t="shared" si="41"/>
        <v>0</v>
      </c>
      <c r="S211" s="799">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92">
        <f t="shared" si="41"/>
        <v>0</v>
      </c>
      <c r="S212" s="799">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92">
        <f t="shared" si="41"/>
        <v>0</v>
      </c>
      <c r="S213" s="799">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92">
        <f t="shared" si="41"/>
        <v>0</v>
      </c>
      <c r="S214" s="799">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92">
        <f t="shared" si="41"/>
        <v>0</v>
      </c>
      <c r="S215" s="799">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92">
        <f t="shared" si="41"/>
        <v>0</v>
      </c>
      <c r="S216" s="799">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92">
        <f t="shared" si="41"/>
        <v>0</v>
      </c>
      <c r="S217" s="799">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92">
        <f t="shared" ref="R218:R281" si="51">IF(B218="",0,ROUND($R$24*C218*E218*G218*I218*K218*M218*O218*Q218,0))</f>
        <v>0</v>
      </c>
      <c r="S218" s="799">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92">
        <f t="shared" si="51"/>
        <v>0</v>
      </c>
      <c r="S219" s="799">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92">
        <f t="shared" si="51"/>
        <v>0</v>
      </c>
      <c r="S220" s="799">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92">
        <f t="shared" si="51"/>
        <v>0</v>
      </c>
      <c r="S221" s="799">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92">
        <f t="shared" si="51"/>
        <v>0</v>
      </c>
      <c r="S222" s="799">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92">
        <f t="shared" si="51"/>
        <v>0</v>
      </c>
      <c r="S223" s="799">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92">
        <f t="shared" si="51"/>
        <v>0</v>
      </c>
      <c r="S224" s="799">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92">
        <f t="shared" si="51"/>
        <v>0</v>
      </c>
      <c r="S225" s="799">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92">
        <f t="shared" si="51"/>
        <v>0</v>
      </c>
      <c r="S226" s="799">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92">
        <f t="shared" si="51"/>
        <v>0</v>
      </c>
      <c r="S227" s="799">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92">
        <f t="shared" si="51"/>
        <v>0</v>
      </c>
      <c r="S228" s="799">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92">
        <f t="shared" si="51"/>
        <v>0</v>
      </c>
      <c r="S229" s="799">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92">
        <f t="shared" si="51"/>
        <v>0</v>
      </c>
      <c r="S230" s="799">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92">
        <f t="shared" si="51"/>
        <v>0</v>
      </c>
      <c r="S231" s="799">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92">
        <f t="shared" si="51"/>
        <v>0</v>
      </c>
      <c r="S232" s="799">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92">
        <f t="shared" si="51"/>
        <v>0</v>
      </c>
      <c r="S233" s="799">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92">
        <f t="shared" si="51"/>
        <v>0</v>
      </c>
      <c r="S234" s="799">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92">
        <f t="shared" si="51"/>
        <v>0</v>
      </c>
      <c r="S235" s="799">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92">
        <f t="shared" si="51"/>
        <v>0</v>
      </c>
      <c r="S236" s="799">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92">
        <f t="shared" si="51"/>
        <v>0</v>
      </c>
      <c r="S237" s="799">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92">
        <f t="shared" si="51"/>
        <v>0</v>
      </c>
      <c r="S238" s="799">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92">
        <f t="shared" si="51"/>
        <v>0</v>
      </c>
      <c r="S239" s="799">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92">
        <f t="shared" si="51"/>
        <v>0</v>
      </c>
      <c r="S240" s="799">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92">
        <f t="shared" si="51"/>
        <v>0</v>
      </c>
      <c r="S241" s="799">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92">
        <f t="shared" si="51"/>
        <v>0</v>
      </c>
      <c r="S242" s="799">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92">
        <f t="shared" si="51"/>
        <v>0</v>
      </c>
      <c r="S243" s="799">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92">
        <f t="shared" si="51"/>
        <v>0</v>
      </c>
      <c r="S244" s="799">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92">
        <f t="shared" si="51"/>
        <v>0</v>
      </c>
      <c r="S245" s="799">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92">
        <f t="shared" si="51"/>
        <v>0</v>
      </c>
      <c r="S246" s="799">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92">
        <f t="shared" si="51"/>
        <v>0</v>
      </c>
      <c r="S247" s="799">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92">
        <f t="shared" si="51"/>
        <v>0</v>
      </c>
      <c r="S248" s="799">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92">
        <f t="shared" si="51"/>
        <v>0</v>
      </c>
      <c r="S249" s="799">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92">
        <f t="shared" si="51"/>
        <v>0</v>
      </c>
      <c r="S250" s="799">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92">
        <f t="shared" si="51"/>
        <v>0</v>
      </c>
      <c r="S251" s="799">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92">
        <f t="shared" si="51"/>
        <v>0</v>
      </c>
      <c r="S252" s="799">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92">
        <f t="shared" si="51"/>
        <v>0</v>
      </c>
      <c r="S253" s="799">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92">
        <f t="shared" si="51"/>
        <v>0</v>
      </c>
      <c r="S254" s="799">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92">
        <f t="shared" si="51"/>
        <v>0</v>
      </c>
      <c r="S255" s="799">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92">
        <f t="shared" si="51"/>
        <v>0</v>
      </c>
      <c r="S256" s="799">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92">
        <f t="shared" si="51"/>
        <v>0</v>
      </c>
      <c r="S257" s="799">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92">
        <f t="shared" si="51"/>
        <v>0</v>
      </c>
      <c r="S258" s="799">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92">
        <f t="shared" si="51"/>
        <v>0</v>
      </c>
      <c r="S259" s="799">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92">
        <f t="shared" si="51"/>
        <v>0</v>
      </c>
      <c r="S260" s="799">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92">
        <f t="shared" si="51"/>
        <v>0</v>
      </c>
      <c r="S261" s="799">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92">
        <f t="shared" si="51"/>
        <v>0</v>
      </c>
      <c r="S262" s="799">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92">
        <f t="shared" si="51"/>
        <v>0</v>
      </c>
      <c r="S263" s="799">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92">
        <f t="shared" si="51"/>
        <v>0</v>
      </c>
      <c r="S264" s="799">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92">
        <f t="shared" si="51"/>
        <v>0</v>
      </c>
      <c r="S265" s="799">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92">
        <f t="shared" si="51"/>
        <v>0</v>
      </c>
      <c r="S266" s="799">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92">
        <f t="shared" si="51"/>
        <v>0</v>
      </c>
      <c r="S267" s="799">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92">
        <f t="shared" si="51"/>
        <v>0</v>
      </c>
      <c r="S268" s="799">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92">
        <f t="shared" si="51"/>
        <v>0</v>
      </c>
      <c r="S269" s="799">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92">
        <f t="shared" si="51"/>
        <v>0</v>
      </c>
      <c r="S270" s="799">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92">
        <f t="shared" si="51"/>
        <v>0</v>
      </c>
      <c r="S271" s="799">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92">
        <f t="shared" si="51"/>
        <v>0</v>
      </c>
      <c r="S272" s="799">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92">
        <f t="shared" si="51"/>
        <v>0</v>
      </c>
      <c r="S273" s="799">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92">
        <f t="shared" si="51"/>
        <v>0</v>
      </c>
      <c r="S274" s="799">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92">
        <f t="shared" si="51"/>
        <v>0</v>
      </c>
      <c r="S275" s="799">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92">
        <f t="shared" si="51"/>
        <v>0</v>
      </c>
      <c r="S276" s="799">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92">
        <f t="shared" si="51"/>
        <v>0</v>
      </c>
      <c r="S277" s="799">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92">
        <f t="shared" si="51"/>
        <v>0</v>
      </c>
      <c r="S278" s="799">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92">
        <f t="shared" si="51"/>
        <v>0</v>
      </c>
      <c r="S279" s="799">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92">
        <f t="shared" si="51"/>
        <v>0</v>
      </c>
      <c r="S280" s="799">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92">
        <f t="shared" si="51"/>
        <v>0</v>
      </c>
      <c r="S281" s="799">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92">
        <f t="shared" ref="R282:R345" si="61">IF(B282="",0,ROUND($R$24*C282*E282*G282*I282*K282*M282*O282*Q282,0))</f>
        <v>0</v>
      </c>
      <c r="S282" s="799">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92">
        <f t="shared" si="61"/>
        <v>0</v>
      </c>
      <c r="S283" s="799">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92">
        <f t="shared" si="61"/>
        <v>0</v>
      </c>
      <c r="S284" s="799">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92">
        <f t="shared" si="61"/>
        <v>0</v>
      </c>
      <c r="S285" s="799">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92">
        <f t="shared" si="61"/>
        <v>0</v>
      </c>
      <c r="S286" s="799">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92">
        <f t="shared" si="61"/>
        <v>0</v>
      </c>
      <c r="S287" s="799">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92">
        <f t="shared" si="61"/>
        <v>0</v>
      </c>
      <c r="S288" s="799">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92">
        <f t="shared" si="61"/>
        <v>0</v>
      </c>
      <c r="S289" s="799">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92">
        <f t="shared" si="61"/>
        <v>0</v>
      </c>
      <c r="S290" s="799">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92">
        <f t="shared" si="61"/>
        <v>0</v>
      </c>
      <c r="S291" s="799">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92">
        <f t="shared" si="61"/>
        <v>0</v>
      </c>
      <c r="S292" s="799">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92">
        <f t="shared" si="61"/>
        <v>0</v>
      </c>
      <c r="S293" s="799">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92">
        <f t="shared" si="61"/>
        <v>0</v>
      </c>
      <c r="S294" s="799">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92">
        <f t="shared" si="61"/>
        <v>0</v>
      </c>
      <c r="S295" s="799">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92">
        <f t="shared" si="61"/>
        <v>0</v>
      </c>
      <c r="S296" s="799">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92">
        <f t="shared" si="61"/>
        <v>0</v>
      </c>
      <c r="S297" s="799">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92">
        <f t="shared" si="61"/>
        <v>0</v>
      </c>
      <c r="S298" s="799">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92">
        <f t="shared" si="61"/>
        <v>0</v>
      </c>
      <c r="S299" s="799">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92">
        <f t="shared" si="61"/>
        <v>0</v>
      </c>
      <c r="S300" s="799">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92">
        <f t="shared" si="61"/>
        <v>0</v>
      </c>
      <c r="S301" s="799">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92">
        <f t="shared" si="61"/>
        <v>0</v>
      </c>
      <c r="S302" s="799">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92">
        <f t="shared" si="61"/>
        <v>0</v>
      </c>
      <c r="S303" s="799">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92">
        <f t="shared" si="61"/>
        <v>0</v>
      </c>
      <c r="S304" s="799">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92">
        <f t="shared" si="61"/>
        <v>0</v>
      </c>
      <c r="S305" s="799">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92">
        <f t="shared" si="61"/>
        <v>0</v>
      </c>
      <c r="S306" s="799">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92">
        <f t="shared" si="61"/>
        <v>0</v>
      </c>
      <c r="S307" s="799">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92">
        <f t="shared" si="61"/>
        <v>0</v>
      </c>
      <c r="S308" s="799">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92">
        <f t="shared" si="61"/>
        <v>0</v>
      </c>
      <c r="S309" s="799">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92">
        <f t="shared" si="61"/>
        <v>0</v>
      </c>
      <c r="S310" s="799">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92">
        <f t="shared" si="61"/>
        <v>0</v>
      </c>
      <c r="S311" s="799">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92">
        <f t="shared" si="61"/>
        <v>0</v>
      </c>
      <c r="S312" s="799">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92">
        <f t="shared" si="61"/>
        <v>0</v>
      </c>
      <c r="S313" s="799">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92">
        <f t="shared" si="61"/>
        <v>0</v>
      </c>
      <c r="S314" s="799">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92">
        <f t="shared" si="61"/>
        <v>0</v>
      </c>
      <c r="S315" s="799">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92">
        <f t="shared" si="61"/>
        <v>0</v>
      </c>
      <c r="S316" s="799">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92">
        <f t="shared" si="61"/>
        <v>0</v>
      </c>
      <c r="S317" s="799">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92">
        <f t="shared" si="61"/>
        <v>0</v>
      </c>
      <c r="S318" s="799">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92">
        <f t="shared" si="61"/>
        <v>0</v>
      </c>
      <c r="S319" s="799">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92">
        <f t="shared" si="61"/>
        <v>0</v>
      </c>
      <c r="S320" s="799">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92">
        <f t="shared" si="61"/>
        <v>0</v>
      </c>
      <c r="S321" s="799">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92">
        <f t="shared" si="61"/>
        <v>0</v>
      </c>
      <c r="S322" s="799">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92">
        <f t="shared" si="61"/>
        <v>0</v>
      </c>
      <c r="S323" s="799">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92">
        <f t="shared" si="61"/>
        <v>0</v>
      </c>
      <c r="S324" s="799">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92">
        <f t="shared" si="61"/>
        <v>0</v>
      </c>
      <c r="S325" s="799">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92">
        <f t="shared" si="61"/>
        <v>0</v>
      </c>
      <c r="S326" s="799">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92">
        <f t="shared" si="61"/>
        <v>0</v>
      </c>
      <c r="S327" s="799">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92">
        <f t="shared" si="61"/>
        <v>0</v>
      </c>
      <c r="S328" s="799">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92">
        <f t="shared" si="61"/>
        <v>0</v>
      </c>
      <c r="S329" s="799">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92">
        <f t="shared" si="61"/>
        <v>0</v>
      </c>
      <c r="S330" s="799">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92">
        <f t="shared" si="61"/>
        <v>0</v>
      </c>
      <c r="S331" s="799">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92">
        <f t="shared" si="61"/>
        <v>0</v>
      </c>
      <c r="S332" s="799">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92">
        <f t="shared" si="61"/>
        <v>0</v>
      </c>
      <c r="S333" s="799">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92">
        <f t="shared" si="61"/>
        <v>0</v>
      </c>
      <c r="S334" s="799">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92">
        <f t="shared" si="61"/>
        <v>0</v>
      </c>
      <c r="S335" s="799">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92">
        <f t="shared" si="61"/>
        <v>0</v>
      </c>
      <c r="S336" s="799">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92">
        <f t="shared" si="61"/>
        <v>0</v>
      </c>
      <c r="S337" s="799">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92">
        <f t="shared" si="61"/>
        <v>0</v>
      </c>
      <c r="S338" s="799">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92">
        <f t="shared" si="61"/>
        <v>0</v>
      </c>
      <c r="S339" s="799">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92">
        <f t="shared" si="61"/>
        <v>0</v>
      </c>
      <c r="S340" s="799">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92">
        <f t="shared" si="61"/>
        <v>0</v>
      </c>
      <c r="S341" s="799">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92">
        <f t="shared" si="61"/>
        <v>0</v>
      </c>
      <c r="S342" s="799">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92">
        <f t="shared" si="61"/>
        <v>0</v>
      </c>
      <c r="S343" s="799">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92">
        <f t="shared" si="61"/>
        <v>0</v>
      </c>
      <c r="S344" s="799">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92">
        <f t="shared" si="61"/>
        <v>0</v>
      </c>
      <c r="S345" s="799">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92">
        <f t="shared" ref="R346:R409" si="72">IF(B346="",0,ROUND($R$24*C346*E346*G346*I346*K346*M346*O346*Q346,0))</f>
        <v>0</v>
      </c>
      <c r="S346" s="799">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92">
        <f t="shared" si="72"/>
        <v>0</v>
      </c>
      <c r="S347" s="799">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92">
        <f t="shared" si="72"/>
        <v>0</v>
      </c>
      <c r="S348" s="799">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92">
        <f t="shared" si="72"/>
        <v>0</v>
      </c>
      <c r="S349" s="799">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92">
        <f t="shared" si="72"/>
        <v>0</v>
      </c>
      <c r="S350" s="799">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92">
        <f t="shared" si="72"/>
        <v>0</v>
      </c>
      <c r="S351" s="799">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92">
        <f t="shared" si="72"/>
        <v>0</v>
      </c>
      <c r="S352" s="799">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92">
        <f t="shared" si="72"/>
        <v>0</v>
      </c>
      <c r="S353" s="799">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92">
        <f t="shared" si="72"/>
        <v>0</v>
      </c>
      <c r="S354" s="799">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92">
        <f t="shared" si="72"/>
        <v>0</v>
      </c>
      <c r="S355" s="799">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92">
        <f t="shared" si="72"/>
        <v>0</v>
      </c>
      <c r="S356" s="799">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92">
        <f t="shared" si="72"/>
        <v>0</v>
      </c>
      <c r="S357" s="799">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92">
        <f t="shared" si="72"/>
        <v>0</v>
      </c>
      <c r="S358" s="799">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92">
        <f t="shared" si="72"/>
        <v>0</v>
      </c>
      <c r="S359" s="799">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92">
        <f t="shared" si="72"/>
        <v>0</v>
      </c>
      <c r="S360" s="799">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92">
        <f t="shared" si="72"/>
        <v>0</v>
      </c>
      <c r="S361" s="799">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92">
        <f t="shared" si="72"/>
        <v>0</v>
      </c>
      <c r="S362" s="799">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92">
        <f t="shared" si="72"/>
        <v>0</v>
      </c>
      <c r="S363" s="799">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92">
        <f t="shared" si="72"/>
        <v>0</v>
      </c>
      <c r="S364" s="799">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92">
        <f t="shared" si="72"/>
        <v>0</v>
      </c>
      <c r="S365" s="799">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92">
        <f t="shared" si="72"/>
        <v>0</v>
      </c>
      <c r="S366" s="799">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92">
        <f t="shared" si="72"/>
        <v>0</v>
      </c>
      <c r="S367" s="799">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92">
        <f t="shared" si="72"/>
        <v>0</v>
      </c>
      <c r="S368" s="799">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92">
        <f t="shared" si="72"/>
        <v>0</v>
      </c>
      <c r="S369" s="799">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92">
        <f t="shared" si="72"/>
        <v>0</v>
      </c>
      <c r="S370" s="799">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92">
        <f t="shared" si="72"/>
        <v>0</v>
      </c>
      <c r="S371" s="799">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92">
        <f t="shared" si="72"/>
        <v>0</v>
      </c>
      <c r="S372" s="799">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92">
        <f t="shared" si="72"/>
        <v>0</v>
      </c>
      <c r="S373" s="799">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92">
        <f t="shared" si="72"/>
        <v>0</v>
      </c>
      <c r="S374" s="799">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92">
        <f t="shared" si="72"/>
        <v>0</v>
      </c>
      <c r="S375" s="799">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92">
        <f t="shared" si="72"/>
        <v>0</v>
      </c>
      <c r="S376" s="799">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92">
        <f t="shared" si="72"/>
        <v>0</v>
      </c>
      <c r="S377" s="799">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92">
        <f t="shared" si="72"/>
        <v>0</v>
      </c>
      <c r="S378" s="799">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92">
        <f t="shared" si="72"/>
        <v>0</v>
      </c>
      <c r="S379" s="799">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92">
        <f t="shared" si="72"/>
        <v>0</v>
      </c>
      <c r="S380" s="799">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92">
        <f t="shared" si="72"/>
        <v>0</v>
      </c>
      <c r="S381" s="799">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92">
        <f t="shared" si="72"/>
        <v>0</v>
      </c>
      <c r="S382" s="799">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92">
        <f t="shared" si="72"/>
        <v>0</v>
      </c>
      <c r="S383" s="799">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92">
        <f t="shared" si="72"/>
        <v>0</v>
      </c>
      <c r="S384" s="799">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92">
        <f t="shared" si="72"/>
        <v>0</v>
      </c>
      <c r="S385" s="799">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92">
        <f t="shared" si="72"/>
        <v>0</v>
      </c>
      <c r="S386" s="799">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92">
        <f t="shared" si="72"/>
        <v>0</v>
      </c>
      <c r="S387" s="799">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92">
        <f t="shared" si="72"/>
        <v>0</v>
      </c>
      <c r="S388" s="799">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92">
        <f t="shared" si="72"/>
        <v>0</v>
      </c>
      <c r="S389" s="799">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92">
        <f t="shared" si="72"/>
        <v>0</v>
      </c>
      <c r="S390" s="799">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92">
        <f t="shared" si="72"/>
        <v>0</v>
      </c>
      <c r="S391" s="799">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92">
        <f t="shared" si="72"/>
        <v>0</v>
      </c>
      <c r="S392" s="799">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92">
        <f t="shared" si="72"/>
        <v>0</v>
      </c>
      <c r="S393" s="799">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92">
        <f t="shared" si="72"/>
        <v>0</v>
      </c>
      <c r="S394" s="799">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92">
        <f t="shared" si="72"/>
        <v>0</v>
      </c>
      <c r="S395" s="799">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92">
        <f t="shared" si="72"/>
        <v>0</v>
      </c>
      <c r="S396" s="799">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92">
        <f t="shared" si="72"/>
        <v>0</v>
      </c>
      <c r="S397" s="799">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92">
        <f t="shared" si="72"/>
        <v>0</v>
      </c>
      <c r="S398" s="799">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92">
        <f t="shared" si="72"/>
        <v>0</v>
      </c>
      <c r="S399" s="799">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92">
        <f t="shared" si="72"/>
        <v>0</v>
      </c>
      <c r="S400" s="799">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92">
        <f t="shared" si="72"/>
        <v>0</v>
      </c>
      <c r="S401" s="799">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92">
        <f t="shared" si="72"/>
        <v>0</v>
      </c>
      <c r="S402" s="799">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92">
        <f t="shared" si="72"/>
        <v>0</v>
      </c>
      <c r="S403" s="799">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92">
        <f t="shared" si="72"/>
        <v>0</v>
      </c>
      <c r="S404" s="799">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92">
        <f t="shared" si="72"/>
        <v>0</v>
      </c>
      <c r="S405" s="799">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92">
        <f t="shared" si="72"/>
        <v>0</v>
      </c>
      <c r="S406" s="799">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92">
        <f t="shared" si="72"/>
        <v>0</v>
      </c>
      <c r="S407" s="799">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92">
        <f t="shared" si="72"/>
        <v>0</v>
      </c>
      <c r="S408" s="799">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92">
        <f t="shared" si="72"/>
        <v>0</v>
      </c>
      <c r="S409" s="799">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92">
        <f t="shared" ref="R410:R473" si="82">IF(B410="",0,ROUND($R$24*C410*E410*G410*I410*K410*M410*O410*Q410,0))</f>
        <v>0</v>
      </c>
      <c r="S410" s="799">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92">
        <f t="shared" si="82"/>
        <v>0</v>
      </c>
      <c r="S411" s="799">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92">
        <f t="shared" si="82"/>
        <v>0</v>
      </c>
      <c r="S412" s="799">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92">
        <f t="shared" si="82"/>
        <v>0</v>
      </c>
      <c r="S413" s="799">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92">
        <f t="shared" si="82"/>
        <v>0</v>
      </c>
      <c r="S414" s="799">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92">
        <f t="shared" si="82"/>
        <v>0</v>
      </c>
      <c r="S415" s="799">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92">
        <f t="shared" si="82"/>
        <v>0</v>
      </c>
      <c r="S416" s="799">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92">
        <f t="shared" si="82"/>
        <v>0</v>
      </c>
      <c r="S417" s="799">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92">
        <f t="shared" si="82"/>
        <v>0</v>
      </c>
      <c r="S418" s="799">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92">
        <f t="shared" si="82"/>
        <v>0</v>
      </c>
      <c r="S419" s="799">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92">
        <f t="shared" si="82"/>
        <v>0</v>
      </c>
      <c r="S420" s="799">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92">
        <f t="shared" si="82"/>
        <v>0</v>
      </c>
      <c r="S421" s="799">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92">
        <f t="shared" si="82"/>
        <v>0</v>
      </c>
      <c r="S422" s="799">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92">
        <f t="shared" si="82"/>
        <v>0</v>
      </c>
      <c r="S423" s="799">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92">
        <f t="shared" si="82"/>
        <v>0</v>
      </c>
      <c r="S424" s="799">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92">
        <f t="shared" si="82"/>
        <v>0</v>
      </c>
      <c r="S425" s="799">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92">
        <f t="shared" si="82"/>
        <v>0</v>
      </c>
      <c r="S426" s="799">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92">
        <f t="shared" si="82"/>
        <v>0</v>
      </c>
      <c r="S427" s="799">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92">
        <f t="shared" si="82"/>
        <v>0</v>
      </c>
      <c r="S428" s="799">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92">
        <f t="shared" si="82"/>
        <v>0</v>
      </c>
      <c r="S429" s="799">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92">
        <f t="shared" si="82"/>
        <v>0</v>
      </c>
      <c r="S430" s="799">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92">
        <f t="shared" si="82"/>
        <v>0</v>
      </c>
      <c r="S431" s="799">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92">
        <f t="shared" si="82"/>
        <v>0</v>
      </c>
      <c r="S432" s="799">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92">
        <f t="shared" si="82"/>
        <v>0</v>
      </c>
      <c r="S433" s="799">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92">
        <f t="shared" si="82"/>
        <v>0</v>
      </c>
      <c r="S434" s="799">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92">
        <f t="shared" si="82"/>
        <v>0</v>
      </c>
      <c r="S435" s="799">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92">
        <f t="shared" si="82"/>
        <v>0</v>
      </c>
      <c r="S436" s="799">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92">
        <f t="shared" si="82"/>
        <v>0</v>
      </c>
      <c r="S437" s="799">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92">
        <f t="shared" si="82"/>
        <v>0</v>
      </c>
      <c r="S438" s="799">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92">
        <f t="shared" si="82"/>
        <v>0</v>
      </c>
      <c r="S439" s="799">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92">
        <f t="shared" si="82"/>
        <v>0</v>
      </c>
      <c r="S440" s="799">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92">
        <f t="shared" si="82"/>
        <v>0</v>
      </c>
      <c r="S441" s="799">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92">
        <f t="shared" si="82"/>
        <v>0</v>
      </c>
      <c r="S442" s="799">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92">
        <f t="shared" si="82"/>
        <v>0</v>
      </c>
      <c r="S443" s="799">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92">
        <f t="shared" si="82"/>
        <v>0</v>
      </c>
      <c r="S444" s="799">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92">
        <f t="shared" si="82"/>
        <v>0</v>
      </c>
      <c r="S445" s="799">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92">
        <f t="shared" si="82"/>
        <v>0</v>
      </c>
      <c r="S446" s="799">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92">
        <f t="shared" si="82"/>
        <v>0</v>
      </c>
      <c r="S447" s="799">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92">
        <f t="shared" si="82"/>
        <v>0</v>
      </c>
      <c r="S448" s="799">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92">
        <f t="shared" si="82"/>
        <v>0</v>
      </c>
      <c r="S449" s="799">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92">
        <f t="shared" si="82"/>
        <v>0</v>
      </c>
      <c r="S450" s="799">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92">
        <f t="shared" si="82"/>
        <v>0</v>
      </c>
      <c r="S451" s="799">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92">
        <f t="shared" si="82"/>
        <v>0</v>
      </c>
      <c r="S452" s="799">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92">
        <f t="shared" si="82"/>
        <v>0</v>
      </c>
      <c r="S453" s="799">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92">
        <f t="shared" si="82"/>
        <v>0</v>
      </c>
      <c r="S454" s="799">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92">
        <f t="shared" si="82"/>
        <v>0</v>
      </c>
      <c r="S455" s="799">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92">
        <f t="shared" si="82"/>
        <v>0</v>
      </c>
      <c r="S456" s="799">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92">
        <f t="shared" si="82"/>
        <v>0</v>
      </c>
      <c r="S457" s="799">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92">
        <f t="shared" si="82"/>
        <v>0</v>
      </c>
      <c r="S458" s="799">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92">
        <f t="shared" si="82"/>
        <v>0</v>
      </c>
      <c r="S459" s="799">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92">
        <f t="shared" si="82"/>
        <v>0</v>
      </c>
      <c r="S460" s="799">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92">
        <f t="shared" si="82"/>
        <v>0</v>
      </c>
      <c r="S461" s="799">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92">
        <f t="shared" si="82"/>
        <v>0</v>
      </c>
      <c r="S462" s="799">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92">
        <f t="shared" si="82"/>
        <v>0</v>
      </c>
      <c r="S463" s="799">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92">
        <f t="shared" si="82"/>
        <v>0</v>
      </c>
      <c r="S464" s="799">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92">
        <f t="shared" si="82"/>
        <v>0</v>
      </c>
      <c r="S465" s="799">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92">
        <f t="shared" si="82"/>
        <v>0</v>
      </c>
      <c r="S466" s="799">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92">
        <f t="shared" si="82"/>
        <v>0</v>
      </c>
      <c r="S467" s="799">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92">
        <f t="shared" si="82"/>
        <v>0</v>
      </c>
      <c r="S468" s="799">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92">
        <f t="shared" si="82"/>
        <v>0</v>
      </c>
      <c r="S469" s="799">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92">
        <f t="shared" si="82"/>
        <v>0</v>
      </c>
      <c r="S470" s="799">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92">
        <f t="shared" si="82"/>
        <v>0</v>
      </c>
      <c r="S471" s="799">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92">
        <f t="shared" si="82"/>
        <v>0</v>
      </c>
      <c r="S472" s="799">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92">
        <f t="shared" si="82"/>
        <v>0</v>
      </c>
      <c r="S473" s="799">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92">
        <f t="shared" ref="R474:R524" si="93">IF(B474="",0,ROUND($R$24*C474*E474*G474*I474*K474*M474*O474*Q474,0))</f>
        <v>0</v>
      </c>
      <c r="S474" s="799">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92">
        <f t="shared" si="93"/>
        <v>0</v>
      </c>
      <c r="S475" s="799">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92">
        <f t="shared" si="93"/>
        <v>0</v>
      </c>
      <c r="S476" s="799">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92">
        <f t="shared" si="93"/>
        <v>0</v>
      </c>
      <c r="S477" s="799">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92">
        <f t="shared" si="93"/>
        <v>0</v>
      </c>
      <c r="S478" s="799">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92">
        <f t="shared" si="93"/>
        <v>0</v>
      </c>
      <c r="S479" s="799">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92">
        <f t="shared" si="93"/>
        <v>0</v>
      </c>
      <c r="S480" s="799">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92">
        <f t="shared" si="93"/>
        <v>0</v>
      </c>
      <c r="S481" s="799">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92">
        <f t="shared" si="93"/>
        <v>0</v>
      </c>
      <c r="S482" s="799">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92">
        <f t="shared" si="93"/>
        <v>0</v>
      </c>
      <c r="S483" s="799">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92">
        <f t="shared" si="93"/>
        <v>0</v>
      </c>
      <c r="S484" s="799">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92">
        <f t="shared" si="93"/>
        <v>0</v>
      </c>
      <c r="S485" s="799">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92">
        <f t="shared" si="93"/>
        <v>0</v>
      </c>
      <c r="S486" s="799">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92">
        <f t="shared" si="93"/>
        <v>0</v>
      </c>
      <c r="S487" s="799">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92">
        <f t="shared" si="93"/>
        <v>0</v>
      </c>
      <c r="S488" s="799">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92">
        <f t="shared" si="93"/>
        <v>0</v>
      </c>
      <c r="S489" s="799">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92">
        <f t="shared" si="93"/>
        <v>0</v>
      </c>
      <c r="S490" s="799">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92">
        <f t="shared" si="93"/>
        <v>0</v>
      </c>
      <c r="S491" s="799">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92">
        <f t="shared" si="93"/>
        <v>0</v>
      </c>
      <c r="S492" s="799">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92">
        <f t="shared" si="93"/>
        <v>0</v>
      </c>
      <c r="S493" s="799">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92">
        <f t="shared" si="93"/>
        <v>0</v>
      </c>
      <c r="S494" s="799">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92">
        <f t="shared" si="93"/>
        <v>0</v>
      </c>
      <c r="S495" s="799">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92">
        <f t="shared" si="93"/>
        <v>0</v>
      </c>
      <c r="S496" s="799">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92">
        <f t="shared" si="93"/>
        <v>0</v>
      </c>
      <c r="S497" s="799">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92">
        <f t="shared" si="93"/>
        <v>0</v>
      </c>
      <c r="S498" s="799">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92">
        <f t="shared" si="93"/>
        <v>0</v>
      </c>
      <c r="S499" s="799">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92">
        <f t="shared" si="93"/>
        <v>0</v>
      </c>
      <c r="S500" s="799">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92">
        <f t="shared" si="93"/>
        <v>0</v>
      </c>
      <c r="S501" s="799">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92">
        <f t="shared" si="93"/>
        <v>0</v>
      </c>
      <c r="S502" s="799">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92">
        <f t="shared" si="93"/>
        <v>0</v>
      </c>
      <c r="S503" s="799">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92">
        <f t="shared" si="93"/>
        <v>0</v>
      </c>
      <c r="S504" s="799">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92">
        <f t="shared" si="93"/>
        <v>0</v>
      </c>
      <c r="S505" s="799">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92">
        <f t="shared" si="93"/>
        <v>0</v>
      </c>
      <c r="S506" s="799">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92">
        <f t="shared" si="93"/>
        <v>0</v>
      </c>
      <c r="S507" s="799">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92">
        <f t="shared" si="93"/>
        <v>0</v>
      </c>
      <c r="S508" s="799">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92">
        <f t="shared" si="93"/>
        <v>0</v>
      </c>
      <c r="S509" s="799">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92">
        <f t="shared" si="93"/>
        <v>0</v>
      </c>
      <c r="S510" s="799">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92">
        <f t="shared" si="93"/>
        <v>0</v>
      </c>
      <c r="S511" s="799">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92">
        <f t="shared" si="93"/>
        <v>0</v>
      </c>
      <c r="S512" s="799">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92">
        <f t="shared" si="93"/>
        <v>0</v>
      </c>
      <c r="S513" s="799">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92">
        <f t="shared" si="93"/>
        <v>0</v>
      </c>
      <c r="S514" s="799">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92">
        <f t="shared" si="93"/>
        <v>0</v>
      </c>
      <c r="S515" s="799">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92">
        <f t="shared" si="93"/>
        <v>0</v>
      </c>
      <c r="S516" s="799">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92">
        <f t="shared" si="93"/>
        <v>0</v>
      </c>
      <c r="S517" s="799">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92">
        <f t="shared" si="93"/>
        <v>0</v>
      </c>
      <c r="S518" s="799">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92">
        <f t="shared" si="93"/>
        <v>0</v>
      </c>
      <c r="S519" s="799">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92">
        <f t="shared" si="93"/>
        <v>0</v>
      </c>
      <c r="S520" s="799">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92">
        <f t="shared" si="93"/>
        <v>0</v>
      </c>
      <c r="S521" s="799">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92">
        <f t="shared" si="93"/>
        <v>0</v>
      </c>
      <c r="S522" s="799">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92">
        <f t="shared" si="93"/>
        <v>0</v>
      </c>
      <c r="S523" s="799">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92">
        <f t="shared" si="93"/>
        <v>0</v>
      </c>
      <c r="S524" s="799">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37.5">
      <c r="A4" s="1791" t="str">
        <f>"受贵公司委托，我公司对"&amp;项目基本情况!K2&amp;项目基本情况!B9&amp;"进行了预评估。"</f>
        <v>受贵公司委托，我公司对湖南省长沙市望城区金山桥街道出让国有建设用地使用权市场价格进行了预评估。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湖南省长沙市望城区金山桥街道出让国有建设用地使用权。根据《国有土地使用证》[]，估价对象（分摊）出让国有建设用地使用权面积为105421.08平方米。根据《建设工程规划许可证》[]、《出让合同》[]，估价对象规划建筑面积为231926.37平方米。</v>
      </c>
    </row>
    <row r="7" spans="1:4" ht="93.75">
      <c r="A7" s="2899" t="s">
        <v>2753</v>
      </c>
    </row>
    <row r="8" spans="1:4" ht="18.75">
      <c r="A8" s="1794" t="s">
        <v>1906</v>
      </c>
    </row>
    <row r="9" spans="1:4" ht="75">
      <c r="A9" s="1796" t="str">
        <f>IF(项目基本情况!B8="抵押",IF(项目基本情况!B5=项目基本情况!B6,定义!C51,定义!B51),定义!D51)</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2027</v>
      </c>
    </row>
    <row r="11" spans="1:4" ht="18.75">
      <c r="A11" s="1780" t="str">
        <f>TEXT(项目基本情况!D3,"yyyy年m月d日;;")&amp;IF(项目基本情况!B3=项目基本情况!D3,"（评估专业人员勘察现场之日）","")</f>
        <v>2017年12月14日（评估专业人员勘察现场之日）</v>
      </c>
    </row>
    <row r="12" spans="1:4" ht="18.75">
      <c r="A12" s="1797" t="s">
        <v>2026</v>
      </c>
    </row>
    <row r="13" spans="1:4" ht="18.75">
      <c r="A13" s="1791" t="s">
        <v>2072</v>
      </c>
    </row>
    <row r="14" spans="1:4" ht="18.75">
      <c r="A14" s="1791" t="str">
        <f>"根据"&amp;项目基本情况!F12&amp;"，本次评估估价对象证载（地类）用途为"&amp;项目基本情况!B12&amp;"。"</f>
        <v>根据《可研报告》，本次评估估价对象证载（地类）用途为。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2073</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2074</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根据《国有土地使用证》[]，估价对象（分摊）出让国有建设用地使用权面积为105421.08平方米。根据《建设工程规划许可证》[]、《出让合同》[]，估价对象规划建筑面积为231926.37平方米。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2075</v>
      </c>
    </row>
    <row r="23" spans="1:1" ht="18.75">
      <c r="A23" s="2901" t="s">
        <v>2754</v>
      </c>
    </row>
    <row r="24" spans="1:1" ht="18.75">
      <c r="A24" s="1791" t="s">
        <v>2076</v>
      </c>
    </row>
    <row r="25" spans="1:1" ht="75">
      <c r="A25" s="1791" t="str">
        <f>定义!C53</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2028</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7" customWidth="1"/>
    <col min="2" max="2" width="13.25" style="2973" customWidth="1"/>
    <col min="3" max="3" width="15.625" style="2973" customWidth="1"/>
    <col min="4" max="4" width="9.375" style="2973" bestFit="1" customWidth="1"/>
    <col min="5" max="5" width="13.5" style="2973" customWidth="1"/>
    <col min="6" max="6" width="9" style="2973"/>
    <col min="7" max="7" width="9.375" style="2973" bestFit="1" customWidth="1"/>
    <col min="8" max="9" width="9" style="2973"/>
    <col min="10" max="10" width="9.375" style="2973" bestFit="1" customWidth="1"/>
    <col min="11" max="11" width="4" style="2967" customWidth="1"/>
    <col min="12" max="12" width="5.125" style="2973" customWidth="1"/>
    <col min="13" max="13" width="13.75" style="2973" customWidth="1"/>
    <col min="14" max="256" width="9" style="2973"/>
    <col min="257" max="257" width="4.875" style="2965" customWidth="1"/>
    <col min="258" max="258" width="13.25" style="2965" customWidth="1"/>
    <col min="259" max="259" width="15.625" style="2965" customWidth="1"/>
    <col min="260" max="260" width="9.375" style="2965" bestFit="1" customWidth="1"/>
    <col min="261" max="261" width="13.5" style="2965" customWidth="1"/>
    <col min="262" max="262" width="9" style="2965"/>
    <col min="263" max="263" width="9.375" style="2965" bestFit="1" customWidth="1"/>
    <col min="264" max="265" width="9" style="2965"/>
    <col min="266" max="266" width="9.375" style="2965" bestFit="1" customWidth="1"/>
    <col min="267" max="267" width="4" style="2965" customWidth="1"/>
    <col min="268" max="268" width="5.125" style="2965" customWidth="1"/>
    <col min="269" max="269" width="13.75" style="2965" customWidth="1"/>
    <col min="270" max="512" width="9" style="2965"/>
    <col min="513" max="513" width="4.875" style="2965" customWidth="1"/>
    <col min="514" max="514" width="13.25" style="2965" customWidth="1"/>
    <col min="515" max="515" width="15.625" style="2965" customWidth="1"/>
    <col min="516" max="516" width="9.375" style="2965" bestFit="1" customWidth="1"/>
    <col min="517" max="517" width="13.5" style="2965" customWidth="1"/>
    <col min="518" max="518" width="9" style="2965"/>
    <col min="519" max="519" width="9.375" style="2965" bestFit="1" customWidth="1"/>
    <col min="520" max="521" width="9" style="2965"/>
    <col min="522" max="522" width="9.375" style="2965" bestFit="1" customWidth="1"/>
    <col min="523" max="523" width="4" style="2965" customWidth="1"/>
    <col min="524" max="524" width="5.125" style="2965" customWidth="1"/>
    <col min="525" max="525" width="13.75" style="2965" customWidth="1"/>
    <col min="526" max="768" width="9" style="2965"/>
    <col min="769" max="769" width="4.875" style="2965" customWidth="1"/>
    <col min="770" max="770" width="13.25" style="2965" customWidth="1"/>
    <col min="771" max="771" width="15.625" style="2965" customWidth="1"/>
    <col min="772" max="772" width="9.375" style="2965" bestFit="1" customWidth="1"/>
    <col min="773" max="773" width="13.5" style="2965" customWidth="1"/>
    <col min="774" max="774" width="9" style="2965"/>
    <col min="775" max="775" width="9.375" style="2965" bestFit="1" customWidth="1"/>
    <col min="776" max="777" width="9" style="2965"/>
    <col min="778" max="778" width="9.375" style="2965" bestFit="1" customWidth="1"/>
    <col min="779" max="779" width="4" style="2965" customWidth="1"/>
    <col min="780" max="780" width="5.125" style="2965" customWidth="1"/>
    <col min="781" max="781" width="13.75" style="2965" customWidth="1"/>
    <col min="782" max="1024" width="9" style="2965"/>
    <col min="1025" max="1025" width="4.875" style="2965" customWidth="1"/>
    <col min="1026" max="1026" width="13.25" style="2965" customWidth="1"/>
    <col min="1027" max="1027" width="15.625" style="2965" customWidth="1"/>
    <col min="1028" max="1028" width="9.375" style="2965" bestFit="1" customWidth="1"/>
    <col min="1029" max="1029" width="13.5" style="2965" customWidth="1"/>
    <col min="1030" max="1030" width="9" style="2965"/>
    <col min="1031" max="1031" width="9.375" style="2965" bestFit="1" customWidth="1"/>
    <col min="1032" max="1033" width="9" style="2965"/>
    <col min="1034" max="1034" width="9.375" style="2965" bestFit="1" customWidth="1"/>
    <col min="1035" max="1035" width="4" style="2965" customWidth="1"/>
    <col min="1036" max="1036" width="5.125" style="2965" customWidth="1"/>
    <col min="1037" max="1037" width="13.75" style="2965" customWidth="1"/>
    <col min="1038" max="1280" width="9" style="2965"/>
    <col min="1281" max="1281" width="4.875" style="2965" customWidth="1"/>
    <col min="1282" max="1282" width="13.25" style="2965" customWidth="1"/>
    <col min="1283" max="1283" width="15.625" style="2965" customWidth="1"/>
    <col min="1284" max="1284" width="9.375" style="2965" bestFit="1" customWidth="1"/>
    <col min="1285" max="1285" width="13.5" style="2965" customWidth="1"/>
    <col min="1286" max="1286" width="9" style="2965"/>
    <col min="1287" max="1287" width="9.375" style="2965" bestFit="1" customWidth="1"/>
    <col min="1288" max="1289" width="9" style="2965"/>
    <col min="1290" max="1290" width="9.375" style="2965" bestFit="1" customWidth="1"/>
    <col min="1291" max="1291" width="4" style="2965" customWidth="1"/>
    <col min="1292" max="1292" width="5.125" style="2965" customWidth="1"/>
    <col min="1293" max="1293" width="13.75" style="2965" customWidth="1"/>
    <col min="1294" max="1536" width="9" style="2965"/>
    <col min="1537" max="1537" width="4.875" style="2965" customWidth="1"/>
    <col min="1538" max="1538" width="13.25" style="2965" customWidth="1"/>
    <col min="1539" max="1539" width="15.625" style="2965" customWidth="1"/>
    <col min="1540" max="1540" width="9.375" style="2965" bestFit="1" customWidth="1"/>
    <col min="1541" max="1541" width="13.5" style="2965" customWidth="1"/>
    <col min="1542" max="1542" width="9" style="2965"/>
    <col min="1543" max="1543" width="9.375" style="2965" bestFit="1" customWidth="1"/>
    <col min="1544" max="1545" width="9" style="2965"/>
    <col min="1546" max="1546" width="9.375" style="2965" bestFit="1" customWidth="1"/>
    <col min="1547" max="1547" width="4" style="2965" customWidth="1"/>
    <col min="1548" max="1548" width="5.125" style="2965" customWidth="1"/>
    <col min="1549" max="1549" width="13.75" style="2965" customWidth="1"/>
    <col min="1550" max="1792" width="9" style="2965"/>
    <col min="1793" max="1793" width="4.875" style="2965" customWidth="1"/>
    <col min="1794" max="1794" width="13.25" style="2965" customWidth="1"/>
    <col min="1795" max="1795" width="15.625" style="2965" customWidth="1"/>
    <col min="1796" max="1796" width="9.375" style="2965" bestFit="1" customWidth="1"/>
    <col min="1797" max="1797" width="13.5" style="2965" customWidth="1"/>
    <col min="1798" max="1798" width="9" style="2965"/>
    <col min="1799" max="1799" width="9.375" style="2965" bestFit="1" customWidth="1"/>
    <col min="1800" max="1801" width="9" style="2965"/>
    <col min="1802" max="1802" width="9.375" style="2965" bestFit="1" customWidth="1"/>
    <col min="1803" max="1803" width="4" style="2965" customWidth="1"/>
    <col min="1804" max="1804" width="5.125" style="2965" customWidth="1"/>
    <col min="1805" max="1805" width="13.75" style="2965" customWidth="1"/>
    <col min="1806" max="2048" width="9" style="2965"/>
    <col min="2049" max="2049" width="4.875" style="2965" customWidth="1"/>
    <col min="2050" max="2050" width="13.25" style="2965" customWidth="1"/>
    <col min="2051" max="2051" width="15.625" style="2965" customWidth="1"/>
    <col min="2052" max="2052" width="9.375" style="2965" bestFit="1" customWidth="1"/>
    <col min="2053" max="2053" width="13.5" style="2965" customWidth="1"/>
    <col min="2054" max="2054" width="9" style="2965"/>
    <col min="2055" max="2055" width="9.375" style="2965" bestFit="1" customWidth="1"/>
    <col min="2056" max="2057" width="9" style="2965"/>
    <col min="2058" max="2058" width="9.375" style="2965" bestFit="1" customWidth="1"/>
    <col min="2059" max="2059" width="4" style="2965" customWidth="1"/>
    <col min="2060" max="2060" width="5.125" style="2965" customWidth="1"/>
    <col min="2061" max="2061" width="13.75" style="2965" customWidth="1"/>
    <col min="2062" max="2304" width="9" style="2965"/>
    <col min="2305" max="2305" width="4.875" style="2965" customWidth="1"/>
    <col min="2306" max="2306" width="13.25" style="2965" customWidth="1"/>
    <col min="2307" max="2307" width="15.625" style="2965" customWidth="1"/>
    <col min="2308" max="2308" width="9.375" style="2965" bestFit="1" customWidth="1"/>
    <col min="2309" max="2309" width="13.5" style="2965" customWidth="1"/>
    <col min="2310" max="2310" width="9" style="2965"/>
    <col min="2311" max="2311" width="9.375" style="2965" bestFit="1" customWidth="1"/>
    <col min="2312" max="2313" width="9" style="2965"/>
    <col min="2314" max="2314" width="9.375" style="2965" bestFit="1" customWidth="1"/>
    <col min="2315" max="2315" width="4" style="2965" customWidth="1"/>
    <col min="2316" max="2316" width="5.125" style="2965" customWidth="1"/>
    <col min="2317" max="2317" width="13.75" style="2965" customWidth="1"/>
    <col min="2318" max="2560" width="9" style="2965"/>
    <col min="2561" max="2561" width="4.875" style="2965" customWidth="1"/>
    <col min="2562" max="2562" width="13.25" style="2965" customWidth="1"/>
    <col min="2563" max="2563" width="15.625" style="2965" customWidth="1"/>
    <col min="2564" max="2564" width="9.375" style="2965" bestFit="1" customWidth="1"/>
    <col min="2565" max="2565" width="13.5" style="2965" customWidth="1"/>
    <col min="2566" max="2566" width="9" style="2965"/>
    <col min="2567" max="2567" width="9.375" style="2965" bestFit="1" customWidth="1"/>
    <col min="2568" max="2569" width="9" style="2965"/>
    <col min="2570" max="2570" width="9.375" style="2965" bestFit="1" customWidth="1"/>
    <col min="2571" max="2571" width="4" style="2965" customWidth="1"/>
    <col min="2572" max="2572" width="5.125" style="2965" customWidth="1"/>
    <col min="2573" max="2573" width="13.75" style="2965" customWidth="1"/>
    <col min="2574" max="2816" width="9" style="2965"/>
    <col min="2817" max="2817" width="4.875" style="2965" customWidth="1"/>
    <col min="2818" max="2818" width="13.25" style="2965" customWidth="1"/>
    <col min="2819" max="2819" width="15.625" style="2965" customWidth="1"/>
    <col min="2820" max="2820" width="9.375" style="2965" bestFit="1" customWidth="1"/>
    <col min="2821" max="2821" width="13.5" style="2965" customWidth="1"/>
    <col min="2822" max="2822" width="9" style="2965"/>
    <col min="2823" max="2823" width="9.375" style="2965" bestFit="1" customWidth="1"/>
    <col min="2824" max="2825" width="9" style="2965"/>
    <col min="2826" max="2826" width="9.375" style="2965" bestFit="1" customWidth="1"/>
    <col min="2827" max="2827" width="4" style="2965" customWidth="1"/>
    <col min="2828" max="2828" width="5.125" style="2965" customWidth="1"/>
    <col min="2829" max="2829" width="13.75" style="2965" customWidth="1"/>
    <col min="2830" max="3072" width="9" style="2965"/>
    <col min="3073" max="3073" width="4.875" style="2965" customWidth="1"/>
    <col min="3074" max="3074" width="13.25" style="2965" customWidth="1"/>
    <col min="3075" max="3075" width="15.625" style="2965" customWidth="1"/>
    <col min="3076" max="3076" width="9.375" style="2965" bestFit="1" customWidth="1"/>
    <col min="3077" max="3077" width="13.5" style="2965" customWidth="1"/>
    <col min="3078" max="3078" width="9" style="2965"/>
    <col min="3079" max="3079" width="9.375" style="2965" bestFit="1" customWidth="1"/>
    <col min="3080" max="3081" width="9" style="2965"/>
    <col min="3082" max="3082" width="9.375" style="2965" bestFit="1" customWidth="1"/>
    <col min="3083" max="3083" width="4" style="2965" customWidth="1"/>
    <col min="3084" max="3084" width="5.125" style="2965" customWidth="1"/>
    <col min="3085" max="3085" width="13.75" style="2965" customWidth="1"/>
    <col min="3086" max="3328" width="9" style="2965"/>
    <col min="3329" max="3329" width="4.875" style="2965" customWidth="1"/>
    <col min="3330" max="3330" width="13.25" style="2965" customWidth="1"/>
    <col min="3331" max="3331" width="15.625" style="2965" customWidth="1"/>
    <col min="3332" max="3332" width="9.375" style="2965" bestFit="1" customWidth="1"/>
    <col min="3333" max="3333" width="13.5" style="2965" customWidth="1"/>
    <col min="3334" max="3334" width="9" style="2965"/>
    <col min="3335" max="3335" width="9.375" style="2965" bestFit="1" customWidth="1"/>
    <col min="3336" max="3337" width="9" style="2965"/>
    <col min="3338" max="3338" width="9.375" style="2965" bestFit="1" customWidth="1"/>
    <col min="3339" max="3339" width="4" style="2965" customWidth="1"/>
    <col min="3340" max="3340" width="5.125" style="2965" customWidth="1"/>
    <col min="3341" max="3341" width="13.75" style="2965" customWidth="1"/>
    <col min="3342" max="3584" width="9" style="2965"/>
    <col min="3585" max="3585" width="4.875" style="2965" customWidth="1"/>
    <col min="3586" max="3586" width="13.25" style="2965" customWidth="1"/>
    <col min="3587" max="3587" width="15.625" style="2965" customWidth="1"/>
    <col min="3588" max="3588" width="9.375" style="2965" bestFit="1" customWidth="1"/>
    <col min="3589" max="3589" width="13.5" style="2965" customWidth="1"/>
    <col min="3590" max="3590" width="9" style="2965"/>
    <col min="3591" max="3591" width="9.375" style="2965" bestFit="1" customWidth="1"/>
    <col min="3592" max="3593" width="9" style="2965"/>
    <col min="3594" max="3594" width="9.375" style="2965" bestFit="1" customWidth="1"/>
    <col min="3595" max="3595" width="4" style="2965" customWidth="1"/>
    <col min="3596" max="3596" width="5.125" style="2965" customWidth="1"/>
    <col min="3597" max="3597" width="13.75" style="2965" customWidth="1"/>
    <col min="3598" max="3840" width="9" style="2965"/>
    <col min="3841" max="3841" width="4.875" style="2965" customWidth="1"/>
    <col min="3842" max="3842" width="13.25" style="2965" customWidth="1"/>
    <col min="3843" max="3843" width="15.625" style="2965" customWidth="1"/>
    <col min="3844" max="3844" width="9.375" style="2965" bestFit="1" customWidth="1"/>
    <col min="3845" max="3845" width="13.5" style="2965" customWidth="1"/>
    <col min="3846" max="3846" width="9" style="2965"/>
    <col min="3847" max="3847" width="9.375" style="2965" bestFit="1" customWidth="1"/>
    <col min="3848" max="3849" width="9" style="2965"/>
    <col min="3850" max="3850" width="9.375" style="2965" bestFit="1" customWidth="1"/>
    <col min="3851" max="3851" width="4" style="2965" customWidth="1"/>
    <col min="3852" max="3852" width="5.125" style="2965" customWidth="1"/>
    <col min="3853" max="3853" width="13.75" style="2965" customWidth="1"/>
    <col min="3854" max="4096" width="9" style="2965"/>
    <col min="4097" max="4097" width="4.875" style="2965" customWidth="1"/>
    <col min="4098" max="4098" width="13.25" style="2965" customWidth="1"/>
    <col min="4099" max="4099" width="15.625" style="2965" customWidth="1"/>
    <col min="4100" max="4100" width="9.375" style="2965" bestFit="1" customWidth="1"/>
    <col min="4101" max="4101" width="13.5" style="2965" customWidth="1"/>
    <col min="4102" max="4102" width="9" style="2965"/>
    <col min="4103" max="4103" width="9.375" style="2965" bestFit="1" customWidth="1"/>
    <col min="4104" max="4105" width="9" style="2965"/>
    <col min="4106" max="4106" width="9.375" style="2965" bestFit="1" customWidth="1"/>
    <col min="4107" max="4107" width="4" style="2965" customWidth="1"/>
    <col min="4108" max="4108" width="5.125" style="2965" customWidth="1"/>
    <col min="4109" max="4109" width="13.75" style="2965" customWidth="1"/>
    <col min="4110" max="4352" width="9" style="2965"/>
    <col min="4353" max="4353" width="4.875" style="2965" customWidth="1"/>
    <col min="4354" max="4354" width="13.25" style="2965" customWidth="1"/>
    <col min="4355" max="4355" width="15.625" style="2965" customWidth="1"/>
    <col min="4356" max="4356" width="9.375" style="2965" bestFit="1" customWidth="1"/>
    <col min="4357" max="4357" width="13.5" style="2965" customWidth="1"/>
    <col min="4358" max="4358" width="9" style="2965"/>
    <col min="4359" max="4359" width="9.375" style="2965" bestFit="1" customWidth="1"/>
    <col min="4360" max="4361" width="9" style="2965"/>
    <col min="4362" max="4362" width="9.375" style="2965" bestFit="1" customWidth="1"/>
    <col min="4363" max="4363" width="4" style="2965" customWidth="1"/>
    <col min="4364" max="4364" width="5.125" style="2965" customWidth="1"/>
    <col min="4365" max="4365" width="13.75" style="2965" customWidth="1"/>
    <col min="4366" max="4608" width="9" style="2965"/>
    <col min="4609" max="4609" width="4.875" style="2965" customWidth="1"/>
    <col min="4610" max="4610" width="13.25" style="2965" customWidth="1"/>
    <col min="4611" max="4611" width="15.625" style="2965" customWidth="1"/>
    <col min="4612" max="4612" width="9.375" style="2965" bestFit="1" customWidth="1"/>
    <col min="4613" max="4613" width="13.5" style="2965" customWidth="1"/>
    <col min="4614" max="4614" width="9" style="2965"/>
    <col min="4615" max="4615" width="9.375" style="2965" bestFit="1" customWidth="1"/>
    <col min="4616" max="4617" width="9" style="2965"/>
    <col min="4618" max="4618" width="9.375" style="2965" bestFit="1" customWidth="1"/>
    <col min="4619" max="4619" width="4" style="2965" customWidth="1"/>
    <col min="4620" max="4620" width="5.125" style="2965" customWidth="1"/>
    <col min="4621" max="4621" width="13.75" style="2965" customWidth="1"/>
    <col min="4622" max="4864" width="9" style="2965"/>
    <col min="4865" max="4865" width="4.875" style="2965" customWidth="1"/>
    <col min="4866" max="4866" width="13.25" style="2965" customWidth="1"/>
    <col min="4867" max="4867" width="15.625" style="2965" customWidth="1"/>
    <col min="4868" max="4868" width="9.375" style="2965" bestFit="1" customWidth="1"/>
    <col min="4869" max="4869" width="13.5" style="2965" customWidth="1"/>
    <col min="4870" max="4870" width="9" style="2965"/>
    <col min="4871" max="4871" width="9.375" style="2965" bestFit="1" customWidth="1"/>
    <col min="4872" max="4873" width="9" style="2965"/>
    <col min="4874" max="4874" width="9.375" style="2965" bestFit="1" customWidth="1"/>
    <col min="4875" max="4875" width="4" style="2965" customWidth="1"/>
    <col min="4876" max="4876" width="5.125" style="2965" customWidth="1"/>
    <col min="4877" max="4877" width="13.75" style="2965" customWidth="1"/>
    <col min="4878" max="5120" width="9" style="2965"/>
    <col min="5121" max="5121" width="4.875" style="2965" customWidth="1"/>
    <col min="5122" max="5122" width="13.25" style="2965" customWidth="1"/>
    <col min="5123" max="5123" width="15.625" style="2965" customWidth="1"/>
    <col min="5124" max="5124" width="9.375" style="2965" bestFit="1" customWidth="1"/>
    <col min="5125" max="5125" width="13.5" style="2965" customWidth="1"/>
    <col min="5126" max="5126" width="9" style="2965"/>
    <col min="5127" max="5127" width="9.375" style="2965" bestFit="1" customWidth="1"/>
    <col min="5128" max="5129" width="9" style="2965"/>
    <col min="5130" max="5130" width="9.375" style="2965" bestFit="1" customWidth="1"/>
    <col min="5131" max="5131" width="4" style="2965" customWidth="1"/>
    <col min="5132" max="5132" width="5.125" style="2965" customWidth="1"/>
    <col min="5133" max="5133" width="13.75" style="2965" customWidth="1"/>
    <col min="5134" max="5376" width="9" style="2965"/>
    <col min="5377" max="5377" width="4.875" style="2965" customWidth="1"/>
    <col min="5378" max="5378" width="13.25" style="2965" customWidth="1"/>
    <col min="5379" max="5379" width="15.625" style="2965" customWidth="1"/>
    <col min="5380" max="5380" width="9.375" style="2965" bestFit="1" customWidth="1"/>
    <col min="5381" max="5381" width="13.5" style="2965" customWidth="1"/>
    <col min="5382" max="5382" width="9" style="2965"/>
    <col min="5383" max="5383" width="9.375" style="2965" bestFit="1" customWidth="1"/>
    <col min="5384" max="5385" width="9" style="2965"/>
    <col min="5386" max="5386" width="9.375" style="2965" bestFit="1" customWidth="1"/>
    <col min="5387" max="5387" width="4" style="2965" customWidth="1"/>
    <col min="5388" max="5388" width="5.125" style="2965" customWidth="1"/>
    <col min="5389" max="5389" width="13.75" style="2965" customWidth="1"/>
    <col min="5390" max="5632" width="9" style="2965"/>
    <col min="5633" max="5633" width="4.875" style="2965" customWidth="1"/>
    <col min="5634" max="5634" width="13.25" style="2965" customWidth="1"/>
    <col min="5635" max="5635" width="15.625" style="2965" customWidth="1"/>
    <col min="5636" max="5636" width="9.375" style="2965" bestFit="1" customWidth="1"/>
    <col min="5637" max="5637" width="13.5" style="2965" customWidth="1"/>
    <col min="5638" max="5638" width="9" style="2965"/>
    <col min="5639" max="5639" width="9.375" style="2965" bestFit="1" customWidth="1"/>
    <col min="5640" max="5641" width="9" style="2965"/>
    <col min="5642" max="5642" width="9.375" style="2965" bestFit="1" customWidth="1"/>
    <col min="5643" max="5643" width="4" style="2965" customWidth="1"/>
    <col min="5644" max="5644" width="5.125" style="2965" customWidth="1"/>
    <col min="5645" max="5645" width="13.75" style="2965" customWidth="1"/>
    <col min="5646" max="5888" width="9" style="2965"/>
    <col min="5889" max="5889" width="4.875" style="2965" customWidth="1"/>
    <col min="5890" max="5890" width="13.25" style="2965" customWidth="1"/>
    <col min="5891" max="5891" width="15.625" style="2965" customWidth="1"/>
    <col min="5892" max="5892" width="9.375" style="2965" bestFit="1" customWidth="1"/>
    <col min="5893" max="5893" width="13.5" style="2965" customWidth="1"/>
    <col min="5894" max="5894" width="9" style="2965"/>
    <col min="5895" max="5895" width="9.375" style="2965" bestFit="1" customWidth="1"/>
    <col min="5896" max="5897" width="9" style="2965"/>
    <col min="5898" max="5898" width="9.375" style="2965" bestFit="1" customWidth="1"/>
    <col min="5899" max="5899" width="4" style="2965" customWidth="1"/>
    <col min="5900" max="5900" width="5.125" style="2965" customWidth="1"/>
    <col min="5901" max="5901" width="13.75" style="2965" customWidth="1"/>
    <col min="5902" max="6144" width="9" style="2965"/>
    <col min="6145" max="6145" width="4.875" style="2965" customWidth="1"/>
    <col min="6146" max="6146" width="13.25" style="2965" customWidth="1"/>
    <col min="6147" max="6147" width="15.625" style="2965" customWidth="1"/>
    <col min="6148" max="6148" width="9.375" style="2965" bestFit="1" customWidth="1"/>
    <col min="6149" max="6149" width="13.5" style="2965" customWidth="1"/>
    <col min="6150" max="6150" width="9" style="2965"/>
    <col min="6151" max="6151" width="9.375" style="2965" bestFit="1" customWidth="1"/>
    <col min="6152" max="6153" width="9" style="2965"/>
    <col min="6154" max="6154" width="9.375" style="2965" bestFit="1" customWidth="1"/>
    <col min="6155" max="6155" width="4" style="2965" customWidth="1"/>
    <col min="6156" max="6156" width="5.125" style="2965" customWidth="1"/>
    <col min="6157" max="6157" width="13.75" style="2965" customWidth="1"/>
    <col min="6158" max="6400" width="9" style="2965"/>
    <col min="6401" max="6401" width="4.875" style="2965" customWidth="1"/>
    <col min="6402" max="6402" width="13.25" style="2965" customWidth="1"/>
    <col min="6403" max="6403" width="15.625" style="2965" customWidth="1"/>
    <col min="6404" max="6404" width="9.375" style="2965" bestFit="1" customWidth="1"/>
    <col min="6405" max="6405" width="13.5" style="2965" customWidth="1"/>
    <col min="6406" max="6406" width="9" style="2965"/>
    <col min="6407" max="6407" width="9.375" style="2965" bestFit="1" customWidth="1"/>
    <col min="6408" max="6409" width="9" style="2965"/>
    <col min="6410" max="6410" width="9.375" style="2965" bestFit="1" customWidth="1"/>
    <col min="6411" max="6411" width="4" style="2965" customWidth="1"/>
    <col min="6412" max="6412" width="5.125" style="2965" customWidth="1"/>
    <col min="6413" max="6413" width="13.75" style="2965" customWidth="1"/>
    <col min="6414" max="6656" width="9" style="2965"/>
    <col min="6657" max="6657" width="4.875" style="2965" customWidth="1"/>
    <col min="6658" max="6658" width="13.25" style="2965" customWidth="1"/>
    <col min="6659" max="6659" width="15.625" style="2965" customWidth="1"/>
    <col min="6660" max="6660" width="9.375" style="2965" bestFit="1" customWidth="1"/>
    <col min="6661" max="6661" width="13.5" style="2965" customWidth="1"/>
    <col min="6662" max="6662" width="9" style="2965"/>
    <col min="6663" max="6663" width="9.375" style="2965" bestFit="1" customWidth="1"/>
    <col min="6664" max="6665" width="9" style="2965"/>
    <col min="6666" max="6666" width="9.375" style="2965" bestFit="1" customWidth="1"/>
    <col min="6667" max="6667" width="4" style="2965" customWidth="1"/>
    <col min="6668" max="6668" width="5.125" style="2965" customWidth="1"/>
    <col min="6669" max="6669" width="13.75" style="2965" customWidth="1"/>
    <col min="6670" max="6912" width="9" style="2965"/>
    <col min="6913" max="6913" width="4.875" style="2965" customWidth="1"/>
    <col min="6914" max="6914" width="13.25" style="2965" customWidth="1"/>
    <col min="6915" max="6915" width="15.625" style="2965" customWidth="1"/>
    <col min="6916" max="6916" width="9.375" style="2965" bestFit="1" customWidth="1"/>
    <col min="6917" max="6917" width="13.5" style="2965" customWidth="1"/>
    <col min="6918" max="6918" width="9" style="2965"/>
    <col min="6919" max="6919" width="9.375" style="2965" bestFit="1" customWidth="1"/>
    <col min="6920" max="6921" width="9" style="2965"/>
    <col min="6922" max="6922" width="9.375" style="2965" bestFit="1" customWidth="1"/>
    <col min="6923" max="6923" width="4" style="2965" customWidth="1"/>
    <col min="6924" max="6924" width="5.125" style="2965" customWidth="1"/>
    <col min="6925" max="6925" width="13.75" style="2965" customWidth="1"/>
    <col min="6926" max="7168" width="9" style="2965"/>
    <col min="7169" max="7169" width="4.875" style="2965" customWidth="1"/>
    <col min="7170" max="7170" width="13.25" style="2965" customWidth="1"/>
    <col min="7171" max="7171" width="15.625" style="2965" customWidth="1"/>
    <col min="7172" max="7172" width="9.375" style="2965" bestFit="1" customWidth="1"/>
    <col min="7173" max="7173" width="13.5" style="2965" customWidth="1"/>
    <col min="7174" max="7174" width="9" style="2965"/>
    <col min="7175" max="7175" width="9.375" style="2965" bestFit="1" customWidth="1"/>
    <col min="7176" max="7177" width="9" style="2965"/>
    <col min="7178" max="7178" width="9.375" style="2965" bestFit="1" customWidth="1"/>
    <col min="7179" max="7179" width="4" style="2965" customWidth="1"/>
    <col min="7180" max="7180" width="5.125" style="2965" customWidth="1"/>
    <col min="7181" max="7181" width="13.75" style="2965" customWidth="1"/>
    <col min="7182" max="7424" width="9" style="2965"/>
    <col min="7425" max="7425" width="4.875" style="2965" customWidth="1"/>
    <col min="7426" max="7426" width="13.25" style="2965" customWidth="1"/>
    <col min="7427" max="7427" width="15.625" style="2965" customWidth="1"/>
    <col min="7428" max="7428" width="9.375" style="2965" bestFit="1" customWidth="1"/>
    <col min="7429" max="7429" width="13.5" style="2965" customWidth="1"/>
    <col min="7430" max="7430" width="9" style="2965"/>
    <col min="7431" max="7431" width="9.375" style="2965" bestFit="1" customWidth="1"/>
    <col min="7432" max="7433" width="9" style="2965"/>
    <col min="7434" max="7434" width="9.375" style="2965" bestFit="1" customWidth="1"/>
    <col min="7435" max="7435" width="4" style="2965" customWidth="1"/>
    <col min="7436" max="7436" width="5.125" style="2965" customWidth="1"/>
    <col min="7437" max="7437" width="13.75" style="2965" customWidth="1"/>
    <col min="7438" max="7680" width="9" style="2965"/>
    <col min="7681" max="7681" width="4.875" style="2965" customWidth="1"/>
    <col min="7682" max="7682" width="13.25" style="2965" customWidth="1"/>
    <col min="7683" max="7683" width="15.625" style="2965" customWidth="1"/>
    <col min="7684" max="7684" width="9.375" style="2965" bestFit="1" customWidth="1"/>
    <col min="7685" max="7685" width="13.5" style="2965" customWidth="1"/>
    <col min="7686" max="7686" width="9" style="2965"/>
    <col min="7687" max="7687" width="9.375" style="2965" bestFit="1" customWidth="1"/>
    <col min="7688" max="7689" width="9" style="2965"/>
    <col min="7690" max="7690" width="9.375" style="2965" bestFit="1" customWidth="1"/>
    <col min="7691" max="7691" width="4" style="2965" customWidth="1"/>
    <col min="7692" max="7692" width="5.125" style="2965" customWidth="1"/>
    <col min="7693" max="7693" width="13.75" style="2965" customWidth="1"/>
    <col min="7694" max="7936" width="9" style="2965"/>
    <col min="7937" max="7937" width="4.875" style="2965" customWidth="1"/>
    <col min="7938" max="7938" width="13.25" style="2965" customWidth="1"/>
    <col min="7939" max="7939" width="15.625" style="2965" customWidth="1"/>
    <col min="7940" max="7940" width="9.375" style="2965" bestFit="1" customWidth="1"/>
    <col min="7941" max="7941" width="13.5" style="2965" customWidth="1"/>
    <col min="7942" max="7942" width="9" style="2965"/>
    <col min="7943" max="7943" width="9.375" style="2965" bestFit="1" customWidth="1"/>
    <col min="7944" max="7945" width="9" style="2965"/>
    <col min="7946" max="7946" width="9.375" style="2965" bestFit="1" customWidth="1"/>
    <col min="7947" max="7947" width="4" style="2965" customWidth="1"/>
    <col min="7948" max="7948" width="5.125" style="2965" customWidth="1"/>
    <col min="7949" max="7949" width="13.75" style="2965" customWidth="1"/>
    <col min="7950" max="8192" width="9" style="2965"/>
    <col min="8193" max="8193" width="4.875" style="2965" customWidth="1"/>
    <col min="8194" max="8194" width="13.25" style="2965" customWidth="1"/>
    <col min="8195" max="8195" width="15.625" style="2965" customWidth="1"/>
    <col min="8196" max="8196" width="9.375" style="2965" bestFit="1" customWidth="1"/>
    <col min="8197" max="8197" width="13.5" style="2965" customWidth="1"/>
    <col min="8198" max="8198" width="9" style="2965"/>
    <col min="8199" max="8199" width="9.375" style="2965" bestFit="1" customWidth="1"/>
    <col min="8200" max="8201" width="9" style="2965"/>
    <col min="8202" max="8202" width="9.375" style="2965" bestFit="1" customWidth="1"/>
    <col min="8203" max="8203" width="4" style="2965" customWidth="1"/>
    <col min="8204" max="8204" width="5.125" style="2965" customWidth="1"/>
    <col min="8205" max="8205" width="13.75" style="2965" customWidth="1"/>
    <col min="8206" max="8448" width="9" style="2965"/>
    <col min="8449" max="8449" width="4.875" style="2965" customWidth="1"/>
    <col min="8450" max="8450" width="13.25" style="2965" customWidth="1"/>
    <col min="8451" max="8451" width="15.625" style="2965" customWidth="1"/>
    <col min="8452" max="8452" width="9.375" style="2965" bestFit="1" customWidth="1"/>
    <col min="8453" max="8453" width="13.5" style="2965" customWidth="1"/>
    <col min="8454" max="8454" width="9" style="2965"/>
    <col min="8455" max="8455" width="9.375" style="2965" bestFit="1" customWidth="1"/>
    <col min="8456" max="8457" width="9" style="2965"/>
    <col min="8458" max="8458" width="9.375" style="2965" bestFit="1" customWidth="1"/>
    <col min="8459" max="8459" width="4" style="2965" customWidth="1"/>
    <col min="8460" max="8460" width="5.125" style="2965" customWidth="1"/>
    <col min="8461" max="8461" width="13.75" style="2965" customWidth="1"/>
    <col min="8462" max="8704" width="9" style="2965"/>
    <col min="8705" max="8705" width="4.875" style="2965" customWidth="1"/>
    <col min="8706" max="8706" width="13.25" style="2965" customWidth="1"/>
    <col min="8707" max="8707" width="15.625" style="2965" customWidth="1"/>
    <col min="8708" max="8708" width="9.375" style="2965" bestFit="1" customWidth="1"/>
    <col min="8709" max="8709" width="13.5" style="2965" customWidth="1"/>
    <col min="8710" max="8710" width="9" style="2965"/>
    <col min="8711" max="8711" width="9.375" style="2965" bestFit="1" customWidth="1"/>
    <col min="8712" max="8713" width="9" style="2965"/>
    <col min="8714" max="8714" width="9.375" style="2965" bestFit="1" customWidth="1"/>
    <col min="8715" max="8715" width="4" style="2965" customWidth="1"/>
    <col min="8716" max="8716" width="5.125" style="2965" customWidth="1"/>
    <col min="8717" max="8717" width="13.75" style="2965" customWidth="1"/>
    <col min="8718" max="8960" width="9" style="2965"/>
    <col min="8961" max="8961" width="4.875" style="2965" customWidth="1"/>
    <col min="8962" max="8962" width="13.25" style="2965" customWidth="1"/>
    <col min="8963" max="8963" width="15.625" style="2965" customWidth="1"/>
    <col min="8964" max="8964" width="9.375" style="2965" bestFit="1" customWidth="1"/>
    <col min="8965" max="8965" width="13.5" style="2965" customWidth="1"/>
    <col min="8966" max="8966" width="9" style="2965"/>
    <col min="8967" max="8967" width="9.375" style="2965" bestFit="1" customWidth="1"/>
    <col min="8968" max="8969" width="9" style="2965"/>
    <col min="8970" max="8970" width="9.375" style="2965" bestFit="1" customWidth="1"/>
    <col min="8971" max="8971" width="4" style="2965" customWidth="1"/>
    <col min="8972" max="8972" width="5.125" style="2965" customWidth="1"/>
    <col min="8973" max="8973" width="13.75" style="2965" customWidth="1"/>
    <col min="8974" max="9216" width="9" style="2965"/>
    <col min="9217" max="9217" width="4.875" style="2965" customWidth="1"/>
    <col min="9218" max="9218" width="13.25" style="2965" customWidth="1"/>
    <col min="9219" max="9219" width="15.625" style="2965" customWidth="1"/>
    <col min="9220" max="9220" width="9.375" style="2965" bestFit="1" customWidth="1"/>
    <col min="9221" max="9221" width="13.5" style="2965" customWidth="1"/>
    <col min="9222" max="9222" width="9" style="2965"/>
    <col min="9223" max="9223" width="9.375" style="2965" bestFit="1" customWidth="1"/>
    <col min="9224" max="9225" width="9" style="2965"/>
    <col min="9226" max="9226" width="9.375" style="2965" bestFit="1" customWidth="1"/>
    <col min="9227" max="9227" width="4" style="2965" customWidth="1"/>
    <col min="9228" max="9228" width="5.125" style="2965" customWidth="1"/>
    <col min="9229" max="9229" width="13.75" style="2965" customWidth="1"/>
    <col min="9230" max="9472" width="9" style="2965"/>
    <col min="9473" max="9473" width="4.875" style="2965" customWidth="1"/>
    <col min="9474" max="9474" width="13.25" style="2965" customWidth="1"/>
    <col min="9475" max="9475" width="15.625" style="2965" customWidth="1"/>
    <col min="9476" max="9476" width="9.375" style="2965" bestFit="1" customWidth="1"/>
    <col min="9477" max="9477" width="13.5" style="2965" customWidth="1"/>
    <col min="9478" max="9478" width="9" style="2965"/>
    <col min="9479" max="9479" width="9.375" style="2965" bestFit="1" customWidth="1"/>
    <col min="9480" max="9481" width="9" style="2965"/>
    <col min="9482" max="9482" width="9.375" style="2965" bestFit="1" customWidth="1"/>
    <col min="9483" max="9483" width="4" style="2965" customWidth="1"/>
    <col min="9484" max="9484" width="5.125" style="2965" customWidth="1"/>
    <col min="9485" max="9485" width="13.75" style="2965" customWidth="1"/>
    <col min="9486" max="9728" width="9" style="2965"/>
    <col min="9729" max="9729" width="4.875" style="2965" customWidth="1"/>
    <col min="9730" max="9730" width="13.25" style="2965" customWidth="1"/>
    <col min="9731" max="9731" width="15.625" style="2965" customWidth="1"/>
    <col min="9732" max="9732" width="9.375" style="2965" bestFit="1" customWidth="1"/>
    <col min="9733" max="9733" width="13.5" style="2965" customWidth="1"/>
    <col min="9734" max="9734" width="9" style="2965"/>
    <col min="9735" max="9735" width="9.375" style="2965" bestFit="1" customWidth="1"/>
    <col min="9736" max="9737" width="9" style="2965"/>
    <col min="9738" max="9738" width="9.375" style="2965" bestFit="1" customWidth="1"/>
    <col min="9739" max="9739" width="4" style="2965" customWidth="1"/>
    <col min="9740" max="9740" width="5.125" style="2965" customWidth="1"/>
    <col min="9741" max="9741" width="13.75" style="2965" customWidth="1"/>
    <col min="9742" max="9984" width="9" style="2965"/>
    <col min="9985" max="9985" width="4.875" style="2965" customWidth="1"/>
    <col min="9986" max="9986" width="13.25" style="2965" customWidth="1"/>
    <col min="9987" max="9987" width="15.625" style="2965" customWidth="1"/>
    <col min="9988" max="9988" width="9.375" style="2965" bestFit="1" customWidth="1"/>
    <col min="9989" max="9989" width="13.5" style="2965" customWidth="1"/>
    <col min="9990" max="9990" width="9" style="2965"/>
    <col min="9991" max="9991" width="9.375" style="2965" bestFit="1" customWidth="1"/>
    <col min="9992" max="9993" width="9" style="2965"/>
    <col min="9994" max="9994" width="9.375" style="2965" bestFit="1" customWidth="1"/>
    <col min="9995" max="9995" width="4" style="2965" customWidth="1"/>
    <col min="9996" max="9996" width="5.125" style="2965" customWidth="1"/>
    <col min="9997" max="9997" width="13.75" style="2965" customWidth="1"/>
    <col min="9998" max="10240" width="9" style="2965"/>
    <col min="10241" max="10241" width="4.875" style="2965" customWidth="1"/>
    <col min="10242" max="10242" width="13.25" style="2965" customWidth="1"/>
    <col min="10243" max="10243" width="15.625" style="2965" customWidth="1"/>
    <col min="10244" max="10244" width="9.375" style="2965" bestFit="1" customWidth="1"/>
    <col min="10245" max="10245" width="13.5" style="2965" customWidth="1"/>
    <col min="10246" max="10246" width="9" style="2965"/>
    <col min="10247" max="10247" width="9.375" style="2965" bestFit="1" customWidth="1"/>
    <col min="10248" max="10249" width="9" style="2965"/>
    <col min="10250" max="10250" width="9.375" style="2965" bestFit="1" customWidth="1"/>
    <col min="10251" max="10251" width="4" style="2965" customWidth="1"/>
    <col min="10252" max="10252" width="5.125" style="2965" customWidth="1"/>
    <col min="10253" max="10253" width="13.75" style="2965" customWidth="1"/>
    <col min="10254" max="10496" width="9" style="2965"/>
    <col min="10497" max="10497" width="4.875" style="2965" customWidth="1"/>
    <col min="10498" max="10498" width="13.25" style="2965" customWidth="1"/>
    <col min="10499" max="10499" width="15.625" style="2965" customWidth="1"/>
    <col min="10500" max="10500" width="9.375" style="2965" bestFit="1" customWidth="1"/>
    <col min="10501" max="10501" width="13.5" style="2965" customWidth="1"/>
    <col min="10502" max="10502" width="9" style="2965"/>
    <col min="10503" max="10503" width="9.375" style="2965" bestFit="1" customWidth="1"/>
    <col min="10504" max="10505" width="9" style="2965"/>
    <col min="10506" max="10506" width="9.375" style="2965" bestFit="1" customWidth="1"/>
    <col min="10507" max="10507" width="4" style="2965" customWidth="1"/>
    <col min="10508" max="10508" width="5.125" style="2965" customWidth="1"/>
    <col min="10509" max="10509" width="13.75" style="2965" customWidth="1"/>
    <col min="10510" max="10752" width="9" style="2965"/>
    <col min="10753" max="10753" width="4.875" style="2965" customWidth="1"/>
    <col min="10754" max="10754" width="13.25" style="2965" customWidth="1"/>
    <col min="10755" max="10755" width="15.625" style="2965" customWidth="1"/>
    <col min="10756" max="10756" width="9.375" style="2965" bestFit="1" customWidth="1"/>
    <col min="10757" max="10757" width="13.5" style="2965" customWidth="1"/>
    <col min="10758" max="10758" width="9" style="2965"/>
    <col min="10759" max="10759" width="9.375" style="2965" bestFit="1" customWidth="1"/>
    <col min="10760" max="10761" width="9" style="2965"/>
    <col min="10762" max="10762" width="9.375" style="2965" bestFit="1" customWidth="1"/>
    <col min="10763" max="10763" width="4" style="2965" customWidth="1"/>
    <col min="10764" max="10764" width="5.125" style="2965" customWidth="1"/>
    <col min="10765" max="10765" width="13.75" style="2965" customWidth="1"/>
    <col min="10766" max="11008" width="9" style="2965"/>
    <col min="11009" max="11009" width="4.875" style="2965" customWidth="1"/>
    <col min="11010" max="11010" width="13.25" style="2965" customWidth="1"/>
    <col min="11011" max="11011" width="15.625" style="2965" customWidth="1"/>
    <col min="11012" max="11012" width="9.375" style="2965" bestFit="1" customWidth="1"/>
    <col min="11013" max="11013" width="13.5" style="2965" customWidth="1"/>
    <col min="11014" max="11014" width="9" style="2965"/>
    <col min="11015" max="11015" width="9.375" style="2965" bestFit="1" customWidth="1"/>
    <col min="11016" max="11017" width="9" style="2965"/>
    <col min="11018" max="11018" width="9.375" style="2965" bestFit="1" customWidth="1"/>
    <col min="11019" max="11019" width="4" style="2965" customWidth="1"/>
    <col min="11020" max="11020" width="5.125" style="2965" customWidth="1"/>
    <col min="11021" max="11021" width="13.75" style="2965" customWidth="1"/>
    <col min="11022" max="11264" width="9" style="2965"/>
    <col min="11265" max="11265" width="4.875" style="2965" customWidth="1"/>
    <col min="11266" max="11266" width="13.25" style="2965" customWidth="1"/>
    <col min="11267" max="11267" width="15.625" style="2965" customWidth="1"/>
    <col min="11268" max="11268" width="9.375" style="2965" bestFit="1" customWidth="1"/>
    <col min="11269" max="11269" width="13.5" style="2965" customWidth="1"/>
    <col min="11270" max="11270" width="9" style="2965"/>
    <col min="11271" max="11271" width="9.375" style="2965" bestFit="1" customWidth="1"/>
    <col min="11272" max="11273" width="9" style="2965"/>
    <col min="11274" max="11274" width="9.375" style="2965" bestFit="1" customWidth="1"/>
    <col min="11275" max="11275" width="4" style="2965" customWidth="1"/>
    <col min="11276" max="11276" width="5.125" style="2965" customWidth="1"/>
    <col min="11277" max="11277" width="13.75" style="2965" customWidth="1"/>
    <col min="11278" max="11520" width="9" style="2965"/>
    <col min="11521" max="11521" width="4.875" style="2965" customWidth="1"/>
    <col min="11522" max="11522" width="13.25" style="2965" customWidth="1"/>
    <col min="11523" max="11523" width="15.625" style="2965" customWidth="1"/>
    <col min="11524" max="11524" width="9.375" style="2965" bestFit="1" customWidth="1"/>
    <col min="11525" max="11525" width="13.5" style="2965" customWidth="1"/>
    <col min="11526" max="11526" width="9" style="2965"/>
    <col min="11527" max="11527" width="9.375" style="2965" bestFit="1" customWidth="1"/>
    <col min="11528" max="11529" width="9" style="2965"/>
    <col min="11530" max="11530" width="9.375" style="2965" bestFit="1" customWidth="1"/>
    <col min="11531" max="11531" width="4" style="2965" customWidth="1"/>
    <col min="11532" max="11532" width="5.125" style="2965" customWidth="1"/>
    <col min="11533" max="11533" width="13.75" style="2965" customWidth="1"/>
    <col min="11534" max="11776" width="9" style="2965"/>
    <col min="11777" max="11777" width="4.875" style="2965" customWidth="1"/>
    <col min="11778" max="11778" width="13.25" style="2965" customWidth="1"/>
    <col min="11779" max="11779" width="15.625" style="2965" customWidth="1"/>
    <col min="11780" max="11780" width="9.375" style="2965" bestFit="1" customWidth="1"/>
    <col min="11781" max="11781" width="13.5" style="2965" customWidth="1"/>
    <col min="11782" max="11782" width="9" style="2965"/>
    <col min="11783" max="11783" width="9.375" style="2965" bestFit="1" customWidth="1"/>
    <col min="11784" max="11785" width="9" style="2965"/>
    <col min="11786" max="11786" width="9.375" style="2965" bestFit="1" customWidth="1"/>
    <col min="11787" max="11787" width="4" style="2965" customWidth="1"/>
    <col min="11788" max="11788" width="5.125" style="2965" customWidth="1"/>
    <col min="11789" max="11789" width="13.75" style="2965" customWidth="1"/>
    <col min="11790" max="12032" width="9" style="2965"/>
    <col min="12033" max="12033" width="4.875" style="2965" customWidth="1"/>
    <col min="12034" max="12034" width="13.25" style="2965" customWidth="1"/>
    <col min="12035" max="12035" width="15.625" style="2965" customWidth="1"/>
    <col min="12036" max="12036" width="9.375" style="2965" bestFit="1" customWidth="1"/>
    <col min="12037" max="12037" width="13.5" style="2965" customWidth="1"/>
    <col min="12038" max="12038" width="9" style="2965"/>
    <col min="12039" max="12039" width="9.375" style="2965" bestFit="1" customWidth="1"/>
    <col min="12040" max="12041" width="9" style="2965"/>
    <col min="12042" max="12042" width="9.375" style="2965" bestFit="1" customWidth="1"/>
    <col min="12043" max="12043" width="4" style="2965" customWidth="1"/>
    <col min="12044" max="12044" width="5.125" style="2965" customWidth="1"/>
    <col min="12045" max="12045" width="13.75" style="2965" customWidth="1"/>
    <col min="12046" max="12288" width="9" style="2965"/>
    <col min="12289" max="12289" width="4.875" style="2965" customWidth="1"/>
    <col min="12290" max="12290" width="13.25" style="2965" customWidth="1"/>
    <col min="12291" max="12291" width="15.625" style="2965" customWidth="1"/>
    <col min="12292" max="12292" width="9.375" style="2965" bestFit="1" customWidth="1"/>
    <col min="12293" max="12293" width="13.5" style="2965" customWidth="1"/>
    <col min="12294" max="12294" width="9" style="2965"/>
    <col min="12295" max="12295" width="9.375" style="2965" bestFit="1" customWidth="1"/>
    <col min="12296" max="12297" width="9" style="2965"/>
    <col min="12298" max="12298" width="9.375" style="2965" bestFit="1" customWidth="1"/>
    <col min="12299" max="12299" width="4" style="2965" customWidth="1"/>
    <col min="12300" max="12300" width="5.125" style="2965" customWidth="1"/>
    <col min="12301" max="12301" width="13.75" style="2965" customWidth="1"/>
    <col min="12302" max="12544" width="9" style="2965"/>
    <col min="12545" max="12545" width="4.875" style="2965" customWidth="1"/>
    <col min="12546" max="12546" width="13.25" style="2965" customWidth="1"/>
    <col min="12547" max="12547" width="15.625" style="2965" customWidth="1"/>
    <col min="12548" max="12548" width="9.375" style="2965" bestFit="1" customWidth="1"/>
    <col min="12549" max="12549" width="13.5" style="2965" customWidth="1"/>
    <col min="12550" max="12550" width="9" style="2965"/>
    <col min="12551" max="12551" width="9.375" style="2965" bestFit="1" customWidth="1"/>
    <col min="12552" max="12553" width="9" style="2965"/>
    <col min="12554" max="12554" width="9.375" style="2965" bestFit="1" customWidth="1"/>
    <col min="12555" max="12555" width="4" style="2965" customWidth="1"/>
    <col min="12556" max="12556" width="5.125" style="2965" customWidth="1"/>
    <col min="12557" max="12557" width="13.75" style="2965" customWidth="1"/>
    <col min="12558" max="12800" width="9" style="2965"/>
    <col min="12801" max="12801" width="4.875" style="2965" customWidth="1"/>
    <col min="12802" max="12802" width="13.25" style="2965" customWidth="1"/>
    <col min="12803" max="12803" width="15.625" style="2965" customWidth="1"/>
    <col min="12804" max="12804" width="9.375" style="2965" bestFit="1" customWidth="1"/>
    <col min="12805" max="12805" width="13.5" style="2965" customWidth="1"/>
    <col min="12806" max="12806" width="9" style="2965"/>
    <col min="12807" max="12807" width="9.375" style="2965" bestFit="1" customWidth="1"/>
    <col min="12808" max="12809" width="9" style="2965"/>
    <col min="12810" max="12810" width="9.375" style="2965" bestFit="1" customWidth="1"/>
    <col min="12811" max="12811" width="4" style="2965" customWidth="1"/>
    <col min="12812" max="12812" width="5.125" style="2965" customWidth="1"/>
    <col min="12813" max="12813" width="13.75" style="2965" customWidth="1"/>
    <col min="12814" max="13056" width="9" style="2965"/>
    <col min="13057" max="13057" width="4.875" style="2965" customWidth="1"/>
    <col min="13058" max="13058" width="13.25" style="2965" customWidth="1"/>
    <col min="13059" max="13059" width="15.625" style="2965" customWidth="1"/>
    <col min="13060" max="13060" width="9.375" style="2965" bestFit="1" customWidth="1"/>
    <col min="13061" max="13061" width="13.5" style="2965" customWidth="1"/>
    <col min="13062" max="13062" width="9" style="2965"/>
    <col min="13063" max="13063" width="9.375" style="2965" bestFit="1" customWidth="1"/>
    <col min="13064" max="13065" width="9" style="2965"/>
    <col min="13066" max="13066" width="9.375" style="2965" bestFit="1" customWidth="1"/>
    <col min="13067" max="13067" width="4" style="2965" customWidth="1"/>
    <col min="13068" max="13068" width="5.125" style="2965" customWidth="1"/>
    <col min="13069" max="13069" width="13.75" style="2965" customWidth="1"/>
    <col min="13070" max="13312" width="9" style="2965"/>
    <col min="13313" max="13313" width="4.875" style="2965" customWidth="1"/>
    <col min="13314" max="13314" width="13.25" style="2965" customWidth="1"/>
    <col min="13315" max="13315" width="15.625" style="2965" customWidth="1"/>
    <col min="13316" max="13316" width="9.375" style="2965" bestFit="1" customWidth="1"/>
    <col min="13317" max="13317" width="13.5" style="2965" customWidth="1"/>
    <col min="13318" max="13318" width="9" style="2965"/>
    <col min="13319" max="13319" width="9.375" style="2965" bestFit="1" customWidth="1"/>
    <col min="13320" max="13321" width="9" style="2965"/>
    <col min="13322" max="13322" width="9.375" style="2965" bestFit="1" customWidth="1"/>
    <col min="13323" max="13323" width="4" style="2965" customWidth="1"/>
    <col min="13324" max="13324" width="5.125" style="2965" customWidth="1"/>
    <col min="13325" max="13325" width="13.75" style="2965" customWidth="1"/>
    <col min="13326" max="13568" width="9" style="2965"/>
    <col min="13569" max="13569" width="4.875" style="2965" customWidth="1"/>
    <col min="13570" max="13570" width="13.25" style="2965" customWidth="1"/>
    <col min="13571" max="13571" width="15.625" style="2965" customWidth="1"/>
    <col min="13572" max="13572" width="9.375" style="2965" bestFit="1" customWidth="1"/>
    <col min="13573" max="13573" width="13.5" style="2965" customWidth="1"/>
    <col min="13574" max="13574" width="9" style="2965"/>
    <col min="13575" max="13575" width="9.375" style="2965" bestFit="1" customWidth="1"/>
    <col min="13576" max="13577" width="9" style="2965"/>
    <col min="13578" max="13578" width="9.375" style="2965" bestFit="1" customWidth="1"/>
    <col min="13579" max="13579" width="4" style="2965" customWidth="1"/>
    <col min="13580" max="13580" width="5.125" style="2965" customWidth="1"/>
    <col min="13581" max="13581" width="13.75" style="2965" customWidth="1"/>
    <col min="13582" max="13824" width="9" style="2965"/>
    <col min="13825" max="13825" width="4.875" style="2965" customWidth="1"/>
    <col min="13826" max="13826" width="13.25" style="2965" customWidth="1"/>
    <col min="13827" max="13827" width="15.625" style="2965" customWidth="1"/>
    <col min="13828" max="13828" width="9.375" style="2965" bestFit="1" customWidth="1"/>
    <col min="13829" max="13829" width="13.5" style="2965" customWidth="1"/>
    <col min="13830" max="13830" width="9" style="2965"/>
    <col min="13831" max="13831" width="9.375" style="2965" bestFit="1" customWidth="1"/>
    <col min="13832" max="13833" width="9" style="2965"/>
    <col min="13834" max="13834" width="9.375" style="2965" bestFit="1" customWidth="1"/>
    <col min="13835" max="13835" width="4" style="2965" customWidth="1"/>
    <col min="13836" max="13836" width="5.125" style="2965" customWidth="1"/>
    <col min="13837" max="13837" width="13.75" style="2965" customWidth="1"/>
    <col min="13838" max="14080" width="9" style="2965"/>
    <col min="14081" max="14081" width="4.875" style="2965" customWidth="1"/>
    <col min="14082" max="14082" width="13.25" style="2965" customWidth="1"/>
    <col min="14083" max="14083" width="15.625" style="2965" customWidth="1"/>
    <col min="14084" max="14084" width="9.375" style="2965" bestFit="1" customWidth="1"/>
    <col min="14085" max="14085" width="13.5" style="2965" customWidth="1"/>
    <col min="14086" max="14086" width="9" style="2965"/>
    <col min="14087" max="14087" width="9.375" style="2965" bestFit="1" customWidth="1"/>
    <col min="14088" max="14089" width="9" style="2965"/>
    <col min="14090" max="14090" width="9.375" style="2965" bestFit="1" customWidth="1"/>
    <col min="14091" max="14091" width="4" style="2965" customWidth="1"/>
    <col min="14092" max="14092" width="5.125" style="2965" customWidth="1"/>
    <col min="14093" max="14093" width="13.75" style="2965" customWidth="1"/>
    <col min="14094" max="14336" width="9" style="2965"/>
    <col min="14337" max="14337" width="4.875" style="2965" customWidth="1"/>
    <col min="14338" max="14338" width="13.25" style="2965" customWidth="1"/>
    <col min="14339" max="14339" width="15.625" style="2965" customWidth="1"/>
    <col min="14340" max="14340" width="9.375" style="2965" bestFit="1" customWidth="1"/>
    <col min="14341" max="14341" width="13.5" style="2965" customWidth="1"/>
    <col min="14342" max="14342" width="9" style="2965"/>
    <col min="14343" max="14343" width="9.375" style="2965" bestFit="1" customWidth="1"/>
    <col min="14344" max="14345" width="9" style="2965"/>
    <col min="14346" max="14346" width="9.375" style="2965" bestFit="1" customWidth="1"/>
    <col min="14347" max="14347" width="4" style="2965" customWidth="1"/>
    <col min="14348" max="14348" width="5.125" style="2965" customWidth="1"/>
    <col min="14349" max="14349" width="13.75" style="2965" customWidth="1"/>
    <col min="14350" max="14592" width="9" style="2965"/>
    <col min="14593" max="14593" width="4.875" style="2965" customWidth="1"/>
    <col min="14594" max="14594" width="13.25" style="2965" customWidth="1"/>
    <col min="14595" max="14595" width="15.625" style="2965" customWidth="1"/>
    <col min="14596" max="14596" width="9.375" style="2965" bestFit="1" customWidth="1"/>
    <col min="14597" max="14597" width="13.5" style="2965" customWidth="1"/>
    <col min="14598" max="14598" width="9" style="2965"/>
    <col min="14599" max="14599" width="9.375" style="2965" bestFit="1" customWidth="1"/>
    <col min="14600" max="14601" width="9" style="2965"/>
    <col min="14602" max="14602" width="9.375" style="2965" bestFit="1" customWidth="1"/>
    <col min="14603" max="14603" width="4" style="2965" customWidth="1"/>
    <col min="14604" max="14604" width="5.125" style="2965" customWidth="1"/>
    <col min="14605" max="14605" width="13.75" style="2965" customWidth="1"/>
    <col min="14606" max="14848" width="9" style="2965"/>
    <col min="14849" max="14849" width="4.875" style="2965" customWidth="1"/>
    <col min="14850" max="14850" width="13.25" style="2965" customWidth="1"/>
    <col min="14851" max="14851" width="15.625" style="2965" customWidth="1"/>
    <col min="14852" max="14852" width="9.375" style="2965" bestFit="1" customWidth="1"/>
    <col min="14853" max="14853" width="13.5" style="2965" customWidth="1"/>
    <col min="14854" max="14854" width="9" style="2965"/>
    <col min="14855" max="14855" width="9.375" style="2965" bestFit="1" customWidth="1"/>
    <col min="14856" max="14857" width="9" style="2965"/>
    <col min="14858" max="14858" width="9.375" style="2965" bestFit="1" customWidth="1"/>
    <col min="14859" max="14859" width="4" style="2965" customWidth="1"/>
    <col min="14860" max="14860" width="5.125" style="2965" customWidth="1"/>
    <col min="14861" max="14861" width="13.75" style="2965" customWidth="1"/>
    <col min="14862" max="15104" width="9" style="2965"/>
    <col min="15105" max="15105" width="4.875" style="2965" customWidth="1"/>
    <col min="15106" max="15106" width="13.25" style="2965" customWidth="1"/>
    <col min="15107" max="15107" width="15.625" style="2965" customWidth="1"/>
    <col min="15108" max="15108" width="9.375" style="2965" bestFit="1" customWidth="1"/>
    <col min="15109" max="15109" width="13.5" style="2965" customWidth="1"/>
    <col min="15110" max="15110" width="9" style="2965"/>
    <col min="15111" max="15111" width="9.375" style="2965" bestFit="1" customWidth="1"/>
    <col min="15112" max="15113" width="9" style="2965"/>
    <col min="15114" max="15114" width="9.375" style="2965" bestFit="1" customWidth="1"/>
    <col min="15115" max="15115" width="4" style="2965" customWidth="1"/>
    <col min="15116" max="15116" width="5.125" style="2965" customWidth="1"/>
    <col min="15117" max="15117" width="13.75" style="2965" customWidth="1"/>
    <col min="15118" max="15360" width="9" style="2965"/>
    <col min="15361" max="15361" width="4.875" style="2965" customWidth="1"/>
    <col min="15362" max="15362" width="13.25" style="2965" customWidth="1"/>
    <col min="15363" max="15363" width="15.625" style="2965" customWidth="1"/>
    <col min="15364" max="15364" width="9.375" style="2965" bestFit="1" customWidth="1"/>
    <col min="15365" max="15365" width="13.5" style="2965" customWidth="1"/>
    <col min="15366" max="15366" width="9" style="2965"/>
    <col min="15367" max="15367" width="9.375" style="2965" bestFit="1" customWidth="1"/>
    <col min="15368" max="15369" width="9" style="2965"/>
    <col min="15370" max="15370" width="9.375" style="2965" bestFit="1" customWidth="1"/>
    <col min="15371" max="15371" width="4" style="2965" customWidth="1"/>
    <col min="15372" max="15372" width="5.125" style="2965" customWidth="1"/>
    <col min="15373" max="15373" width="13.75" style="2965" customWidth="1"/>
    <col min="15374" max="15616" width="9" style="2965"/>
    <col min="15617" max="15617" width="4.875" style="2965" customWidth="1"/>
    <col min="15618" max="15618" width="13.25" style="2965" customWidth="1"/>
    <col min="15619" max="15619" width="15.625" style="2965" customWidth="1"/>
    <col min="15620" max="15620" width="9.375" style="2965" bestFit="1" customWidth="1"/>
    <col min="15621" max="15621" width="13.5" style="2965" customWidth="1"/>
    <col min="15622" max="15622" width="9" style="2965"/>
    <col min="15623" max="15623" width="9.375" style="2965" bestFit="1" customWidth="1"/>
    <col min="15624" max="15625" width="9" style="2965"/>
    <col min="15626" max="15626" width="9.375" style="2965" bestFit="1" customWidth="1"/>
    <col min="15627" max="15627" width="4" style="2965" customWidth="1"/>
    <col min="15628" max="15628" width="5.125" style="2965" customWidth="1"/>
    <col min="15629" max="15629" width="13.75" style="2965" customWidth="1"/>
    <col min="15630" max="15872" width="9" style="2965"/>
    <col min="15873" max="15873" width="4.875" style="2965" customWidth="1"/>
    <col min="15874" max="15874" width="13.25" style="2965" customWidth="1"/>
    <col min="15875" max="15875" width="15.625" style="2965" customWidth="1"/>
    <col min="15876" max="15876" width="9.375" style="2965" bestFit="1" customWidth="1"/>
    <col min="15877" max="15877" width="13.5" style="2965" customWidth="1"/>
    <col min="15878" max="15878" width="9" style="2965"/>
    <col min="15879" max="15879" width="9.375" style="2965" bestFit="1" customWidth="1"/>
    <col min="15880" max="15881" width="9" style="2965"/>
    <col min="15882" max="15882" width="9.375" style="2965" bestFit="1" customWidth="1"/>
    <col min="15883" max="15883" width="4" style="2965" customWidth="1"/>
    <col min="15884" max="15884" width="5.125" style="2965" customWidth="1"/>
    <col min="15885" max="15885" width="13.75" style="2965" customWidth="1"/>
    <col min="15886" max="16128" width="9" style="2965"/>
    <col min="16129" max="16129" width="4.875" style="2965" customWidth="1"/>
    <col min="16130" max="16130" width="13.25" style="2965" customWidth="1"/>
    <col min="16131" max="16131" width="15.625" style="2965" customWidth="1"/>
    <col min="16132" max="16132" width="9.375" style="2965" bestFit="1" customWidth="1"/>
    <col min="16133" max="16133" width="13.5" style="2965" customWidth="1"/>
    <col min="16134" max="16134" width="9" style="2965"/>
    <col min="16135" max="16135" width="9.375" style="2965" bestFit="1" customWidth="1"/>
    <col min="16136" max="16137" width="9" style="2965"/>
    <col min="16138" max="16138" width="9.375" style="2965" bestFit="1" customWidth="1"/>
    <col min="16139" max="16139" width="4" style="2965" customWidth="1"/>
    <col min="16140" max="16140" width="5.125" style="2965" customWidth="1"/>
    <col min="16141" max="16141" width="13.75" style="2965" customWidth="1"/>
    <col min="16142" max="16384" width="9" style="2965"/>
  </cols>
  <sheetData>
    <row r="1" spans="1:257" s="3025" customFormat="1" ht="14.25" thickBot="1">
      <c r="A1" s="3024"/>
      <c r="B1" s="3026" t="s">
        <v>2793</v>
      </c>
      <c r="C1" s="3030">
        <f>项目基本情况!D3</f>
        <v>43083</v>
      </c>
      <c r="H1" s="2964">
        <f>IF(C1&gt;C13,0,MATCH(C1,C$13:C$100,-1))+IF(SUMIF(C13:C100,C1,D13:D100)=0,13,12)</f>
        <v>13</v>
      </c>
      <c r="I1" s="2964">
        <f>MATCH(C2,H3:H7,1)+IF(SUMIF(H3:H7,C2,I3:I7)=0,2,1)</f>
        <v>5</v>
      </c>
      <c r="J1" s="3023">
        <f ca="1">MATCH(C3,H3:H7,1)+IF(SUMIF(H3:H7,C3,J3:J7)=0,2,1)</f>
        <v>2</v>
      </c>
      <c r="N1" s="2964">
        <f>IF(C1&gt;M13,0,MATCH(C1,M$13:M$100,-1))+IF(SUMIF(M13:M100,C1,N13:N100)=0,13,12)</f>
        <v>13</v>
      </c>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c r="AN1" s="3024"/>
      <c r="AO1" s="3024"/>
      <c r="AP1" s="3024"/>
      <c r="AQ1" s="3024"/>
      <c r="AR1" s="3024"/>
      <c r="AS1" s="3024"/>
      <c r="AT1" s="3024"/>
      <c r="AU1" s="3024"/>
      <c r="AV1" s="3024"/>
      <c r="AW1" s="3024"/>
      <c r="AX1" s="3024"/>
      <c r="AY1" s="3024"/>
      <c r="AZ1" s="3024"/>
      <c r="BA1" s="3024"/>
      <c r="BB1" s="3024"/>
      <c r="BC1" s="3024"/>
      <c r="BD1" s="3024"/>
      <c r="BE1" s="3024"/>
      <c r="BF1" s="3024"/>
      <c r="BG1" s="3024"/>
      <c r="BH1" s="3024"/>
      <c r="BI1" s="3024"/>
      <c r="BJ1" s="3024"/>
      <c r="BK1" s="3024"/>
      <c r="BL1" s="3024"/>
      <c r="BM1" s="3024"/>
      <c r="BN1" s="3024"/>
      <c r="BO1" s="3024"/>
      <c r="BP1" s="3024"/>
      <c r="BQ1" s="3024"/>
      <c r="BR1" s="3024"/>
      <c r="BS1" s="3024"/>
      <c r="BT1" s="3024"/>
      <c r="BU1" s="3024"/>
      <c r="BV1" s="3024"/>
      <c r="BW1" s="3024"/>
      <c r="BX1" s="3024"/>
      <c r="BY1" s="3024"/>
      <c r="BZ1" s="3024"/>
      <c r="CA1" s="3024"/>
      <c r="CB1" s="3024"/>
      <c r="CC1" s="3024"/>
      <c r="CD1" s="3024"/>
      <c r="CE1" s="3024"/>
      <c r="CF1" s="3024"/>
      <c r="CG1" s="3024"/>
      <c r="CH1" s="3024"/>
      <c r="CI1" s="3024"/>
      <c r="CJ1" s="3024"/>
      <c r="CK1" s="3024"/>
      <c r="CL1" s="3024"/>
      <c r="CM1" s="3024"/>
      <c r="CN1" s="3024"/>
      <c r="CO1" s="3024"/>
      <c r="CP1" s="3024"/>
      <c r="CQ1" s="3024"/>
      <c r="CR1" s="3024"/>
      <c r="CS1" s="3024"/>
      <c r="CT1" s="3024"/>
      <c r="CU1" s="3024"/>
      <c r="CV1" s="3024"/>
      <c r="CW1" s="3024"/>
      <c r="CX1" s="3024"/>
      <c r="CY1" s="3024"/>
      <c r="CZ1" s="3024"/>
      <c r="DA1" s="3024"/>
      <c r="DB1" s="3024"/>
      <c r="DC1" s="3024"/>
      <c r="DD1" s="3024"/>
      <c r="DE1" s="3024"/>
      <c r="DF1" s="3024"/>
      <c r="DG1" s="3024"/>
      <c r="DH1" s="3024"/>
      <c r="DI1" s="3024"/>
      <c r="DJ1" s="3024"/>
      <c r="DK1" s="3024"/>
      <c r="DL1" s="3024"/>
      <c r="DM1" s="3024"/>
      <c r="DN1" s="3024"/>
      <c r="DO1" s="3024"/>
      <c r="DP1" s="3024"/>
      <c r="DQ1" s="3024"/>
      <c r="DR1" s="3024"/>
      <c r="DS1" s="3024"/>
      <c r="DT1" s="3024"/>
      <c r="DU1" s="3024"/>
      <c r="DV1" s="3024"/>
      <c r="DW1" s="3024"/>
      <c r="DX1" s="3024"/>
      <c r="DY1" s="3024"/>
      <c r="DZ1" s="3024"/>
      <c r="EA1" s="3024"/>
      <c r="EB1" s="3024"/>
      <c r="EC1" s="3024"/>
      <c r="ED1" s="3024"/>
      <c r="EE1" s="3024"/>
      <c r="EF1" s="3024"/>
      <c r="EG1" s="3024"/>
      <c r="EH1" s="3024"/>
      <c r="EI1" s="3024"/>
      <c r="EJ1" s="3024"/>
      <c r="EK1" s="3024"/>
      <c r="EL1" s="3024"/>
      <c r="EM1" s="3024"/>
      <c r="EN1" s="3024"/>
      <c r="EO1" s="3024"/>
      <c r="EP1" s="3024"/>
      <c r="EQ1" s="3024"/>
      <c r="ER1" s="3024"/>
      <c r="ES1" s="3024"/>
      <c r="ET1" s="3024"/>
      <c r="EU1" s="3024"/>
      <c r="EV1" s="3024"/>
      <c r="EW1" s="3024"/>
      <c r="EX1" s="3024"/>
      <c r="EY1" s="3024"/>
      <c r="EZ1" s="3024"/>
      <c r="FA1" s="3024"/>
      <c r="FB1" s="3024"/>
      <c r="FC1" s="3024"/>
      <c r="FD1" s="3024"/>
      <c r="FE1" s="3024"/>
      <c r="FF1" s="3024"/>
      <c r="FG1" s="3024"/>
      <c r="FH1" s="3024"/>
      <c r="FI1" s="3024"/>
      <c r="FJ1" s="3024"/>
      <c r="FK1" s="3024"/>
      <c r="FL1" s="3024"/>
      <c r="FM1" s="3024"/>
      <c r="FN1" s="3024"/>
      <c r="FO1" s="3024"/>
      <c r="FP1" s="3024"/>
      <c r="FQ1" s="3024"/>
      <c r="FR1" s="3024"/>
      <c r="FS1" s="3024"/>
      <c r="FT1" s="3024"/>
      <c r="FU1" s="3024"/>
      <c r="FV1" s="3024"/>
      <c r="FW1" s="3024"/>
      <c r="FX1" s="3024"/>
      <c r="FY1" s="3024"/>
      <c r="FZ1" s="3024"/>
      <c r="GA1" s="3024"/>
      <c r="GB1" s="3024"/>
      <c r="GC1" s="3024"/>
      <c r="GD1" s="3024"/>
      <c r="GE1" s="3024"/>
      <c r="GF1" s="3024"/>
      <c r="GG1" s="3024"/>
      <c r="GH1" s="3024"/>
      <c r="GI1" s="3024"/>
      <c r="GJ1" s="3024"/>
      <c r="GK1" s="3024"/>
      <c r="GL1" s="3024"/>
      <c r="GM1" s="3024"/>
      <c r="GN1" s="3024"/>
      <c r="GO1" s="3024"/>
      <c r="GP1" s="3024"/>
      <c r="GQ1" s="3024"/>
      <c r="GR1" s="3024"/>
      <c r="GS1" s="3024"/>
      <c r="GT1" s="3024"/>
      <c r="GU1" s="3024"/>
      <c r="GV1" s="3024"/>
      <c r="GW1" s="3024"/>
      <c r="GX1" s="3024"/>
      <c r="GY1" s="3024"/>
      <c r="GZ1" s="3024"/>
      <c r="HA1" s="3024"/>
      <c r="HB1" s="3024"/>
      <c r="HC1" s="3024"/>
      <c r="HD1" s="3024"/>
      <c r="HE1" s="3024"/>
      <c r="HF1" s="3024"/>
      <c r="HG1" s="3024"/>
      <c r="HH1" s="3024"/>
      <c r="HI1" s="3024"/>
      <c r="HJ1" s="3024"/>
      <c r="HK1" s="3024"/>
      <c r="HL1" s="3024"/>
      <c r="HM1" s="3024"/>
      <c r="HN1" s="3024"/>
      <c r="HO1" s="3024"/>
      <c r="HP1" s="3024"/>
      <c r="HQ1" s="3024"/>
      <c r="HR1" s="3024"/>
      <c r="HS1" s="3024"/>
      <c r="HT1" s="3024"/>
      <c r="HU1" s="3024"/>
      <c r="HV1" s="3024"/>
      <c r="HW1" s="3024"/>
      <c r="HX1" s="3024"/>
      <c r="HY1" s="3024"/>
      <c r="HZ1" s="3024"/>
      <c r="IA1" s="3024"/>
      <c r="IB1" s="3024"/>
      <c r="IC1" s="3024"/>
      <c r="ID1" s="3024"/>
      <c r="IE1" s="3024"/>
      <c r="IF1" s="3024"/>
      <c r="IG1" s="3024"/>
      <c r="IH1" s="3024"/>
      <c r="II1" s="3024"/>
      <c r="IJ1" s="3024"/>
      <c r="IK1" s="3024"/>
      <c r="IL1" s="3024"/>
      <c r="IM1" s="3024"/>
      <c r="IN1" s="3024"/>
      <c r="IO1" s="3024"/>
      <c r="IP1" s="3024"/>
      <c r="IQ1" s="3024"/>
      <c r="IR1" s="3024"/>
      <c r="IS1" s="3024"/>
      <c r="IT1" s="3024"/>
      <c r="IU1" s="3024"/>
      <c r="IV1" s="3024"/>
    </row>
    <row r="2" spans="1:257" s="3022" customFormat="1" ht="15" thickTop="1" thickBot="1">
      <c r="A2" s="2966"/>
      <c r="B2" s="3027" t="s">
        <v>2824</v>
      </c>
      <c r="C2" s="3031">
        <f>'数据-取费表'!B22</f>
        <v>1.5</v>
      </c>
      <c r="D2" s="3026" t="s">
        <v>2794</v>
      </c>
      <c r="E2" s="3029">
        <f ca="1">INDIRECT("I"&amp;$I$1)/100</f>
        <v>4.7500000000000001E-2</v>
      </c>
      <c r="G2" s="2966"/>
      <c r="H2" s="2966"/>
      <c r="I2" s="2966" t="s">
        <v>2795</v>
      </c>
      <c r="K2" s="2966"/>
      <c r="L2" s="2966"/>
      <c r="M2" s="2966"/>
      <c r="N2" s="2966" t="s">
        <v>2796</v>
      </c>
      <c r="O2" s="2966"/>
      <c r="P2" s="2966"/>
      <c r="Q2" s="2966"/>
      <c r="R2" s="2966"/>
      <c r="S2" s="2966"/>
      <c r="T2" s="2966"/>
      <c r="U2" s="2966"/>
      <c r="V2" s="2966"/>
      <c r="W2" s="2966"/>
      <c r="X2" s="2966"/>
      <c r="Y2" s="2966"/>
      <c r="Z2" s="2966"/>
      <c r="AA2" s="2966"/>
      <c r="AB2" s="2966"/>
      <c r="AC2" s="2966"/>
      <c r="AD2" s="2966"/>
      <c r="AE2" s="2966"/>
      <c r="AF2" s="2966"/>
      <c r="AG2" s="2966"/>
      <c r="AH2" s="2966"/>
      <c r="AI2" s="2966"/>
      <c r="AJ2" s="2966"/>
      <c r="AK2" s="2966"/>
      <c r="AL2" s="2966"/>
      <c r="AM2" s="2966"/>
      <c r="AN2" s="2966"/>
      <c r="AO2" s="2966"/>
      <c r="AP2" s="2966"/>
      <c r="AQ2" s="2966"/>
      <c r="AR2" s="2966"/>
      <c r="AS2" s="2966"/>
      <c r="AT2" s="2966"/>
      <c r="AU2" s="2966"/>
      <c r="AV2" s="2966"/>
      <c r="AW2" s="2966"/>
      <c r="AX2" s="2966"/>
      <c r="AY2" s="2966"/>
      <c r="AZ2" s="2966"/>
      <c r="BA2" s="2966"/>
      <c r="BB2" s="2966"/>
      <c r="BC2" s="2966"/>
      <c r="BD2" s="2966"/>
      <c r="BE2" s="2966"/>
      <c r="BF2" s="2966"/>
      <c r="BG2" s="2966"/>
      <c r="BH2" s="2966"/>
      <c r="BI2" s="2966"/>
      <c r="BJ2" s="2966"/>
      <c r="BK2" s="2966"/>
      <c r="BL2" s="2966"/>
      <c r="BM2" s="2966"/>
      <c r="BN2" s="2966"/>
      <c r="BO2" s="2966"/>
      <c r="BP2" s="2966"/>
      <c r="BQ2" s="2966"/>
      <c r="BR2" s="2966"/>
      <c r="BS2" s="2966"/>
      <c r="BT2" s="2966"/>
      <c r="BU2" s="2966"/>
      <c r="BV2" s="2966"/>
      <c r="BW2" s="2966"/>
      <c r="BX2" s="2966"/>
      <c r="BY2" s="2966"/>
      <c r="BZ2" s="2966"/>
      <c r="CA2" s="2966"/>
      <c r="CB2" s="2966"/>
      <c r="CC2" s="2966"/>
      <c r="CD2" s="2966"/>
      <c r="CE2" s="2966"/>
      <c r="CF2" s="2966"/>
      <c r="CG2" s="2966"/>
      <c r="CH2" s="2966"/>
      <c r="CI2" s="2966"/>
      <c r="CJ2" s="2966"/>
      <c r="CK2" s="2966"/>
      <c r="CL2" s="2966"/>
      <c r="CM2" s="2966"/>
      <c r="CN2" s="2966"/>
      <c r="CO2" s="2966"/>
      <c r="CP2" s="2966"/>
      <c r="CQ2" s="2966"/>
      <c r="CR2" s="2966"/>
      <c r="CS2" s="2966"/>
      <c r="CT2" s="2966"/>
      <c r="CU2" s="2966"/>
      <c r="CV2" s="2966"/>
      <c r="CW2" s="2966"/>
      <c r="CX2" s="2966"/>
      <c r="CY2" s="2966"/>
      <c r="CZ2" s="2966"/>
      <c r="DA2" s="2966"/>
      <c r="DB2" s="2966"/>
      <c r="DC2" s="2966"/>
      <c r="DD2" s="2966"/>
      <c r="DE2" s="2966"/>
      <c r="DF2" s="2966"/>
      <c r="DG2" s="2966"/>
      <c r="DH2" s="2966"/>
      <c r="DI2" s="2966"/>
      <c r="DJ2" s="2966"/>
      <c r="DK2" s="2966"/>
      <c r="DL2" s="2966"/>
      <c r="DM2" s="2966"/>
      <c r="DN2" s="2966"/>
      <c r="DO2" s="2966"/>
      <c r="DP2" s="2966"/>
      <c r="DQ2" s="2966"/>
      <c r="DR2" s="2966"/>
      <c r="DS2" s="2966"/>
      <c r="DT2" s="2966"/>
      <c r="DU2" s="2966"/>
      <c r="DV2" s="2966"/>
      <c r="DW2" s="2966"/>
      <c r="DX2" s="2966"/>
      <c r="DY2" s="2966"/>
      <c r="DZ2" s="2966"/>
      <c r="EA2" s="2966"/>
      <c r="EB2" s="2966"/>
      <c r="EC2" s="2966"/>
      <c r="ED2" s="2966"/>
      <c r="EE2" s="2966"/>
      <c r="EF2" s="2966"/>
      <c r="EG2" s="2966"/>
      <c r="EH2" s="2966"/>
      <c r="EI2" s="2966"/>
      <c r="EJ2" s="2966"/>
      <c r="EK2" s="2966"/>
      <c r="EL2" s="2966"/>
      <c r="EM2" s="2966"/>
      <c r="EN2" s="2966"/>
      <c r="EO2" s="2966"/>
      <c r="EP2" s="2966"/>
      <c r="EQ2" s="2966"/>
      <c r="ER2" s="2966"/>
      <c r="ES2" s="2966"/>
      <c r="ET2" s="2966"/>
      <c r="EU2" s="2966"/>
      <c r="EV2" s="2966"/>
      <c r="EW2" s="2966"/>
      <c r="EX2" s="2966"/>
      <c r="EY2" s="2966"/>
      <c r="EZ2" s="2966"/>
      <c r="FA2" s="2966"/>
      <c r="FB2" s="2966"/>
      <c r="FC2" s="2966"/>
      <c r="FD2" s="2966"/>
      <c r="FE2" s="2966"/>
      <c r="FF2" s="2966"/>
      <c r="FG2" s="2966"/>
      <c r="FH2" s="2966"/>
      <c r="FI2" s="2966"/>
      <c r="FJ2" s="2966"/>
      <c r="FK2" s="2966"/>
      <c r="FL2" s="2966"/>
      <c r="FM2" s="2966"/>
      <c r="FN2" s="2966"/>
      <c r="FO2" s="2966"/>
      <c r="FP2" s="2966"/>
      <c r="FQ2" s="2966"/>
      <c r="FR2" s="2966"/>
      <c r="FS2" s="2966"/>
      <c r="FT2" s="2966"/>
      <c r="FU2" s="2966"/>
      <c r="FV2" s="2966"/>
      <c r="FW2" s="2966"/>
      <c r="FX2" s="2966"/>
      <c r="FY2" s="2966"/>
      <c r="FZ2" s="2966"/>
      <c r="GA2" s="2966"/>
      <c r="GB2" s="2966"/>
      <c r="GC2" s="2966"/>
      <c r="GD2" s="2966"/>
      <c r="GE2" s="2966"/>
      <c r="GF2" s="2966"/>
      <c r="GG2" s="2966"/>
      <c r="GH2" s="2966"/>
      <c r="GI2" s="2966"/>
      <c r="GJ2" s="2966"/>
      <c r="GK2" s="2966"/>
      <c r="GL2" s="2966"/>
      <c r="GM2" s="2966"/>
      <c r="GN2" s="2966"/>
      <c r="GO2" s="2966"/>
      <c r="GP2" s="2966"/>
      <c r="GQ2" s="2966"/>
      <c r="GR2" s="2966"/>
      <c r="GS2" s="2966"/>
      <c r="GT2" s="2966"/>
      <c r="GU2" s="2966"/>
      <c r="GV2" s="2966"/>
      <c r="GW2" s="2966"/>
      <c r="GX2" s="2966"/>
      <c r="GY2" s="2966"/>
      <c r="GZ2" s="2966"/>
      <c r="HA2" s="2966"/>
      <c r="HB2" s="2966"/>
      <c r="HC2" s="2966"/>
      <c r="HD2" s="2966"/>
      <c r="HE2" s="2966"/>
      <c r="HF2" s="2966"/>
      <c r="HG2" s="2966"/>
      <c r="HH2" s="2966"/>
      <c r="HI2" s="2966"/>
      <c r="HJ2" s="2966"/>
      <c r="HK2" s="2966"/>
      <c r="HL2" s="2966"/>
      <c r="HM2" s="2966"/>
      <c r="HN2" s="2966"/>
      <c r="HO2" s="2966"/>
      <c r="HP2" s="2966"/>
      <c r="HQ2" s="2966"/>
      <c r="HR2" s="2966"/>
      <c r="HS2" s="2966"/>
      <c r="HT2" s="2966"/>
      <c r="HU2" s="2966"/>
      <c r="HV2" s="2966"/>
      <c r="HW2" s="2966"/>
      <c r="HX2" s="2966"/>
      <c r="HY2" s="2966"/>
      <c r="HZ2" s="2966"/>
      <c r="IA2" s="2966"/>
      <c r="IB2" s="2966"/>
      <c r="IC2" s="2966"/>
      <c r="ID2" s="2966"/>
      <c r="IE2" s="2966"/>
      <c r="IF2" s="2966"/>
      <c r="IG2" s="2966"/>
      <c r="IH2" s="2966"/>
      <c r="II2" s="2966"/>
      <c r="IJ2" s="2966"/>
      <c r="IK2" s="2966"/>
      <c r="IL2" s="2966"/>
      <c r="IM2" s="2966"/>
      <c r="IN2" s="2966"/>
      <c r="IO2" s="2966"/>
      <c r="IP2" s="2966"/>
      <c r="IQ2" s="2966"/>
      <c r="IR2" s="2966"/>
      <c r="IS2" s="2966"/>
      <c r="IT2" s="2966"/>
      <c r="IU2" s="2966"/>
      <c r="IV2" s="2966"/>
      <c r="IW2" s="2966"/>
    </row>
    <row r="3" spans="1:257" s="3022" customFormat="1">
      <c r="A3" s="2967"/>
      <c r="B3" s="3026" t="s">
        <v>2826</v>
      </c>
      <c r="C3" s="3028">
        <f>'数据-取费表'!B19</f>
        <v>0</v>
      </c>
      <c r="D3" s="3026" t="s">
        <v>2794</v>
      </c>
      <c r="E3" s="3029">
        <f ca="1">INDIRECT("J"&amp;$J$1)/100</f>
        <v>0</v>
      </c>
      <c r="G3" s="2968" t="s">
        <v>2797</v>
      </c>
      <c r="H3" s="2969">
        <v>0</v>
      </c>
      <c r="I3" s="2970">
        <f ca="1">INDIRECT("d"&amp;$H$1)</f>
        <v>4.3499999999999996</v>
      </c>
      <c r="J3" s="2970">
        <f ca="1">INDIRECT("d"&amp;$H$1)</f>
        <v>4.3499999999999996</v>
      </c>
      <c r="K3" s="2967"/>
      <c r="L3" s="2967"/>
      <c r="M3" s="2971">
        <v>0.5</v>
      </c>
      <c r="N3" s="2972">
        <f ca="1">INDIRECT("p"&amp;$N$1)</f>
        <v>1.3</v>
      </c>
      <c r="O3" s="2967"/>
      <c r="P3" s="2967"/>
      <c r="Q3" s="2967"/>
      <c r="R3" s="2967"/>
      <c r="S3" s="2967"/>
      <c r="T3" s="2967"/>
      <c r="U3" s="2967"/>
      <c r="V3" s="2967"/>
      <c r="W3" s="2967"/>
      <c r="X3" s="2967"/>
      <c r="Y3" s="2967"/>
      <c r="Z3" s="2967"/>
      <c r="AA3" s="2967"/>
      <c r="AB3" s="2967"/>
      <c r="AC3" s="2967"/>
      <c r="AD3" s="2967"/>
      <c r="AE3" s="2967"/>
      <c r="AF3" s="2967"/>
      <c r="AG3" s="2967"/>
      <c r="AH3" s="2967"/>
      <c r="AI3" s="2967"/>
      <c r="AJ3" s="2967"/>
      <c r="AK3" s="2967"/>
      <c r="AL3" s="2967"/>
      <c r="AM3" s="2967"/>
      <c r="AN3" s="2967"/>
      <c r="AO3" s="2967"/>
      <c r="AP3" s="2967"/>
      <c r="AQ3" s="2967"/>
      <c r="AR3" s="2967"/>
      <c r="AS3" s="2967"/>
      <c r="AT3" s="2967"/>
      <c r="AU3" s="2967"/>
      <c r="AV3" s="2967"/>
      <c r="AW3" s="2967"/>
      <c r="AX3" s="2967"/>
      <c r="AY3" s="2967"/>
      <c r="AZ3" s="2967"/>
      <c r="BA3" s="2967"/>
      <c r="BB3" s="2967"/>
      <c r="BC3" s="2967"/>
      <c r="BD3" s="2967"/>
      <c r="BE3" s="2967"/>
      <c r="BF3" s="2967"/>
      <c r="BG3" s="2967"/>
      <c r="BH3" s="2967"/>
      <c r="BI3" s="2967"/>
      <c r="BJ3" s="2967"/>
      <c r="BK3" s="2967"/>
      <c r="BL3" s="2967"/>
      <c r="BM3" s="2967"/>
      <c r="BN3" s="2967"/>
      <c r="BO3" s="2967"/>
      <c r="BP3" s="2967"/>
      <c r="BQ3" s="2967"/>
      <c r="BR3" s="2967"/>
      <c r="BS3" s="2967"/>
      <c r="BT3" s="2967"/>
      <c r="BU3" s="2967"/>
      <c r="BV3" s="2967"/>
      <c r="BW3" s="2967"/>
      <c r="BX3" s="2967"/>
      <c r="BY3" s="2967"/>
      <c r="BZ3" s="2967"/>
      <c r="CA3" s="2967"/>
      <c r="CB3" s="2967"/>
      <c r="CC3" s="2967"/>
      <c r="CD3" s="2967"/>
      <c r="CE3" s="2967"/>
      <c r="CF3" s="2967"/>
      <c r="CG3" s="2967"/>
      <c r="CH3" s="2967"/>
      <c r="CI3" s="2967"/>
      <c r="CJ3" s="2967"/>
      <c r="CK3" s="2967"/>
      <c r="CL3" s="2967"/>
      <c r="CM3" s="2967"/>
      <c r="CN3" s="2967"/>
      <c r="CO3" s="2967"/>
      <c r="CP3" s="2967"/>
      <c r="CQ3" s="2967"/>
      <c r="CR3" s="2967"/>
      <c r="CS3" s="2967"/>
      <c r="CT3" s="2967"/>
      <c r="CU3" s="2967"/>
      <c r="CV3" s="2967"/>
      <c r="CW3" s="2967"/>
      <c r="CX3" s="2967"/>
      <c r="CY3" s="2967"/>
      <c r="CZ3" s="2967"/>
      <c r="DA3" s="2967"/>
      <c r="DB3" s="2967"/>
      <c r="DC3" s="2967"/>
      <c r="DD3" s="2967"/>
      <c r="DE3" s="2967"/>
      <c r="DF3" s="2967"/>
      <c r="DG3" s="2967"/>
      <c r="DH3" s="2967"/>
      <c r="DI3" s="2967"/>
      <c r="DJ3" s="2967"/>
      <c r="DK3" s="2967"/>
      <c r="DL3" s="2967"/>
      <c r="DM3" s="2967"/>
      <c r="DN3" s="2967"/>
      <c r="DO3" s="2967"/>
      <c r="DP3" s="2967"/>
      <c r="DQ3" s="2967"/>
      <c r="DR3" s="2967"/>
      <c r="DS3" s="2967"/>
      <c r="DT3" s="2967"/>
      <c r="DU3" s="2967"/>
      <c r="DV3" s="2967"/>
      <c r="DW3" s="2967"/>
      <c r="DX3" s="2967"/>
      <c r="DY3" s="2967"/>
      <c r="DZ3" s="2967"/>
      <c r="EA3" s="2967"/>
      <c r="EB3" s="2967"/>
      <c r="EC3" s="2967"/>
      <c r="ED3" s="2967"/>
      <c r="EE3" s="2967"/>
      <c r="EF3" s="2967"/>
      <c r="EG3" s="2967"/>
      <c r="EH3" s="2967"/>
      <c r="EI3" s="2967"/>
      <c r="EJ3" s="2967"/>
      <c r="EK3" s="2967"/>
      <c r="EL3" s="2967"/>
      <c r="EM3" s="2967"/>
      <c r="EN3" s="2967"/>
      <c r="EO3" s="2967"/>
      <c r="EP3" s="2967"/>
      <c r="EQ3" s="2967"/>
      <c r="ER3" s="2967"/>
      <c r="ES3" s="2967"/>
      <c r="ET3" s="2967"/>
      <c r="EU3" s="2967"/>
      <c r="EV3" s="2967"/>
      <c r="EW3" s="2967"/>
      <c r="EX3" s="2967"/>
      <c r="EY3" s="2967"/>
      <c r="EZ3" s="2967"/>
      <c r="FA3" s="2967"/>
      <c r="FB3" s="2967"/>
      <c r="FC3" s="2967"/>
      <c r="FD3" s="2967"/>
      <c r="FE3" s="2967"/>
      <c r="FF3" s="2967"/>
      <c r="FG3" s="2967"/>
      <c r="FH3" s="2967"/>
      <c r="FI3" s="2967"/>
      <c r="FJ3" s="2967"/>
      <c r="FK3" s="2967"/>
      <c r="FL3" s="2967"/>
      <c r="FM3" s="2967"/>
      <c r="FN3" s="2967"/>
      <c r="FO3" s="2967"/>
      <c r="FP3" s="2967"/>
      <c r="FQ3" s="2967"/>
      <c r="FR3" s="2967"/>
      <c r="FS3" s="2967"/>
      <c r="FT3" s="2967"/>
      <c r="FU3" s="2967"/>
      <c r="FV3" s="2967"/>
      <c r="FW3" s="2967"/>
      <c r="FX3" s="2967"/>
      <c r="FY3" s="2967"/>
      <c r="FZ3" s="2967"/>
      <c r="GA3" s="2967"/>
      <c r="GB3" s="2967"/>
      <c r="GC3" s="2967"/>
      <c r="GD3" s="2967"/>
      <c r="GE3" s="2967"/>
      <c r="GF3" s="2967"/>
      <c r="GG3" s="2967"/>
      <c r="GH3" s="2967"/>
      <c r="GI3" s="2967"/>
      <c r="GJ3" s="2967"/>
      <c r="GK3" s="2967"/>
      <c r="GL3" s="2967"/>
      <c r="GM3" s="2967"/>
      <c r="GN3" s="2967"/>
      <c r="GO3" s="2967"/>
      <c r="GP3" s="2967"/>
      <c r="GQ3" s="2967"/>
      <c r="GR3" s="2967"/>
      <c r="GS3" s="2967"/>
      <c r="GT3" s="2967"/>
      <c r="GU3" s="2967"/>
      <c r="GV3" s="2967"/>
      <c r="GW3" s="2967"/>
      <c r="GX3" s="2967"/>
      <c r="GY3" s="2967"/>
      <c r="GZ3" s="2967"/>
      <c r="HA3" s="2967"/>
      <c r="HB3" s="2967"/>
      <c r="HC3" s="2967"/>
      <c r="HD3" s="2967"/>
      <c r="HE3" s="2967"/>
      <c r="HF3" s="2967"/>
      <c r="HG3" s="2967"/>
      <c r="HH3" s="2967"/>
      <c r="HI3" s="2967"/>
      <c r="HJ3" s="2967"/>
      <c r="HK3" s="2967"/>
      <c r="HL3" s="2967"/>
      <c r="HM3" s="2967"/>
      <c r="HN3" s="2967"/>
      <c r="HO3" s="2967"/>
      <c r="HP3" s="2967"/>
      <c r="HQ3" s="2967"/>
      <c r="HR3" s="2967"/>
      <c r="HS3" s="2967"/>
      <c r="HT3" s="2967"/>
      <c r="HU3" s="2967"/>
      <c r="HV3" s="2967"/>
      <c r="HW3" s="2967"/>
      <c r="HX3" s="2967"/>
      <c r="HY3" s="2967"/>
      <c r="HZ3" s="2967"/>
      <c r="IA3" s="2967"/>
      <c r="IB3" s="2967"/>
      <c r="IC3" s="2967"/>
      <c r="ID3" s="2967"/>
      <c r="IE3" s="2967"/>
      <c r="IF3" s="2967"/>
      <c r="IG3" s="2967"/>
      <c r="IH3" s="2967"/>
      <c r="II3" s="2967"/>
      <c r="IJ3" s="2967"/>
      <c r="IK3" s="2967"/>
      <c r="IL3" s="2967"/>
      <c r="IM3" s="2967"/>
      <c r="IN3" s="2967"/>
      <c r="IO3" s="2967"/>
      <c r="IP3" s="2967"/>
      <c r="IQ3" s="2967"/>
      <c r="IR3" s="2967"/>
      <c r="IS3" s="2967"/>
      <c r="IT3" s="2967"/>
      <c r="IU3" s="2967"/>
      <c r="IV3" s="2967"/>
    </row>
    <row r="4" spans="1:257" s="3022" customFormat="1">
      <c r="A4" s="2967"/>
      <c r="B4" s="3026" t="s">
        <v>2825</v>
      </c>
      <c r="C4" s="3029">
        <f ca="1">N4/100</f>
        <v>1.4999999999999999E-2</v>
      </c>
      <c r="G4" s="2974" t="s">
        <v>2798</v>
      </c>
      <c r="H4" s="2975">
        <v>0.5</v>
      </c>
      <c r="I4" s="2976">
        <f ca="1">INDIRECT("e"&amp;$H$1)</f>
        <v>4.3499999999999996</v>
      </c>
      <c r="J4" s="2976">
        <f ca="1">INDIRECT("e"&amp;$H$1)</f>
        <v>4.3499999999999996</v>
      </c>
      <c r="K4" s="2967"/>
      <c r="L4" s="2967"/>
      <c r="M4" s="2977">
        <v>1</v>
      </c>
      <c r="N4" s="2978">
        <f ca="1">INDIRECT("q"&amp;$N$1)</f>
        <v>1.5</v>
      </c>
      <c r="O4" s="2967"/>
      <c r="P4" s="2967"/>
      <c r="Q4" s="2967"/>
      <c r="R4" s="2967"/>
      <c r="S4" s="2967"/>
      <c r="T4" s="2967"/>
      <c r="U4" s="2967"/>
      <c r="V4" s="2967"/>
      <c r="W4" s="2967"/>
      <c r="X4" s="2967"/>
      <c r="Y4" s="2967"/>
      <c r="Z4" s="2967"/>
      <c r="AA4" s="2967"/>
      <c r="AB4" s="2967"/>
      <c r="AC4" s="2967"/>
      <c r="AD4" s="2967"/>
      <c r="AE4" s="2967"/>
      <c r="AF4" s="2967"/>
      <c r="AG4" s="2967"/>
      <c r="AH4" s="2967"/>
      <c r="AI4" s="2967"/>
      <c r="AJ4" s="2967"/>
      <c r="AK4" s="2967"/>
      <c r="AL4" s="2967"/>
      <c r="AM4" s="2967"/>
      <c r="AN4" s="2967"/>
      <c r="AO4" s="2967"/>
      <c r="AP4" s="2967"/>
      <c r="AQ4" s="2967"/>
      <c r="AR4" s="2967"/>
      <c r="AS4" s="2967"/>
      <c r="AT4" s="2967"/>
      <c r="AU4" s="2967"/>
      <c r="AV4" s="2967"/>
      <c r="AW4" s="2967"/>
      <c r="AX4" s="2967"/>
      <c r="AY4" s="2967"/>
      <c r="AZ4" s="2967"/>
      <c r="BA4" s="2967"/>
      <c r="BB4" s="2967"/>
      <c r="BC4" s="2967"/>
      <c r="BD4" s="2967"/>
      <c r="BE4" s="2967"/>
      <c r="BF4" s="2967"/>
      <c r="BG4" s="2967"/>
      <c r="BH4" s="2967"/>
      <c r="BI4" s="2967"/>
      <c r="BJ4" s="2967"/>
      <c r="BK4" s="2967"/>
      <c r="BL4" s="2967"/>
      <c r="BM4" s="2967"/>
      <c r="BN4" s="2967"/>
      <c r="BO4" s="2967"/>
      <c r="BP4" s="2967"/>
      <c r="BQ4" s="2967"/>
      <c r="BR4" s="2967"/>
      <c r="BS4" s="2967"/>
      <c r="BT4" s="2967"/>
      <c r="BU4" s="2967"/>
      <c r="BV4" s="2967"/>
      <c r="BW4" s="2967"/>
      <c r="BX4" s="2967"/>
      <c r="BY4" s="2967"/>
      <c r="BZ4" s="2967"/>
      <c r="CA4" s="2967"/>
      <c r="CB4" s="2967"/>
      <c r="CC4" s="2967"/>
      <c r="CD4" s="2967"/>
      <c r="CE4" s="2967"/>
      <c r="CF4" s="2967"/>
      <c r="CG4" s="2967"/>
      <c r="CH4" s="2967"/>
      <c r="CI4" s="2967"/>
      <c r="CJ4" s="2967"/>
      <c r="CK4" s="2967"/>
      <c r="CL4" s="2967"/>
      <c r="CM4" s="2967"/>
      <c r="CN4" s="2967"/>
      <c r="CO4" s="2967"/>
      <c r="CP4" s="2967"/>
      <c r="CQ4" s="2967"/>
      <c r="CR4" s="2967"/>
      <c r="CS4" s="2967"/>
      <c r="CT4" s="2967"/>
      <c r="CU4" s="2967"/>
      <c r="CV4" s="2967"/>
      <c r="CW4" s="2967"/>
      <c r="CX4" s="2967"/>
      <c r="CY4" s="2967"/>
      <c r="CZ4" s="2967"/>
      <c r="DA4" s="2967"/>
      <c r="DB4" s="2967"/>
      <c r="DC4" s="2967"/>
      <c r="DD4" s="2967"/>
      <c r="DE4" s="2967"/>
      <c r="DF4" s="2967"/>
      <c r="DG4" s="2967"/>
      <c r="DH4" s="2967"/>
      <c r="DI4" s="2967"/>
      <c r="DJ4" s="2967"/>
      <c r="DK4" s="2967"/>
      <c r="DL4" s="2967"/>
      <c r="DM4" s="2967"/>
      <c r="DN4" s="2967"/>
      <c r="DO4" s="2967"/>
      <c r="DP4" s="2967"/>
      <c r="DQ4" s="2967"/>
      <c r="DR4" s="2967"/>
      <c r="DS4" s="2967"/>
      <c r="DT4" s="2967"/>
      <c r="DU4" s="2967"/>
      <c r="DV4" s="2967"/>
      <c r="DW4" s="2967"/>
      <c r="DX4" s="2967"/>
      <c r="DY4" s="2967"/>
      <c r="DZ4" s="2967"/>
      <c r="EA4" s="2967"/>
      <c r="EB4" s="2967"/>
      <c r="EC4" s="2967"/>
      <c r="ED4" s="2967"/>
      <c r="EE4" s="2967"/>
      <c r="EF4" s="2967"/>
      <c r="EG4" s="2967"/>
      <c r="EH4" s="2967"/>
      <c r="EI4" s="2967"/>
      <c r="EJ4" s="2967"/>
      <c r="EK4" s="2967"/>
      <c r="EL4" s="2967"/>
      <c r="EM4" s="2967"/>
      <c r="EN4" s="2967"/>
      <c r="EO4" s="2967"/>
      <c r="EP4" s="2967"/>
      <c r="EQ4" s="2967"/>
      <c r="ER4" s="2967"/>
      <c r="ES4" s="2967"/>
      <c r="ET4" s="2967"/>
      <c r="EU4" s="2967"/>
      <c r="EV4" s="2967"/>
      <c r="EW4" s="2967"/>
      <c r="EX4" s="2967"/>
      <c r="EY4" s="2967"/>
      <c r="EZ4" s="2967"/>
      <c r="FA4" s="2967"/>
      <c r="FB4" s="2967"/>
      <c r="FC4" s="2967"/>
      <c r="FD4" s="2967"/>
      <c r="FE4" s="2967"/>
      <c r="FF4" s="2967"/>
      <c r="FG4" s="2967"/>
      <c r="FH4" s="2967"/>
      <c r="FI4" s="2967"/>
      <c r="FJ4" s="2967"/>
      <c r="FK4" s="2967"/>
      <c r="FL4" s="2967"/>
      <c r="FM4" s="2967"/>
      <c r="FN4" s="2967"/>
      <c r="FO4" s="2967"/>
      <c r="FP4" s="2967"/>
      <c r="FQ4" s="2967"/>
      <c r="FR4" s="2967"/>
      <c r="FS4" s="2967"/>
      <c r="FT4" s="2967"/>
      <c r="FU4" s="2967"/>
      <c r="FV4" s="2967"/>
      <c r="FW4" s="2967"/>
      <c r="FX4" s="2967"/>
      <c r="FY4" s="2967"/>
      <c r="FZ4" s="2967"/>
      <c r="GA4" s="2967"/>
      <c r="GB4" s="2967"/>
      <c r="GC4" s="2967"/>
      <c r="GD4" s="2967"/>
      <c r="GE4" s="2967"/>
      <c r="GF4" s="2967"/>
      <c r="GG4" s="2967"/>
      <c r="GH4" s="2967"/>
      <c r="GI4" s="2967"/>
      <c r="GJ4" s="2967"/>
      <c r="GK4" s="2967"/>
      <c r="GL4" s="2967"/>
      <c r="GM4" s="2967"/>
      <c r="GN4" s="2967"/>
      <c r="GO4" s="2967"/>
      <c r="GP4" s="2967"/>
      <c r="GQ4" s="2967"/>
      <c r="GR4" s="2967"/>
      <c r="GS4" s="2967"/>
      <c r="GT4" s="2967"/>
      <c r="GU4" s="2967"/>
      <c r="GV4" s="2967"/>
      <c r="GW4" s="2967"/>
      <c r="GX4" s="2967"/>
      <c r="GY4" s="2967"/>
      <c r="GZ4" s="2967"/>
      <c r="HA4" s="2967"/>
      <c r="HB4" s="2967"/>
      <c r="HC4" s="2967"/>
      <c r="HD4" s="2967"/>
      <c r="HE4" s="2967"/>
      <c r="HF4" s="2967"/>
      <c r="HG4" s="2967"/>
      <c r="HH4" s="2967"/>
      <c r="HI4" s="2967"/>
      <c r="HJ4" s="2967"/>
      <c r="HK4" s="2967"/>
      <c r="HL4" s="2967"/>
      <c r="HM4" s="2967"/>
      <c r="HN4" s="2967"/>
      <c r="HO4" s="2967"/>
      <c r="HP4" s="2967"/>
      <c r="HQ4" s="2967"/>
      <c r="HR4" s="2967"/>
      <c r="HS4" s="2967"/>
      <c r="HT4" s="2967"/>
      <c r="HU4" s="2967"/>
      <c r="HV4" s="2967"/>
      <c r="HW4" s="2967"/>
      <c r="HX4" s="2967"/>
      <c r="HY4" s="2967"/>
      <c r="HZ4" s="2967"/>
      <c r="IA4" s="2967"/>
      <c r="IB4" s="2967"/>
      <c r="IC4" s="2967"/>
      <c r="ID4" s="2967"/>
      <c r="IE4" s="2967"/>
      <c r="IF4" s="2967"/>
      <c r="IG4" s="2967"/>
      <c r="IH4" s="2967"/>
      <c r="II4" s="2967"/>
      <c r="IJ4" s="2967"/>
      <c r="IK4" s="2967"/>
      <c r="IL4" s="2967"/>
      <c r="IM4" s="2967"/>
      <c r="IN4" s="2967"/>
      <c r="IO4" s="2967"/>
      <c r="IP4" s="2967"/>
      <c r="IQ4" s="2967"/>
      <c r="IR4" s="2967"/>
      <c r="IS4" s="2967"/>
      <c r="IT4" s="2967"/>
      <c r="IU4" s="2967"/>
      <c r="IV4" s="2967"/>
    </row>
    <row r="5" spans="1:257" s="3022" customFormat="1">
      <c r="A5" s="2967"/>
      <c r="G5" s="2974" t="s">
        <v>2799</v>
      </c>
      <c r="H5" s="2975">
        <v>1</v>
      </c>
      <c r="I5" s="2976">
        <f ca="1">INDIRECT("f"&amp;$H$1)</f>
        <v>4.75</v>
      </c>
      <c r="J5" s="2976">
        <f ca="1">INDIRECT("f"&amp;$H$1)</f>
        <v>4.75</v>
      </c>
      <c r="K5" s="2967"/>
      <c r="L5" s="2967"/>
      <c r="M5" s="2977">
        <v>2</v>
      </c>
      <c r="N5" s="2978">
        <f ca="1">INDIRECT("r"&amp;$N$1)</f>
        <v>2.1</v>
      </c>
      <c r="O5" s="2967"/>
      <c r="P5" s="2967"/>
      <c r="Q5" s="2967"/>
      <c r="R5" s="2967"/>
      <c r="S5" s="2967"/>
      <c r="T5" s="2967"/>
      <c r="U5" s="2967"/>
      <c r="V5" s="2967"/>
      <c r="W5" s="2967"/>
      <c r="X5" s="2967"/>
      <c r="Y5" s="2967"/>
      <c r="Z5" s="2967"/>
      <c r="AA5" s="2967"/>
      <c r="AB5" s="2967"/>
      <c r="AC5" s="2967"/>
      <c r="AD5" s="2967"/>
      <c r="AE5" s="2967"/>
      <c r="AF5" s="2967"/>
      <c r="AG5" s="2967"/>
      <c r="AH5" s="2967"/>
      <c r="AI5" s="2967"/>
      <c r="AJ5" s="2967"/>
      <c r="AK5" s="2967"/>
      <c r="AL5" s="2967"/>
      <c r="AM5" s="2967"/>
      <c r="AN5" s="2967"/>
      <c r="AO5" s="2967"/>
      <c r="AP5" s="2967"/>
      <c r="AQ5" s="2967"/>
      <c r="AR5" s="2967"/>
      <c r="AS5" s="2967"/>
      <c r="AT5" s="2967"/>
      <c r="AU5" s="2967"/>
      <c r="AV5" s="2967"/>
      <c r="AW5" s="2967"/>
      <c r="AX5" s="2967"/>
      <c r="AY5" s="2967"/>
      <c r="AZ5" s="2967"/>
      <c r="BA5" s="2967"/>
      <c r="BB5" s="2967"/>
      <c r="BC5" s="2967"/>
      <c r="BD5" s="2967"/>
      <c r="BE5" s="2967"/>
      <c r="BF5" s="2967"/>
      <c r="BG5" s="2967"/>
      <c r="BH5" s="2967"/>
      <c r="BI5" s="2967"/>
      <c r="BJ5" s="2967"/>
      <c r="BK5" s="2967"/>
      <c r="BL5" s="2967"/>
      <c r="BM5" s="2967"/>
      <c r="BN5" s="2967"/>
      <c r="BO5" s="2967"/>
      <c r="BP5" s="2967"/>
      <c r="BQ5" s="2967"/>
      <c r="BR5" s="2967"/>
      <c r="BS5" s="2967"/>
      <c r="BT5" s="2967"/>
      <c r="BU5" s="2967"/>
      <c r="BV5" s="2967"/>
      <c r="BW5" s="2967"/>
      <c r="BX5" s="2967"/>
      <c r="BY5" s="2967"/>
      <c r="BZ5" s="2967"/>
      <c r="CA5" s="2967"/>
      <c r="CB5" s="2967"/>
      <c r="CC5" s="2967"/>
      <c r="CD5" s="2967"/>
      <c r="CE5" s="2967"/>
      <c r="CF5" s="2967"/>
      <c r="CG5" s="2967"/>
      <c r="CH5" s="2967"/>
      <c r="CI5" s="2967"/>
      <c r="CJ5" s="2967"/>
      <c r="CK5" s="2967"/>
      <c r="CL5" s="2967"/>
      <c r="CM5" s="2967"/>
      <c r="CN5" s="2967"/>
      <c r="CO5" s="2967"/>
      <c r="CP5" s="2967"/>
      <c r="CQ5" s="2967"/>
      <c r="CR5" s="2967"/>
      <c r="CS5" s="2967"/>
      <c r="CT5" s="2967"/>
      <c r="CU5" s="2967"/>
      <c r="CV5" s="2967"/>
      <c r="CW5" s="2967"/>
      <c r="CX5" s="2967"/>
      <c r="CY5" s="2967"/>
      <c r="CZ5" s="2967"/>
      <c r="DA5" s="2967"/>
      <c r="DB5" s="2967"/>
      <c r="DC5" s="2967"/>
      <c r="DD5" s="2967"/>
      <c r="DE5" s="2967"/>
      <c r="DF5" s="2967"/>
      <c r="DG5" s="2967"/>
      <c r="DH5" s="2967"/>
      <c r="DI5" s="2967"/>
      <c r="DJ5" s="2967"/>
      <c r="DK5" s="2967"/>
      <c r="DL5" s="2967"/>
      <c r="DM5" s="2967"/>
      <c r="DN5" s="2967"/>
      <c r="DO5" s="2967"/>
      <c r="DP5" s="2967"/>
      <c r="DQ5" s="2967"/>
      <c r="DR5" s="2967"/>
      <c r="DS5" s="2967"/>
      <c r="DT5" s="2967"/>
      <c r="DU5" s="2967"/>
      <c r="DV5" s="2967"/>
      <c r="DW5" s="2967"/>
      <c r="DX5" s="2967"/>
      <c r="DY5" s="2967"/>
      <c r="DZ5" s="2967"/>
      <c r="EA5" s="2967"/>
      <c r="EB5" s="2967"/>
      <c r="EC5" s="2967"/>
      <c r="ED5" s="2967"/>
      <c r="EE5" s="2967"/>
      <c r="EF5" s="2967"/>
      <c r="EG5" s="2967"/>
      <c r="EH5" s="2967"/>
      <c r="EI5" s="2967"/>
      <c r="EJ5" s="2967"/>
      <c r="EK5" s="2967"/>
      <c r="EL5" s="2967"/>
      <c r="EM5" s="2967"/>
      <c r="EN5" s="2967"/>
      <c r="EO5" s="2967"/>
      <c r="EP5" s="2967"/>
      <c r="EQ5" s="2967"/>
      <c r="ER5" s="2967"/>
      <c r="ES5" s="2967"/>
      <c r="ET5" s="2967"/>
      <c r="EU5" s="2967"/>
      <c r="EV5" s="2967"/>
      <c r="EW5" s="2967"/>
      <c r="EX5" s="2967"/>
      <c r="EY5" s="2967"/>
      <c r="EZ5" s="2967"/>
      <c r="FA5" s="2967"/>
      <c r="FB5" s="2967"/>
      <c r="FC5" s="2967"/>
      <c r="FD5" s="2967"/>
      <c r="FE5" s="2967"/>
      <c r="FF5" s="2967"/>
      <c r="FG5" s="2967"/>
      <c r="FH5" s="2967"/>
      <c r="FI5" s="2967"/>
      <c r="FJ5" s="2967"/>
      <c r="FK5" s="2967"/>
      <c r="FL5" s="2967"/>
      <c r="FM5" s="2967"/>
      <c r="FN5" s="2967"/>
      <c r="FO5" s="2967"/>
      <c r="FP5" s="2967"/>
      <c r="FQ5" s="2967"/>
      <c r="FR5" s="2967"/>
      <c r="FS5" s="2967"/>
      <c r="FT5" s="2967"/>
      <c r="FU5" s="2967"/>
      <c r="FV5" s="2967"/>
      <c r="FW5" s="2967"/>
      <c r="FX5" s="2967"/>
      <c r="FY5" s="2967"/>
      <c r="FZ5" s="2967"/>
      <c r="GA5" s="2967"/>
      <c r="GB5" s="2967"/>
      <c r="GC5" s="2967"/>
      <c r="GD5" s="2967"/>
      <c r="GE5" s="2967"/>
      <c r="GF5" s="2967"/>
      <c r="GG5" s="2967"/>
      <c r="GH5" s="2967"/>
      <c r="GI5" s="2967"/>
      <c r="GJ5" s="2967"/>
      <c r="GK5" s="2967"/>
      <c r="GL5" s="2967"/>
      <c r="GM5" s="2967"/>
      <c r="GN5" s="2967"/>
      <c r="GO5" s="2967"/>
      <c r="GP5" s="2967"/>
      <c r="GQ5" s="2967"/>
      <c r="GR5" s="2967"/>
      <c r="GS5" s="2967"/>
      <c r="GT5" s="2967"/>
      <c r="GU5" s="2967"/>
      <c r="GV5" s="2967"/>
      <c r="GW5" s="2967"/>
      <c r="GX5" s="2967"/>
      <c r="GY5" s="2967"/>
      <c r="GZ5" s="2967"/>
      <c r="HA5" s="2967"/>
      <c r="HB5" s="2967"/>
      <c r="HC5" s="2967"/>
      <c r="HD5" s="2967"/>
      <c r="HE5" s="2967"/>
      <c r="HF5" s="2967"/>
      <c r="HG5" s="2967"/>
      <c r="HH5" s="2967"/>
      <c r="HI5" s="2967"/>
      <c r="HJ5" s="2967"/>
      <c r="HK5" s="2967"/>
      <c r="HL5" s="2967"/>
      <c r="HM5" s="2967"/>
      <c r="HN5" s="2967"/>
      <c r="HO5" s="2967"/>
      <c r="HP5" s="2967"/>
      <c r="HQ5" s="2967"/>
      <c r="HR5" s="2967"/>
      <c r="HS5" s="2967"/>
      <c r="HT5" s="2967"/>
      <c r="HU5" s="2967"/>
      <c r="HV5" s="2967"/>
      <c r="HW5" s="2967"/>
      <c r="HX5" s="2967"/>
      <c r="HY5" s="2967"/>
      <c r="HZ5" s="2967"/>
      <c r="IA5" s="2967"/>
      <c r="IB5" s="2967"/>
      <c r="IC5" s="2967"/>
      <c r="ID5" s="2967"/>
      <c r="IE5" s="2967"/>
      <c r="IF5" s="2967"/>
      <c r="IG5" s="2967"/>
      <c r="IH5" s="2967"/>
      <c r="II5" s="2967"/>
      <c r="IJ5" s="2967"/>
      <c r="IK5" s="2967"/>
      <c r="IL5" s="2967"/>
      <c r="IM5" s="2967"/>
      <c r="IN5" s="2967"/>
      <c r="IO5" s="2967"/>
      <c r="IP5" s="2967"/>
      <c r="IQ5" s="2967"/>
      <c r="IR5" s="2967"/>
      <c r="IS5" s="2967"/>
      <c r="IT5" s="2967"/>
      <c r="IU5" s="2967"/>
      <c r="IV5" s="2967"/>
    </row>
    <row r="6" spans="1:257" s="3022" customFormat="1">
      <c r="A6" s="2967"/>
      <c r="G6" s="2974" t="s">
        <v>2800</v>
      </c>
      <c r="H6" s="2975">
        <v>3</v>
      </c>
      <c r="I6" s="2976">
        <f ca="1">INDIRECT("g"&amp;$H$1)</f>
        <v>4.75</v>
      </c>
      <c r="J6" s="2976">
        <f ca="1">INDIRECT("g"&amp;$H$1)</f>
        <v>4.75</v>
      </c>
      <c r="K6" s="2967"/>
      <c r="L6" s="2967"/>
      <c r="M6" s="2977">
        <v>3</v>
      </c>
      <c r="N6" s="2978">
        <f ca="1">INDIRECT("s"&amp;$N$1)</f>
        <v>2.75</v>
      </c>
      <c r="O6" s="2967"/>
      <c r="P6" s="2967"/>
      <c r="Q6" s="2967"/>
      <c r="R6" s="2967"/>
      <c r="S6" s="2967"/>
      <c r="T6" s="2967"/>
      <c r="U6" s="2967"/>
      <c r="V6" s="2967"/>
      <c r="W6" s="2967"/>
      <c r="X6" s="2967"/>
      <c r="Y6" s="2967"/>
      <c r="Z6" s="2967"/>
      <c r="AA6" s="2967"/>
      <c r="AB6" s="2967"/>
      <c r="AC6" s="2967"/>
      <c r="AD6" s="2967"/>
      <c r="AE6" s="2967"/>
      <c r="AF6" s="2967"/>
      <c r="AG6" s="2967"/>
      <c r="AH6" s="2967"/>
      <c r="AI6" s="2967"/>
      <c r="AJ6" s="2967"/>
      <c r="AK6" s="2967"/>
      <c r="AL6" s="2967"/>
      <c r="AM6" s="2967"/>
      <c r="AN6" s="2967"/>
      <c r="AO6" s="2967"/>
      <c r="AP6" s="2967"/>
      <c r="AQ6" s="2967"/>
      <c r="AR6" s="2967"/>
      <c r="AS6" s="2967"/>
      <c r="AT6" s="2967"/>
      <c r="AU6" s="2967"/>
      <c r="AV6" s="2967"/>
      <c r="AW6" s="2967"/>
      <c r="AX6" s="2967"/>
      <c r="AY6" s="2967"/>
      <c r="AZ6" s="2967"/>
      <c r="BA6" s="2967"/>
      <c r="BB6" s="2967"/>
      <c r="BC6" s="2967"/>
      <c r="BD6" s="2967"/>
      <c r="BE6" s="2967"/>
      <c r="BF6" s="2967"/>
      <c r="BG6" s="2967"/>
      <c r="BH6" s="2967"/>
      <c r="BI6" s="2967"/>
      <c r="BJ6" s="2967"/>
      <c r="BK6" s="2967"/>
      <c r="BL6" s="2967"/>
      <c r="BM6" s="2967"/>
      <c r="BN6" s="2967"/>
      <c r="BO6" s="2967"/>
      <c r="BP6" s="2967"/>
      <c r="BQ6" s="2967"/>
      <c r="BR6" s="2967"/>
      <c r="BS6" s="2967"/>
      <c r="BT6" s="2967"/>
      <c r="BU6" s="2967"/>
      <c r="BV6" s="2967"/>
      <c r="BW6" s="2967"/>
      <c r="BX6" s="2967"/>
      <c r="BY6" s="2967"/>
      <c r="BZ6" s="2967"/>
      <c r="CA6" s="2967"/>
      <c r="CB6" s="2967"/>
      <c r="CC6" s="2967"/>
      <c r="CD6" s="2967"/>
      <c r="CE6" s="2967"/>
      <c r="CF6" s="2967"/>
      <c r="CG6" s="2967"/>
      <c r="CH6" s="2967"/>
      <c r="CI6" s="2967"/>
      <c r="CJ6" s="2967"/>
      <c r="CK6" s="2967"/>
      <c r="CL6" s="2967"/>
      <c r="CM6" s="2967"/>
      <c r="CN6" s="2967"/>
      <c r="CO6" s="2967"/>
      <c r="CP6" s="2967"/>
      <c r="CQ6" s="2967"/>
      <c r="CR6" s="2967"/>
      <c r="CS6" s="2967"/>
      <c r="CT6" s="2967"/>
      <c r="CU6" s="2967"/>
      <c r="CV6" s="2967"/>
      <c r="CW6" s="2967"/>
      <c r="CX6" s="2967"/>
      <c r="CY6" s="2967"/>
      <c r="CZ6" s="2967"/>
      <c r="DA6" s="2967"/>
      <c r="DB6" s="2967"/>
      <c r="DC6" s="2967"/>
      <c r="DD6" s="2967"/>
      <c r="DE6" s="2967"/>
      <c r="DF6" s="2967"/>
      <c r="DG6" s="2967"/>
      <c r="DH6" s="2967"/>
      <c r="DI6" s="2967"/>
      <c r="DJ6" s="2967"/>
      <c r="DK6" s="2967"/>
      <c r="DL6" s="2967"/>
      <c r="DM6" s="2967"/>
      <c r="DN6" s="2967"/>
      <c r="DO6" s="2967"/>
      <c r="DP6" s="2967"/>
      <c r="DQ6" s="2967"/>
      <c r="DR6" s="2967"/>
      <c r="DS6" s="2967"/>
      <c r="DT6" s="2967"/>
      <c r="DU6" s="2967"/>
      <c r="DV6" s="2967"/>
      <c r="DW6" s="2967"/>
      <c r="DX6" s="2967"/>
      <c r="DY6" s="2967"/>
      <c r="DZ6" s="2967"/>
      <c r="EA6" s="2967"/>
      <c r="EB6" s="2967"/>
      <c r="EC6" s="2967"/>
      <c r="ED6" s="2967"/>
      <c r="EE6" s="2967"/>
      <c r="EF6" s="2967"/>
      <c r="EG6" s="2967"/>
      <c r="EH6" s="2967"/>
      <c r="EI6" s="2967"/>
      <c r="EJ6" s="2967"/>
      <c r="EK6" s="2967"/>
      <c r="EL6" s="2967"/>
      <c r="EM6" s="2967"/>
      <c r="EN6" s="2967"/>
      <c r="EO6" s="2967"/>
      <c r="EP6" s="2967"/>
      <c r="EQ6" s="2967"/>
      <c r="ER6" s="2967"/>
      <c r="ES6" s="2967"/>
      <c r="ET6" s="2967"/>
      <c r="EU6" s="2967"/>
      <c r="EV6" s="2967"/>
      <c r="EW6" s="2967"/>
      <c r="EX6" s="2967"/>
      <c r="EY6" s="2967"/>
      <c r="EZ6" s="2967"/>
      <c r="FA6" s="2967"/>
      <c r="FB6" s="2967"/>
      <c r="FC6" s="2967"/>
      <c r="FD6" s="2967"/>
      <c r="FE6" s="2967"/>
      <c r="FF6" s="2967"/>
      <c r="FG6" s="2967"/>
      <c r="FH6" s="2967"/>
      <c r="FI6" s="2967"/>
      <c r="FJ6" s="2967"/>
      <c r="FK6" s="2967"/>
      <c r="FL6" s="2967"/>
      <c r="FM6" s="2967"/>
      <c r="FN6" s="2967"/>
      <c r="FO6" s="2967"/>
      <c r="FP6" s="2967"/>
      <c r="FQ6" s="2967"/>
      <c r="FR6" s="2967"/>
      <c r="FS6" s="2967"/>
      <c r="FT6" s="2967"/>
      <c r="FU6" s="2967"/>
      <c r="FV6" s="2967"/>
      <c r="FW6" s="2967"/>
      <c r="FX6" s="2967"/>
      <c r="FY6" s="2967"/>
      <c r="FZ6" s="2967"/>
      <c r="GA6" s="2967"/>
      <c r="GB6" s="2967"/>
      <c r="GC6" s="2967"/>
      <c r="GD6" s="2967"/>
      <c r="GE6" s="2967"/>
      <c r="GF6" s="2967"/>
      <c r="GG6" s="2967"/>
      <c r="GH6" s="2967"/>
      <c r="GI6" s="2967"/>
      <c r="GJ6" s="2967"/>
      <c r="GK6" s="2967"/>
      <c r="GL6" s="2967"/>
      <c r="GM6" s="2967"/>
      <c r="GN6" s="2967"/>
      <c r="GO6" s="2967"/>
      <c r="GP6" s="2967"/>
      <c r="GQ6" s="2967"/>
      <c r="GR6" s="2967"/>
      <c r="GS6" s="2967"/>
      <c r="GT6" s="2967"/>
      <c r="GU6" s="2967"/>
      <c r="GV6" s="2967"/>
      <c r="GW6" s="2967"/>
      <c r="GX6" s="2967"/>
      <c r="GY6" s="2967"/>
      <c r="GZ6" s="2967"/>
      <c r="HA6" s="2967"/>
      <c r="HB6" s="2967"/>
      <c r="HC6" s="2967"/>
      <c r="HD6" s="2967"/>
      <c r="HE6" s="2967"/>
      <c r="HF6" s="2967"/>
      <c r="HG6" s="2967"/>
      <c r="HH6" s="2967"/>
      <c r="HI6" s="2967"/>
      <c r="HJ6" s="2967"/>
      <c r="HK6" s="2967"/>
      <c r="HL6" s="2967"/>
      <c r="HM6" s="2967"/>
      <c r="HN6" s="2967"/>
      <c r="HO6" s="2967"/>
      <c r="HP6" s="2967"/>
      <c r="HQ6" s="2967"/>
      <c r="HR6" s="2967"/>
      <c r="HS6" s="2967"/>
      <c r="HT6" s="2967"/>
      <c r="HU6" s="2967"/>
      <c r="HV6" s="2967"/>
      <c r="HW6" s="2967"/>
      <c r="HX6" s="2967"/>
      <c r="HY6" s="2967"/>
      <c r="HZ6" s="2967"/>
      <c r="IA6" s="2967"/>
      <c r="IB6" s="2967"/>
      <c r="IC6" s="2967"/>
      <c r="ID6" s="2967"/>
      <c r="IE6" s="2967"/>
      <c r="IF6" s="2967"/>
      <c r="IG6" s="2967"/>
      <c r="IH6" s="2967"/>
      <c r="II6" s="2967"/>
      <c r="IJ6" s="2967"/>
      <c r="IK6" s="2967"/>
      <c r="IL6" s="2967"/>
      <c r="IM6" s="2967"/>
      <c r="IN6" s="2967"/>
      <c r="IO6" s="2967"/>
      <c r="IP6" s="2967"/>
      <c r="IQ6" s="2967"/>
      <c r="IR6" s="2967"/>
      <c r="IS6" s="2967"/>
      <c r="IT6" s="2967"/>
      <c r="IU6" s="2967"/>
      <c r="IV6" s="2967"/>
    </row>
    <row r="7" spans="1:257" s="3022" customFormat="1" ht="14.25" thickBot="1">
      <c r="A7" s="2967"/>
      <c r="G7" s="2979" t="s">
        <v>2801</v>
      </c>
      <c r="H7" s="2980">
        <v>5</v>
      </c>
      <c r="I7" s="2981">
        <f ca="1">INDIRECT("h"&amp;$H$1)</f>
        <v>4.9000000000000004</v>
      </c>
      <c r="J7" s="2981">
        <f ca="1">INDIRECT("h"&amp;$H$1)</f>
        <v>4.9000000000000004</v>
      </c>
      <c r="K7" s="2967"/>
      <c r="L7" s="2967"/>
      <c r="M7" s="2982">
        <v>5</v>
      </c>
      <c r="N7" s="2983">
        <f ca="1">INDIRECT("t"&amp;$N$1)</f>
        <v>0</v>
      </c>
      <c r="O7" s="2967"/>
      <c r="P7" s="2967"/>
      <c r="Q7" s="2967"/>
      <c r="R7" s="2967"/>
      <c r="S7" s="2967"/>
      <c r="T7" s="2967"/>
      <c r="U7" s="2967"/>
      <c r="V7" s="2967"/>
      <c r="W7" s="2967"/>
      <c r="X7" s="2967"/>
      <c r="Y7" s="2967"/>
      <c r="Z7" s="2967"/>
      <c r="AA7" s="2967"/>
      <c r="AB7" s="2967"/>
      <c r="AC7" s="2967"/>
      <c r="AD7" s="2967"/>
      <c r="AE7" s="2967"/>
      <c r="AF7" s="2967"/>
      <c r="AG7" s="2967"/>
      <c r="AH7" s="2967"/>
      <c r="AI7" s="2967"/>
      <c r="AJ7" s="2967"/>
      <c r="AK7" s="2967"/>
      <c r="AL7" s="2967"/>
      <c r="AM7" s="2967"/>
      <c r="AN7" s="2967"/>
      <c r="AO7" s="2967"/>
      <c r="AP7" s="2967"/>
      <c r="AQ7" s="2967"/>
      <c r="AR7" s="2967"/>
      <c r="AS7" s="2967"/>
      <c r="AT7" s="2967"/>
      <c r="AU7" s="2967"/>
      <c r="AV7" s="2967"/>
      <c r="AW7" s="2967"/>
      <c r="AX7" s="2967"/>
      <c r="AY7" s="2967"/>
      <c r="AZ7" s="2967"/>
      <c r="BA7" s="2967"/>
      <c r="BB7" s="2967"/>
      <c r="BC7" s="2967"/>
      <c r="BD7" s="2967"/>
      <c r="BE7" s="2967"/>
      <c r="BF7" s="2967"/>
      <c r="BG7" s="2967"/>
      <c r="BH7" s="2967"/>
      <c r="BI7" s="2967"/>
      <c r="BJ7" s="2967"/>
      <c r="BK7" s="2967"/>
      <c r="BL7" s="2967"/>
      <c r="BM7" s="2967"/>
      <c r="BN7" s="2967"/>
      <c r="BO7" s="2967"/>
      <c r="BP7" s="2967"/>
      <c r="BQ7" s="2967"/>
      <c r="BR7" s="2967"/>
      <c r="BS7" s="2967"/>
      <c r="BT7" s="2967"/>
      <c r="BU7" s="2967"/>
      <c r="BV7" s="2967"/>
      <c r="BW7" s="2967"/>
      <c r="BX7" s="2967"/>
      <c r="BY7" s="2967"/>
      <c r="BZ7" s="2967"/>
      <c r="CA7" s="2967"/>
      <c r="CB7" s="2967"/>
      <c r="CC7" s="2967"/>
      <c r="CD7" s="2967"/>
      <c r="CE7" s="2967"/>
      <c r="CF7" s="2967"/>
      <c r="CG7" s="2967"/>
      <c r="CH7" s="2967"/>
      <c r="CI7" s="2967"/>
      <c r="CJ7" s="2967"/>
      <c r="CK7" s="2967"/>
      <c r="CL7" s="2967"/>
      <c r="CM7" s="2967"/>
      <c r="CN7" s="2967"/>
      <c r="CO7" s="2967"/>
      <c r="CP7" s="2967"/>
      <c r="CQ7" s="2967"/>
      <c r="CR7" s="2967"/>
      <c r="CS7" s="2967"/>
      <c r="CT7" s="2967"/>
      <c r="CU7" s="2967"/>
      <c r="CV7" s="2967"/>
      <c r="CW7" s="2967"/>
      <c r="CX7" s="2967"/>
      <c r="CY7" s="2967"/>
      <c r="CZ7" s="2967"/>
      <c r="DA7" s="2967"/>
      <c r="DB7" s="2967"/>
      <c r="DC7" s="2967"/>
      <c r="DD7" s="2967"/>
      <c r="DE7" s="2967"/>
      <c r="DF7" s="2967"/>
      <c r="DG7" s="2967"/>
      <c r="DH7" s="2967"/>
      <c r="DI7" s="2967"/>
      <c r="DJ7" s="2967"/>
      <c r="DK7" s="2967"/>
      <c r="DL7" s="2967"/>
      <c r="DM7" s="2967"/>
      <c r="DN7" s="2967"/>
      <c r="DO7" s="2967"/>
      <c r="DP7" s="2967"/>
      <c r="DQ7" s="2967"/>
      <c r="DR7" s="2967"/>
      <c r="DS7" s="2967"/>
      <c r="DT7" s="2967"/>
      <c r="DU7" s="2967"/>
      <c r="DV7" s="2967"/>
      <c r="DW7" s="2967"/>
      <c r="DX7" s="2967"/>
      <c r="DY7" s="2967"/>
      <c r="DZ7" s="2967"/>
      <c r="EA7" s="2967"/>
      <c r="EB7" s="2967"/>
      <c r="EC7" s="2967"/>
      <c r="ED7" s="2967"/>
      <c r="EE7" s="2967"/>
      <c r="EF7" s="2967"/>
      <c r="EG7" s="2967"/>
      <c r="EH7" s="2967"/>
      <c r="EI7" s="2967"/>
      <c r="EJ7" s="2967"/>
      <c r="EK7" s="2967"/>
      <c r="EL7" s="2967"/>
      <c r="EM7" s="2967"/>
      <c r="EN7" s="2967"/>
      <c r="EO7" s="2967"/>
      <c r="EP7" s="2967"/>
      <c r="EQ7" s="2967"/>
      <c r="ER7" s="2967"/>
      <c r="ES7" s="2967"/>
      <c r="ET7" s="2967"/>
      <c r="EU7" s="2967"/>
      <c r="EV7" s="2967"/>
      <c r="EW7" s="2967"/>
      <c r="EX7" s="2967"/>
      <c r="EY7" s="2967"/>
      <c r="EZ7" s="2967"/>
      <c r="FA7" s="2967"/>
      <c r="FB7" s="2967"/>
      <c r="FC7" s="2967"/>
      <c r="FD7" s="2967"/>
      <c r="FE7" s="2967"/>
      <c r="FF7" s="2967"/>
      <c r="FG7" s="2967"/>
      <c r="FH7" s="2967"/>
      <c r="FI7" s="2967"/>
      <c r="FJ7" s="2967"/>
      <c r="FK7" s="2967"/>
      <c r="FL7" s="2967"/>
      <c r="FM7" s="2967"/>
      <c r="FN7" s="2967"/>
      <c r="FO7" s="2967"/>
      <c r="FP7" s="2967"/>
      <c r="FQ7" s="2967"/>
      <c r="FR7" s="2967"/>
      <c r="FS7" s="2967"/>
      <c r="FT7" s="2967"/>
      <c r="FU7" s="2967"/>
      <c r="FV7" s="2967"/>
      <c r="FW7" s="2967"/>
      <c r="FX7" s="2967"/>
      <c r="FY7" s="2967"/>
      <c r="FZ7" s="2967"/>
      <c r="GA7" s="2967"/>
      <c r="GB7" s="2967"/>
      <c r="GC7" s="2967"/>
      <c r="GD7" s="2967"/>
      <c r="GE7" s="2967"/>
      <c r="GF7" s="2967"/>
      <c r="GG7" s="2967"/>
      <c r="GH7" s="2967"/>
      <c r="GI7" s="2967"/>
      <c r="GJ7" s="2967"/>
      <c r="GK7" s="2967"/>
      <c r="GL7" s="2967"/>
      <c r="GM7" s="2967"/>
      <c r="GN7" s="2967"/>
      <c r="GO7" s="2967"/>
      <c r="GP7" s="2967"/>
      <c r="GQ7" s="2967"/>
      <c r="GR7" s="2967"/>
      <c r="GS7" s="2967"/>
      <c r="GT7" s="2967"/>
      <c r="GU7" s="2967"/>
      <c r="GV7" s="2967"/>
      <c r="GW7" s="2967"/>
      <c r="GX7" s="2967"/>
      <c r="GY7" s="2967"/>
      <c r="GZ7" s="2967"/>
      <c r="HA7" s="2967"/>
      <c r="HB7" s="2967"/>
      <c r="HC7" s="2967"/>
      <c r="HD7" s="2967"/>
      <c r="HE7" s="2967"/>
      <c r="HF7" s="2967"/>
      <c r="HG7" s="2967"/>
      <c r="HH7" s="2967"/>
      <c r="HI7" s="2967"/>
      <c r="HJ7" s="2967"/>
      <c r="HK7" s="2967"/>
      <c r="HL7" s="2967"/>
      <c r="HM7" s="2967"/>
      <c r="HN7" s="2967"/>
      <c r="HO7" s="2967"/>
      <c r="HP7" s="2967"/>
      <c r="HQ7" s="2967"/>
      <c r="HR7" s="2967"/>
      <c r="HS7" s="2967"/>
      <c r="HT7" s="2967"/>
      <c r="HU7" s="2967"/>
      <c r="HV7" s="2967"/>
      <c r="HW7" s="2967"/>
      <c r="HX7" s="2967"/>
      <c r="HY7" s="2967"/>
      <c r="HZ7" s="2967"/>
      <c r="IA7" s="2967"/>
      <c r="IB7" s="2967"/>
      <c r="IC7" s="2967"/>
      <c r="ID7" s="2967"/>
      <c r="IE7" s="2967"/>
      <c r="IF7" s="2967"/>
      <c r="IG7" s="2967"/>
      <c r="IH7" s="2967"/>
      <c r="II7" s="2967"/>
      <c r="IJ7" s="2967"/>
      <c r="IK7" s="2967"/>
      <c r="IL7" s="2967"/>
      <c r="IM7" s="2967"/>
      <c r="IN7" s="2967"/>
      <c r="IO7" s="2967"/>
      <c r="IP7" s="2967"/>
      <c r="IQ7" s="2967"/>
      <c r="IR7" s="2967"/>
      <c r="IS7" s="2967"/>
      <c r="IT7" s="2967"/>
      <c r="IU7" s="2967"/>
      <c r="IV7" s="2967"/>
    </row>
    <row r="8" spans="1:257">
      <c r="A8" s="2984"/>
      <c r="B8" s="2985"/>
      <c r="C8" s="2986"/>
      <c r="D8" s="2967"/>
      <c r="E8" s="2967"/>
      <c r="F8" s="2967"/>
      <c r="G8" s="2967"/>
      <c r="H8" s="2967"/>
      <c r="I8" s="2967"/>
      <c r="J8" s="2967"/>
      <c r="L8" s="2967"/>
      <c r="M8" s="2967"/>
      <c r="N8" s="2967"/>
      <c r="O8" s="2967"/>
      <c r="P8" s="2967"/>
      <c r="Q8" s="2967"/>
      <c r="R8" s="2967"/>
      <c r="S8" s="2967"/>
      <c r="T8" s="2967"/>
      <c r="U8" s="2967"/>
      <c r="V8" s="2967"/>
      <c r="W8" s="2967"/>
      <c r="X8" s="2967"/>
      <c r="Y8" s="2967"/>
      <c r="Z8" s="2967"/>
    </row>
    <row r="9" spans="1:257" ht="20.25">
      <c r="A9" s="2987"/>
      <c r="B9" s="2988" t="s">
        <v>2802</v>
      </c>
      <c r="C9" s="2989"/>
      <c r="D9" s="2990"/>
      <c r="E9" s="2990"/>
      <c r="F9" s="2990"/>
      <c r="G9" s="2990"/>
      <c r="H9" s="2990"/>
      <c r="I9" s="2990"/>
      <c r="J9" s="2990"/>
      <c r="K9" s="2990"/>
      <c r="L9" s="2990"/>
      <c r="M9" s="2990"/>
      <c r="N9" s="2990"/>
      <c r="O9" s="2990"/>
      <c r="P9" s="2990"/>
      <c r="Q9" s="2990"/>
      <c r="R9" s="2990"/>
      <c r="S9" s="2990"/>
      <c r="T9" s="2990"/>
      <c r="U9" s="2990"/>
      <c r="V9" s="2990"/>
      <c r="W9" s="2990"/>
      <c r="X9" s="2990"/>
      <c r="Y9" s="2990"/>
      <c r="Z9" s="2990"/>
      <c r="AA9" s="2991"/>
      <c r="AB9" s="2991"/>
      <c r="AC9" s="2991"/>
      <c r="AD9" s="2991"/>
      <c r="AE9" s="2991"/>
      <c r="AF9" s="2991"/>
      <c r="AG9" s="2991"/>
      <c r="AH9" s="2991"/>
      <c r="AI9" s="2991"/>
      <c r="AJ9" s="2991"/>
      <c r="AK9" s="2991"/>
      <c r="AL9" s="2991"/>
      <c r="AM9" s="2991"/>
      <c r="AN9" s="2991"/>
      <c r="AO9" s="2991"/>
      <c r="AP9" s="2991"/>
      <c r="AQ9" s="2991"/>
      <c r="AR9" s="2991"/>
      <c r="AS9" s="2991"/>
      <c r="AT9" s="2991"/>
      <c r="AU9" s="2991"/>
      <c r="AV9" s="2991"/>
      <c r="AW9" s="2991"/>
      <c r="AX9" s="2991"/>
      <c r="AY9" s="2991"/>
      <c r="AZ9" s="2991"/>
      <c r="BA9" s="2991"/>
      <c r="BB9" s="2991"/>
      <c r="BC9" s="2991"/>
      <c r="BD9" s="2991"/>
      <c r="BE9" s="2991"/>
      <c r="BF9" s="2991"/>
      <c r="BG9" s="2991"/>
      <c r="BH9" s="2991"/>
      <c r="BI9" s="2991"/>
      <c r="BJ9" s="2991"/>
      <c r="BK9" s="2991"/>
      <c r="BL9" s="2991"/>
      <c r="BM9" s="2991"/>
      <c r="BN9" s="2991"/>
      <c r="BO9" s="2991"/>
      <c r="BP9" s="2991"/>
      <c r="BQ9" s="2991"/>
      <c r="BR9" s="2991"/>
      <c r="BS9" s="2991"/>
      <c r="BT9" s="2991"/>
      <c r="BU9" s="2991"/>
      <c r="BV9" s="2991"/>
      <c r="BW9" s="2991"/>
      <c r="BX9" s="2991"/>
      <c r="BY9" s="2991"/>
      <c r="BZ9" s="2991"/>
      <c r="CA9" s="2991"/>
      <c r="CB9" s="2991"/>
      <c r="CC9" s="2991"/>
      <c r="CD9" s="2991"/>
      <c r="CE9" s="2991"/>
      <c r="CF9" s="2991"/>
      <c r="CG9" s="2991"/>
      <c r="CH9" s="2991"/>
      <c r="CI9" s="2991"/>
      <c r="CJ9" s="2991"/>
      <c r="CK9" s="2991"/>
      <c r="CL9" s="2991"/>
      <c r="CM9" s="2991"/>
      <c r="CN9" s="2991"/>
      <c r="CO9" s="2991"/>
      <c r="CP9" s="2991"/>
      <c r="CQ9" s="2991"/>
      <c r="CR9" s="2991"/>
      <c r="CS9" s="2991"/>
      <c r="CT9" s="2991"/>
      <c r="CU9" s="2991"/>
      <c r="CV9" s="2991"/>
      <c r="CW9" s="2991"/>
      <c r="CX9" s="2991"/>
      <c r="CY9" s="2991"/>
      <c r="CZ9" s="2991"/>
      <c r="DA9" s="2991"/>
      <c r="DB9" s="2991"/>
      <c r="DC9" s="2991"/>
      <c r="DD9" s="2991"/>
      <c r="DE9" s="2991"/>
      <c r="DF9" s="2991"/>
      <c r="DG9" s="2991"/>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c r="EJ9" s="2991"/>
      <c r="EK9" s="2991"/>
      <c r="EL9" s="2991"/>
      <c r="EM9" s="2991"/>
      <c r="EN9" s="2991"/>
      <c r="EO9" s="2991"/>
      <c r="EP9" s="2991"/>
      <c r="EQ9" s="2991"/>
      <c r="ER9" s="2991"/>
      <c r="ES9" s="2991"/>
      <c r="ET9" s="2991"/>
      <c r="EU9" s="2991"/>
      <c r="EV9" s="2991"/>
      <c r="EW9" s="2991"/>
      <c r="EX9" s="2991"/>
      <c r="EY9" s="2991"/>
      <c r="EZ9" s="2991"/>
      <c r="FA9" s="2991"/>
      <c r="FB9" s="2991"/>
      <c r="FC9" s="2991"/>
      <c r="FD9" s="2991"/>
      <c r="FE9" s="2991"/>
      <c r="FF9" s="2991"/>
      <c r="FG9" s="2991"/>
      <c r="FH9" s="2991"/>
      <c r="FI9" s="2991"/>
      <c r="FJ9" s="2991"/>
      <c r="FK9" s="2991"/>
      <c r="FL9" s="2991"/>
      <c r="FM9" s="2991"/>
      <c r="FN9" s="2991"/>
      <c r="FO9" s="2991"/>
      <c r="FP9" s="2991"/>
      <c r="FQ9" s="2991"/>
      <c r="FR9" s="2991"/>
      <c r="FS9" s="2991"/>
      <c r="FT9" s="2991"/>
      <c r="FU9" s="2991"/>
      <c r="FV9" s="2991"/>
      <c r="FW9" s="2991"/>
      <c r="FX9" s="2991"/>
      <c r="FY9" s="2991"/>
      <c r="FZ9" s="2991"/>
      <c r="GA9" s="2991"/>
      <c r="GB9" s="2991"/>
      <c r="GC9" s="2991"/>
      <c r="GD9" s="2991"/>
      <c r="GE9" s="2991"/>
      <c r="GF9" s="2991"/>
      <c r="GG9" s="2991"/>
      <c r="GH9" s="2991"/>
      <c r="GI9" s="2991"/>
      <c r="GJ9" s="2991"/>
      <c r="GK9" s="2991"/>
      <c r="GL9" s="2991"/>
      <c r="GM9" s="2991"/>
      <c r="GN9" s="2991"/>
      <c r="GO9" s="2991"/>
      <c r="GP9" s="2991"/>
      <c r="GQ9" s="2991"/>
      <c r="GR9" s="2991"/>
      <c r="GS9" s="2991"/>
      <c r="GT9" s="2991"/>
      <c r="GU9" s="2991"/>
      <c r="GV9" s="2991"/>
      <c r="GW9" s="2991"/>
      <c r="GX9" s="2991"/>
      <c r="GY9" s="2991"/>
      <c r="GZ9" s="2991"/>
      <c r="HA9" s="2991"/>
      <c r="HB9" s="2991"/>
      <c r="HC9" s="2991"/>
      <c r="HD9" s="2991"/>
      <c r="HE9" s="2991"/>
      <c r="HF9" s="2991"/>
      <c r="HG9" s="2991"/>
      <c r="HH9" s="2991"/>
      <c r="HI9" s="2991"/>
      <c r="HJ9" s="2991"/>
      <c r="HK9" s="2991"/>
      <c r="HL9" s="2991"/>
      <c r="HM9" s="2991"/>
      <c r="HN9" s="2991"/>
      <c r="HO9" s="2991"/>
      <c r="HP9" s="2991"/>
      <c r="HQ9" s="2991"/>
      <c r="HR9" s="2991"/>
      <c r="HS9" s="2991"/>
      <c r="HT9" s="2991"/>
      <c r="HU9" s="2991"/>
      <c r="HV9" s="2991"/>
      <c r="HW9" s="2991"/>
      <c r="HX9" s="2991"/>
      <c r="HY9" s="2991"/>
      <c r="HZ9" s="2991"/>
      <c r="IA9" s="2991"/>
      <c r="IB9" s="2991"/>
      <c r="IC9" s="2991"/>
      <c r="ID9" s="2991"/>
      <c r="IE9" s="2991"/>
      <c r="IF9" s="2991"/>
      <c r="IG9" s="2991"/>
      <c r="IH9" s="2991"/>
      <c r="II9" s="2991"/>
      <c r="IJ9" s="2991"/>
      <c r="IK9" s="2991"/>
      <c r="IL9" s="2991"/>
      <c r="IM9" s="2991"/>
      <c r="IN9" s="2991"/>
      <c r="IO9" s="2991"/>
      <c r="IP9" s="2991"/>
      <c r="IQ9" s="2991"/>
      <c r="IR9" s="2991"/>
      <c r="IS9" s="2991"/>
      <c r="IT9" s="2991"/>
      <c r="IU9" s="2991"/>
      <c r="IV9" s="2991"/>
      <c r="IW9" s="2992"/>
    </row>
    <row r="10" spans="1:257" ht="22.5">
      <c r="A10" s="2993"/>
      <c r="B10" s="2994" t="s">
        <v>2803</v>
      </c>
      <c r="C10" s="2993"/>
      <c r="D10" s="2993"/>
      <c r="E10" s="2993"/>
      <c r="F10" s="2993"/>
      <c r="G10" s="2993"/>
      <c r="H10" s="2993"/>
      <c r="I10" s="2967"/>
      <c r="J10" s="2967"/>
      <c r="K10" s="2993"/>
      <c r="L10" s="2994" t="s">
        <v>2804</v>
      </c>
      <c r="M10" s="2993"/>
      <c r="N10" s="2993"/>
      <c r="O10" s="2993"/>
      <c r="P10" s="2993"/>
      <c r="Q10" s="2993"/>
      <c r="R10" s="2993"/>
      <c r="S10" s="2993"/>
      <c r="T10" s="2993"/>
      <c r="U10" s="2993"/>
      <c r="V10" s="2993"/>
      <c r="W10" s="2993"/>
      <c r="X10" s="2993"/>
      <c r="Y10" s="2993"/>
      <c r="Z10" s="2993"/>
      <c r="AA10" s="2995"/>
      <c r="AB10" s="2995"/>
      <c r="AC10" s="2995"/>
      <c r="AD10" s="2995"/>
      <c r="AE10" s="2995"/>
      <c r="AF10" s="2995"/>
      <c r="AG10" s="2995"/>
      <c r="AH10" s="2995"/>
      <c r="AI10" s="2995"/>
      <c r="AJ10" s="2995"/>
      <c r="AK10" s="2995"/>
      <c r="AL10" s="2995"/>
      <c r="AM10" s="2995"/>
      <c r="AN10" s="2995"/>
      <c r="AO10" s="2995"/>
      <c r="AP10" s="2995"/>
      <c r="AQ10" s="2995"/>
      <c r="AR10" s="2995"/>
      <c r="AS10" s="2995"/>
      <c r="AT10" s="2995"/>
      <c r="AU10" s="2995"/>
      <c r="AV10" s="2995"/>
      <c r="AW10" s="2995"/>
      <c r="AX10" s="2995"/>
      <c r="AY10" s="2995"/>
      <c r="AZ10" s="2995"/>
      <c r="BA10" s="2995"/>
      <c r="BB10" s="2995"/>
      <c r="BC10" s="2995"/>
      <c r="BD10" s="2995"/>
      <c r="BE10" s="2995"/>
      <c r="BF10" s="2995"/>
      <c r="BG10" s="2995"/>
      <c r="BH10" s="2995"/>
      <c r="BI10" s="2995"/>
      <c r="BJ10" s="2995"/>
      <c r="BK10" s="2995"/>
      <c r="BL10" s="2995"/>
      <c r="BM10" s="2995"/>
      <c r="BN10" s="2995"/>
      <c r="BO10" s="2995"/>
      <c r="BP10" s="2995"/>
      <c r="BQ10" s="2995"/>
      <c r="BR10" s="2995"/>
      <c r="BS10" s="2995"/>
      <c r="BT10" s="2995"/>
      <c r="BU10" s="2995"/>
      <c r="BV10" s="2995"/>
      <c r="BW10" s="2995"/>
      <c r="BX10" s="2995"/>
      <c r="BY10" s="2995"/>
      <c r="BZ10" s="2995"/>
      <c r="CA10" s="2995"/>
      <c r="CB10" s="2995"/>
      <c r="CC10" s="2995"/>
      <c r="CD10" s="2995"/>
      <c r="CE10" s="2995"/>
      <c r="CF10" s="2995"/>
      <c r="CG10" s="2995"/>
      <c r="CH10" s="2995"/>
      <c r="CI10" s="2995"/>
      <c r="CJ10" s="2995"/>
      <c r="CK10" s="2995"/>
      <c r="CL10" s="2995"/>
      <c r="CM10" s="2995"/>
      <c r="CN10" s="2995"/>
      <c r="CO10" s="2995"/>
      <c r="CP10" s="2995"/>
      <c r="CQ10" s="2995"/>
      <c r="CR10" s="2995"/>
      <c r="CS10" s="2995"/>
      <c r="CT10" s="2995"/>
      <c r="CU10" s="2995"/>
      <c r="CV10" s="2995"/>
      <c r="CW10" s="2995"/>
      <c r="CX10" s="2995"/>
      <c r="CY10" s="2995"/>
      <c r="CZ10" s="2995"/>
      <c r="DA10" s="2995"/>
      <c r="DB10" s="2995"/>
      <c r="DC10" s="2995"/>
      <c r="DD10" s="2995"/>
      <c r="DE10" s="2995"/>
      <c r="DF10" s="2995"/>
      <c r="DG10" s="2995"/>
      <c r="DH10" s="2995"/>
      <c r="DI10" s="2995"/>
      <c r="DJ10" s="2995"/>
      <c r="DK10" s="2995"/>
      <c r="DL10" s="2995"/>
      <c r="DM10" s="2995"/>
      <c r="DN10" s="2995"/>
      <c r="DO10" s="2995"/>
      <c r="DP10" s="2995"/>
      <c r="DQ10" s="2995"/>
      <c r="DR10" s="2995"/>
      <c r="DS10" s="2995"/>
      <c r="DT10" s="2995"/>
      <c r="DU10" s="2995"/>
      <c r="DV10" s="2995"/>
      <c r="DW10" s="2995"/>
      <c r="DX10" s="2995"/>
      <c r="DY10" s="2995"/>
      <c r="DZ10" s="2995"/>
      <c r="EA10" s="2995"/>
      <c r="EB10" s="2995"/>
      <c r="EC10" s="2995"/>
      <c r="ED10" s="2995"/>
      <c r="EE10" s="2995"/>
      <c r="EF10" s="2995"/>
      <c r="EG10" s="2995"/>
      <c r="EH10" s="2995"/>
      <c r="EI10" s="2995"/>
      <c r="EJ10" s="2995"/>
      <c r="EK10" s="2995"/>
      <c r="EL10" s="2995"/>
      <c r="EM10" s="2995"/>
      <c r="EN10" s="2995"/>
      <c r="EO10" s="2995"/>
      <c r="EP10" s="2995"/>
      <c r="EQ10" s="2995"/>
      <c r="ER10" s="2995"/>
      <c r="ES10" s="2995"/>
      <c r="ET10" s="2995"/>
      <c r="EU10" s="2995"/>
      <c r="EV10" s="2995"/>
      <c r="EW10" s="2995"/>
      <c r="EX10" s="2995"/>
      <c r="EY10" s="2995"/>
      <c r="EZ10" s="2995"/>
      <c r="FA10" s="2995"/>
      <c r="FB10" s="2995"/>
      <c r="FC10" s="2995"/>
      <c r="FD10" s="2995"/>
      <c r="FE10" s="2995"/>
      <c r="FF10" s="2995"/>
      <c r="FG10" s="2995"/>
      <c r="FH10" s="2995"/>
      <c r="FI10" s="2995"/>
      <c r="FJ10" s="2995"/>
      <c r="FK10" s="2995"/>
      <c r="FL10" s="2995"/>
      <c r="FM10" s="2995"/>
      <c r="FN10" s="2995"/>
      <c r="FO10" s="2995"/>
      <c r="FP10" s="2995"/>
      <c r="FQ10" s="2995"/>
      <c r="FR10" s="2995"/>
      <c r="FS10" s="2995"/>
      <c r="FT10" s="2995"/>
      <c r="FU10" s="2995"/>
      <c r="FV10" s="2995"/>
      <c r="FW10" s="2995"/>
      <c r="FX10" s="2995"/>
      <c r="FY10" s="2995"/>
      <c r="FZ10" s="2995"/>
      <c r="GA10" s="2995"/>
      <c r="GB10" s="2995"/>
      <c r="GC10" s="2995"/>
      <c r="GD10" s="2995"/>
      <c r="GE10" s="2995"/>
      <c r="GF10" s="2995"/>
      <c r="GG10" s="2995"/>
      <c r="GH10" s="2995"/>
      <c r="GI10" s="2995"/>
      <c r="GJ10" s="2995"/>
      <c r="GK10" s="2995"/>
      <c r="GL10" s="2995"/>
      <c r="GM10" s="2995"/>
      <c r="GN10" s="2995"/>
      <c r="GO10" s="2995"/>
      <c r="GP10" s="2995"/>
      <c r="GQ10" s="2995"/>
      <c r="GR10" s="2995"/>
      <c r="GS10" s="2995"/>
      <c r="GT10" s="2995"/>
      <c r="GU10" s="2995"/>
      <c r="GV10" s="2995"/>
      <c r="GW10" s="2995"/>
      <c r="GX10" s="2995"/>
      <c r="GY10" s="2995"/>
      <c r="GZ10" s="2995"/>
      <c r="HA10" s="2995"/>
      <c r="HB10" s="2995"/>
      <c r="HC10" s="2995"/>
      <c r="HD10" s="2995"/>
      <c r="HE10" s="2995"/>
      <c r="HF10" s="2995"/>
      <c r="HG10" s="2995"/>
      <c r="HH10" s="2995"/>
      <c r="HI10" s="2995"/>
      <c r="HJ10" s="2995"/>
      <c r="HK10" s="2995"/>
      <c r="HL10" s="2995"/>
      <c r="HM10" s="2995"/>
      <c r="HN10" s="2995"/>
      <c r="HO10" s="2995"/>
      <c r="HP10" s="2995"/>
      <c r="HQ10" s="2995"/>
      <c r="HR10" s="2995"/>
      <c r="HS10" s="2995"/>
      <c r="HT10" s="2995"/>
      <c r="HU10" s="2995"/>
      <c r="HV10" s="2995"/>
      <c r="HW10" s="2995"/>
      <c r="HX10" s="2995"/>
      <c r="HY10" s="2995"/>
      <c r="HZ10" s="2995"/>
      <c r="IA10" s="2995"/>
      <c r="IB10" s="2995"/>
      <c r="IC10" s="2995"/>
      <c r="ID10" s="2995"/>
      <c r="IE10" s="2995"/>
      <c r="IF10" s="2995"/>
      <c r="IG10" s="2995"/>
      <c r="IH10" s="2995"/>
      <c r="II10" s="2995"/>
      <c r="IJ10" s="2995"/>
      <c r="IK10" s="2995"/>
      <c r="IL10" s="2995"/>
      <c r="IM10" s="2995"/>
      <c r="IN10" s="2995"/>
      <c r="IO10" s="2995"/>
      <c r="IP10" s="2995"/>
      <c r="IQ10" s="2995"/>
      <c r="IR10" s="2995"/>
      <c r="IS10" s="2995"/>
      <c r="IT10" s="2995"/>
      <c r="IU10" s="2995"/>
      <c r="IV10" s="2995"/>
    </row>
    <row r="11" spans="1:257">
      <c r="A11" s="2996"/>
      <c r="B11" s="2997" t="s">
        <v>2805</v>
      </c>
      <c r="C11" s="2998" t="s">
        <v>2806</v>
      </c>
      <c r="D11" s="2999" t="s">
        <v>2807</v>
      </c>
      <c r="E11" s="3000"/>
      <c r="F11" s="2999" t="s">
        <v>2808</v>
      </c>
      <c r="G11" s="3001"/>
      <c r="H11" s="3000"/>
      <c r="I11" s="2999" t="s">
        <v>2809</v>
      </c>
      <c r="J11" s="3000"/>
      <c r="K11" s="2996"/>
      <c r="L11" s="2997" t="s">
        <v>2805</v>
      </c>
      <c r="M11" s="2998" t="s">
        <v>2806</v>
      </c>
      <c r="N11" s="2997" t="s">
        <v>2810</v>
      </c>
      <c r="O11" s="2999" t="s">
        <v>2811</v>
      </c>
      <c r="P11" s="3001"/>
      <c r="Q11" s="3001"/>
      <c r="R11" s="3001"/>
      <c r="S11" s="3001"/>
      <c r="T11" s="3000"/>
      <c r="U11" s="2999" t="s">
        <v>2812</v>
      </c>
      <c r="V11" s="3001"/>
      <c r="W11" s="3000"/>
      <c r="X11" s="2997" t="s">
        <v>2813</v>
      </c>
      <c r="Y11" s="2997" t="s">
        <v>2814</v>
      </c>
      <c r="Z11" s="2997" t="s">
        <v>2815</v>
      </c>
      <c r="AA11" s="3002"/>
      <c r="AB11" s="3002"/>
      <c r="AC11" s="3002"/>
      <c r="AD11" s="3002"/>
      <c r="AE11" s="3002"/>
      <c r="AF11" s="3002"/>
      <c r="AG11" s="3002"/>
      <c r="AH11" s="3002"/>
      <c r="AI11" s="3002"/>
      <c r="AJ11" s="3002"/>
      <c r="AK11" s="3002"/>
      <c r="AL11" s="3002"/>
      <c r="AM11" s="3002"/>
      <c r="AN11" s="3002"/>
      <c r="AO11" s="3002"/>
      <c r="AP11" s="3002"/>
      <c r="AQ11" s="3002"/>
      <c r="AR11" s="3002"/>
      <c r="AS11" s="3002"/>
      <c r="AT11" s="3002"/>
      <c r="AU11" s="3002"/>
      <c r="AV11" s="3002"/>
      <c r="AW11" s="3002"/>
      <c r="AX11" s="3002"/>
      <c r="AY11" s="3002"/>
      <c r="AZ11" s="3002"/>
      <c r="BA11" s="3002"/>
      <c r="BB11" s="3002"/>
      <c r="BC11" s="3002"/>
      <c r="BD11" s="3002"/>
      <c r="BE11" s="3002"/>
      <c r="BF11" s="3002"/>
      <c r="BG11" s="3002"/>
      <c r="BH11" s="3002"/>
      <c r="BI11" s="3002"/>
      <c r="BJ11" s="3002"/>
      <c r="BK11" s="3002"/>
      <c r="BL11" s="3002"/>
      <c r="BM11" s="3002"/>
      <c r="BN11" s="3002"/>
      <c r="BO11" s="3002"/>
      <c r="BP11" s="3002"/>
      <c r="BQ11" s="3002"/>
      <c r="BR11" s="3002"/>
      <c r="BS11" s="3002"/>
      <c r="BT11" s="3002"/>
      <c r="BU11" s="3002"/>
      <c r="BV11" s="3002"/>
      <c r="BW11" s="3002"/>
      <c r="BX11" s="3002"/>
      <c r="BY11" s="3002"/>
      <c r="BZ11" s="3002"/>
      <c r="CA11" s="3002"/>
      <c r="CB11" s="3002"/>
      <c r="CC11" s="3002"/>
      <c r="CD11" s="3002"/>
      <c r="CE11" s="3002"/>
      <c r="CF11" s="3002"/>
      <c r="CG11" s="3002"/>
      <c r="CH11" s="3002"/>
      <c r="CI11" s="3002"/>
      <c r="CJ11" s="3002"/>
      <c r="CK11" s="3002"/>
      <c r="CL11" s="3002"/>
      <c r="CM11" s="3002"/>
      <c r="CN11" s="3002"/>
      <c r="CO11" s="3002"/>
      <c r="CP11" s="3002"/>
      <c r="CQ11" s="3002"/>
      <c r="CR11" s="3002"/>
      <c r="CS11" s="3002"/>
      <c r="CT11" s="3002"/>
      <c r="CU11" s="3002"/>
      <c r="CV11" s="3002"/>
      <c r="CW11" s="3002"/>
      <c r="CX11" s="3002"/>
      <c r="CY11" s="3002"/>
      <c r="CZ11" s="3002"/>
      <c r="DA11" s="3002"/>
      <c r="DB11" s="3002"/>
      <c r="DC11" s="3002"/>
      <c r="DD11" s="3002"/>
      <c r="DE11" s="3002"/>
      <c r="DF11" s="3002"/>
      <c r="DG11" s="3002"/>
      <c r="DH11" s="3002"/>
      <c r="DI11" s="3002"/>
      <c r="DJ11" s="3002"/>
      <c r="DK11" s="3002"/>
      <c r="DL11" s="3002"/>
      <c r="DM11" s="3002"/>
      <c r="DN11" s="3002"/>
      <c r="DO11" s="3002"/>
      <c r="DP11" s="3002"/>
      <c r="DQ11" s="3002"/>
      <c r="DR11" s="3002"/>
      <c r="DS11" s="3002"/>
      <c r="DT11" s="3002"/>
      <c r="DU11" s="3002"/>
      <c r="DV11" s="3002"/>
      <c r="DW11" s="3002"/>
      <c r="DX11" s="3002"/>
      <c r="DY11" s="3002"/>
      <c r="DZ11" s="3002"/>
      <c r="EA11" s="3002"/>
      <c r="EB11" s="3002"/>
      <c r="EC11" s="3002"/>
      <c r="ED11" s="3002"/>
      <c r="EE11" s="3002"/>
      <c r="EF11" s="3002"/>
      <c r="EG11" s="3002"/>
      <c r="EH11" s="3002"/>
      <c r="EI11" s="3002"/>
      <c r="EJ11" s="3002"/>
      <c r="EK11" s="3002"/>
      <c r="EL11" s="3002"/>
      <c r="EM11" s="3002"/>
      <c r="EN11" s="3002"/>
      <c r="EO11" s="3002"/>
      <c r="EP11" s="3002"/>
      <c r="EQ11" s="3002"/>
      <c r="ER11" s="3002"/>
      <c r="ES11" s="3002"/>
      <c r="ET11" s="3002"/>
      <c r="EU11" s="3002"/>
      <c r="EV11" s="3002"/>
      <c r="EW11" s="3002"/>
      <c r="EX11" s="3002"/>
      <c r="EY11" s="3002"/>
      <c r="EZ11" s="3002"/>
      <c r="FA11" s="3002"/>
      <c r="FB11" s="3002"/>
      <c r="FC11" s="3002"/>
      <c r="FD11" s="3002"/>
      <c r="FE11" s="3002"/>
      <c r="FF11" s="3002"/>
      <c r="FG11" s="3002"/>
      <c r="FH11" s="3002"/>
      <c r="FI11" s="3002"/>
      <c r="FJ11" s="3002"/>
      <c r="FK11" s="3002"/>
      <c r="FL11" s="3002"/>
      <c r="FM11" s="3002"/>
      <c r="FN11" s="3002"/>
      <c r="FO11" s="3002"/>
      <c r="FP11" s="3002"/>
      <c r="FQ11" s="3002"/>
      <c r="FR11" s="3002"/>
      <c r="FS11" s="3002"/>
      <c r="FT11" s="3002"/>
      <c r="FU11" s="3002"/>
      <c r="FV11" s="3002"/>
      <c r="FW11" s="3002"/>
      <c r="FX11" s="3002"/>
      <c r="FY11" s="3002"/>
      <c r="FZ11" s="3002"/>
      <c r="GA11" s="3002"/>
      <c r="GB11" s="3002"/>
      <c r="GC11" s="3002"/>
      <c r="GD11" s="3002"/>
      <c r="GE11" s="3002"/>
      <c r="GF11" s="3002"/>
      <c r="GG11" s="3002"/>
      <c r="GH11" s="3002"/>
      <c r="GI11" s="3002"/>
      <c r="GJ11" s="3002"/>
      <c r="GK11" s="3002"/>
      <c r="GL11" s="3002"/>
      <c r="GM11" s="3002"/>
      <c r="GN11" s="3002"/>
      <c r="GO11" s="3002"/>
      <c r="GP11" s="3002"/>
      <c r="GQ11" s="3002"/>
      <c r="GR11" s="3002"/>
      <c r="GS11" s="3002"/>
      <c r="GT11" s="3002"/>
      <c r="GU11" s="3002"/>
      <c r="GV11" s="3002"/>
      <c r="GW11" s="3002"/>
      <c r="GX11" s="3002"/>
      <c r="GY11" s="3002"/>
      <c r="GZ11" s="3002"/>
      <c r="HA11" s="3002"/>
      <c r="HB11" s="3002"/>
      <c r="HC11" s="3002"/>
      <c r="HD11" s="3002"/>
      <c r="HE11" s="3002"/>
      <c r="HF11" s="3002"/>
      <c r="HG11" s="3002"/>
      <c r="HH11" s="3002"/>
      <c r="HI11" s="3002"/>
      <c r="HJ11" s="3002"/>
      <c r="HK11" s="3002"/>
      <c r="HL11" s="3002"/>
      <c r="HM11" s="3002"/>
      <c r="HN11" s="3002"/>
      <c r="HO11" s="3002"/>
      <c r="HP11" s="3002"/>
      <c r="HQ11" s="3002"/>
      <c r="HR11" s="3002"/>
      <c r="HS11" s="3002"/>
      <c r="HT11" s="3002"/>
      <c r="HU11" s="3002"/>
      <c r="HV11" s="3002"/>
      <c r="HW11" s="3002"/>
      <c r="HX11" s="3002"/>
      <c r="HY11" s="3002"/>
      <c r="HZ11" s="3002"/>
      <c r="IA11" s="3002"/>
      <c r="IB11" s="3002"/>
      <c r="IC11" s="3002"/>
      <c r="ID11" s="3002"/>
      <c r="IE11" s="3002"/>
      <c r="IF11" s="3002"/>
      <c r="IG11" s="3002"/>
      <c r="IH11" s="3002"/>
      <c r="II11" s="3002"/>
      <c r="IJ11" s="3002"/>
      <c r="IK11" s="3002"/>
      <c r="IL11" s="3002"/>
      <c r="IM11" s="3002"/>
      <c r="IN11" s="3002"/>
      <c r="IO11" s="3002"/>
      <c r="IP11" s="3002"/>
      <c r="IQ11" s="3002"/>
      <c r="IR11" s="3002"/>
      <c r="IS11" s="3002"/>
      <c r="IT11" s="3002"/>
      <c r="IU11" s="3002"/>
      <c r="IV11" s="3002"/>
    </row>
    <row r="12" spans="1:257">
      <c r="A12" s="3003"/>
      <c r="B12" s="3004"/>
      <c r="C12" s="3005"/>
      <c r="D12" s="3006" t="s">
        <v>2816</v>
      </c>
      <c r="E12" s="3006" t="s">
        <v>2817</v>
      </c>
      <c r="F12" s="3006" t="s">
        <v>2818</v>
      </c>
      <c r="G12" s="3006" t="s">
        <v>2819</v>
      </c>
      <c r="H12" s="3006" t="s">
        <v>2801</v>
      </c>
      <c r="I12" s="3007" t="s">
        <v>2820</v>
      </c>
      <c r="J12" s="3007" t="s">
        <v>2820</v>
      </c>
      <c r="K12" s="3003"/>
      <c r="L12" s="3004"/>
      <c r="M12" s="3005"/>
      <c r="N12" s="3004"/>
      <c r="O12" s="3007" t="s">
        <v>2821</v>
      </c>
      <c r="P12" s="3007">
        <v>0.5</v>
      </c>
      <c r="Q12" s="3007">
        <v>1</v>
      </c>
      <c r="R12" s="3007">
        <v>2</v>
      </c>
      <c r="S12" s="3007">
        <v>3</v>
      </c>
      <c r="T12" s="3007">
        <v>5</v>
      </c>
      <c r="U12" s="3007">
        <v>1</v>
      </c>
      <c r="V12" s="3007">
        <v>3</v>
      </c>
      <c r="W12" s="3007">
        <v>5</v>
      </c>
      <c r="X12" s="3004"/>
      <c r="Y12" s="3004"/>
      <c r="Z12" s="3004"/>
      <c r="AA12" s="3008"/>
      <c r="AB12" s="3008"/>
      <c r="AC12" s="3008"/>
      <c r="AD12" s="3008"/>
      <c r="AE12" s="3008"/>
      <c r="AF12" s="3008"/>
      <c r="AG12" s="3008"/>
      <c r="AH12" s="3008"/>
      <c r="AI12" s="3008"/>
      <c r="AJ12" s="3008"/>
      <c r="AK12" s="3008"/>
      <c r="AL12" s="3008"/>
      <c r="AM12" s="3008"/>
      <c r="AN12" s="3008"/>
      <c r="AO12" s="3008"/>
      <c r="AP12" s="3008"/>
      <c r="AQ12" s="3008"/>
      <c r="AR12" s="3008"/>
      <c r="AS12" s="3008"/>
      <c r="AT12" s="3008"/>
      <c r="AU12" s="3008"/>
      <c r="AV12" s="3008"/>
      <c r="AW12" s="3008"/>
      <c r="AX12" s="3008"/>
      <c r="AY12" s="3008"/>
      <c r="AZ12" s="3008"/>
      <c r="BA12" s="3008"/>
      <c r="BB12" s="3008"/>
      <c r="BC12" s="3008"/>
      <c r="BD12" s="3008"/>
      <c r="BE12" s="3008"/>
      <c r="BF12" s="3008"/>
      <c r="BG12" s="3008"/>
      <c r="BH12" s="3008"/>
      <c r="BI12" s="3008"/>
      <c r="BJ12" s="3008"/>
      <c r="BK12" s="3008"/>
      <c r="BL12" s="3008"/>
      <c r="BM12" s="3008"/>
      <c r="BN12" s="3008"/>
      <c r="BO12" s="3008"/>
      <c r="BP12" s="3008"/>
      <c r="BQ12" s="3008"/>
      <c r="BR12" s="3008"/>
      <c r="BS12" s="3008"/>
      <c r="BT12" s="3008"/>
      <c r="BU12" s="3008"/>
      <c r="BV12" s="3008"/>
      <c r="BW12" s="3008"/>
      <c r="BX12" s="3008"/>
      <c r="BY12" s="3008"/>
      <c r="BZ12" s="3008"/>
      <c r="CA12" s="3008"/>
      <c r="CB12" s="3008"/>
      <c r="CC12" s="3008"/>
      <c r="CD12" s="3008"/>
      <c r="CE12" s="3008"/>
      <c r="CF12" s="3008"/>
      <c r="CG12" s="3008"/>
      <c r="CH12" s="3008"/>
      <c r="CI12" s="3008"/>
      <c r="CJ12" s="3008"/>
      <c r="CK12" s="3008"/>
      <c r="CL12" s="3008"/>
      <c r="CM12" s="3008"/>
      <c r="CN12" s="3008"/>
      <c r="CO12" s="3008"/>
      <c r="CP12" s="3008"/>
      <c r="CQ12" s="3008"/>
      <c r="CR12" s="3008"/>
      <c r="CS12" s="3008"/>
      <c r="CT12" s="3008"/>
      <c r="CU12" s="3008"/>
      <c r="CV12" s="3008"/>
      <c r="CW12" s="3008"/>
      <c r="CX12" s="3008"/>
      <c r="CY12" s="3008"/>
      <c r="CZ12" s="3008"/>
      <c r="DA12" s="3008"/>
      <c r="DB12" s="3008"/>
      <c r="DC12" s="3008"/>
      <c r="DD12" s="3008"/>
      <c r="DE12" s="3008"/>
      <c r="DF12" s="3008"/>
      <c r="DG12" s="3008"/>
      <c r="DH12" s="3008"/>
      <c r="DI12" s="3008"/>
      <c r="DJ12" s="3008"/>
      <c r="DK12" s="3008"/>
      <c r="DL12" s="3008"/>
      <c r="DM12" s="3008"/>
      <c r="DN12" s="3008"/>
      <c r="DO12" s="3008"/>
      <c r="DP12" s="3008"/>
      <c r="DQ12" s="3008"/>
      <c r="DR12" s="3008"/>
      <c r="DS12" s="3008"/>
      <c r="DT12" s="3008"/>
      <c r="DU12" s="3008"/>
      <c r="DV12" s="3008"/>
      <c r="DW12" s="3008"/>
      <c r="DX12" s="3008"/>
      <c r="DY12" s="3008"/>
      <c r="DZ12" s="3008"/>
      <c r="EA12" s="3008"/>
      <c r="EB12" s="3008"/>
      <c r="EC12" s="3008"/>
      <c r="ED12" s="3008"/>
      <c r="EE12" s="3008"/>
      <c r="EF12" s="3008"/>
      <c r="EG12" s="3008"/>
      <c r="EH12" s="3008"/>
      <c r="EI12" s="3008"/>
      <c r="EJ12" s="3008"/>
      <c r="EK12" s="3008"/>
      <c r="EL12" s="3008"/>
      <c r="EM12" s="3008"/>
      <c r="EN12" s="3008"/>
      <c r="EO12" s="3008"/>
      <c r="EP12" s="3008"/>
      <c r="EQ12" s="3008"/>
      <c r="ER12" s="3008"/>
      <c r="ES12" s="3008"/>
      <c r="ET12" s="3008"/>
      <c r="EU12" s="3008"/>
      <c r="EV12" s="3008"/>
      <c r="EW12" s="3008"/>
      <c r="EX12" s="3008"/>
      <c r="EY12" s="3008"/>
      <c r="EZ12" s="3008"/>
      <c r="FA12" s="3008"/>
      <c r="FB12" s="3008"/>
      <c r="FC12" s="3008"/>
      <c r="FD12" s="3008"/>
      <c r="FE12" s="3008"/>
      <c r="FF12" s="3008"/>
      <c r="FG12" s="3008"/>
      <c r="FH12" s="3008"/>
      <c r="FI12" s="3008"/>
      <c r="FJ12" s="3008"/>
      <c r="FK12" s="3008"/>
      <c r="FL12" s="3008"/>
      <c r="FM12" s="3008"/>
      <c r="FN12" s="3008"/>
      <c r="FO12" s="3008"/>
      <c r="FP12" s="3008"/>
      <c r="FQ12" s="3008"/>
      <c r="FR12" s="3008"/>
      <c r="FS12" s="3008"/>
      <c r="FT12" s="3008"/>
      <c r="FU12" s="3008"/>
      <c r="FV12" s="3008"/>
      <c r="FW12" s="3008"/>
      <c r="FX12" s="3008"/>
      <c r="FY12" s="3008"/>
      <c r="FZ12" s="3008"/>
      <c r="GA12" s="3008"/>
      <c r="GB12" s="3008"/>
      <c r="GC12" s="3008"/>
      <c r="GD12" s="3008"/>
      <c r="GE12" s="3008"/>
      <c r="GF12" s="3008"/>
      <c r="GG12" s="3008"/>
      <c r="GH12" s="3008"/>
      <c r="GI12" s="3008"/>
      <c r="GJ12" s="3008"/>
      <c r="GK12" s="3008"/>
      <c r="GL12" s="3008"/>
      <c r="GM12" s="3008"/>
      <c r="GN12" s="3008"/>
      <c r="GO12" s="3008"/>
      <c r="GP12" s="3008"/>
      <c r="GQ12" s="3008"/>
      <c r="GR12" s="3008"/>
      <c r="GS12" s="3008"/>
      <c r="GT12" s="3008"/>
      <c r="GU12" s="3008"/>
      <c r="GV12" s="3008"/>
      <c r="GW12" s="3008"/>
      <c r="GX12" s="3008"/>
      <c r="GY12" s="3008"/>
      <c r="GZ12" s="3008"/>
      <c r="HA12" s="3008"/>
      <c r="HB12" s="3008"/>
      <c r="HC12" s="3008"/>
      <c r="HD12" s="3008"/>
      <c r="HE12" s="3008"/>
      <c r="HF12" s="3008"/>
      <c r="HG12" s="3008"/>
      <c r="HH12" s="3008"/>
      <c r="HI12" s="3008"/>
      <c r="HJ12" s="3008"/>
      <c r="HK12" s="3008"/>
      <c r="HL12" s="3008"/>
      <c r="HM12" s="3008"/>
      <c r="HN12" s="3008"/>
      <c r="HO12" s="3008"/>
      <c r="HP12" s="3008"/>
      <c r="HQ12" s="3008"/>
      <c r="HR12" s="3008"/>
      <c r="HS12" s="3008"/>
      <c r="HT12" s="3008"/>
      <c r="HU12" s="3008"/>
      <c r="HV12" s="3008"/>
      <c r="HW12" s="3008"/>
      <c r="HX12" s="3008"/>
      <c r="HY12" s="3008"/>
      <c r="HZ12" s="3008"/>
      <c r="IA12" s="3008"/>
      <c r="IB12" s="3008"/>
      <c r="IC12" s="3008"/>
      <c r="ID12" s="3008"/>
      <c r="IE12" s="3008"/>
      <c r="IF12" s="3008"/>
      <c r="IG12" s="3008"/>
      <c r="IH12" s="3008"/>
      <c r="II12" s="3008"/>
      <c r="IJ12" s="3008"/>
      <c r="IK12" s="3008"/>
      <c r="IL12" s="3008"/>
      <c r="IM12" s="3008"/>
      <c r="IN12" s="3008"/>
      <c r="IO12" s="3008"/>
      <c r="IP12" s="3008"/>
      <c r="IQ12" s="3008"/>
      <c r="IR12" s="3008"/>
      <c r="IS12" s="3008"/>
      <c r="IT12" s="3008"/>
      <c r="IU12" s="3008"/>
      <c r="IV12" s="3008"/>
    </row>
    <row r="13" spans="1:257" ht="14.25">
      <c r="A13" s="3009"/>
      <c r="B13" s="3010" t="s">
        <v>2822</v>
      </c>
      <c r="C13" s="3011">
        <v>42301</v>
      </c>
      <c r="D13" s="3012">
        <v>4.3499999999999996</v>
      </c>
      <c r="E13" s="3012">
        <v>4.3499999999999996</v>
      </c>
      <c r="F13" s="3012">
        <v>4.75</v>
      </c>
      <c r="G13" s="3012">
        <v>4.75</v>
      </c>
      <c r="H13" s="3012">
        <v>4.9000000000000004</v>
      </c>
      <c r="I13" s="3012">
        <v>2.75</v>
      </c>
      <c r="J13" s="3012">
        <v>3.25</v>
      </c>
      <c r="K13" s="3009"/>
      <c r="L13" s="3010" t="s">
        <v>2822</v>
      </c>
      <c r="M13" s="3013">
        <v>42301</v>
      </c>
      <c r="N13" s="3012">
        <v>0.35</v>
      </c>
      <c r="O13" s="3012">
        <v>1.1000000000000001</v>
      </c>
      <c r="P13" s="3012">
        <v>1.3</v>
      </c>
      <c r="Q13" s="3012">
        <v>1.5</v>
      </c>
      <c r="R13" s="3012">
        <v>2.1</v>
      </c>
      <c r="S13" s="3012">
        <v>2.75</v>
      </c>
      <c r="T13" s="3012"/>
      <c r="U13" s="3012"/>
      <c r="V13" s="3012"/>
      <c r="W13" s="3012"/>
      <c r="X13" s="3012"/>
      <c r="Y13" s="3012"/>
      <c r="Z13" s="3012"/>
      <c r="AA13" s="3014"/>
      <c r="AB13" s="3014"/>
      <c r="AC13" s="3014"/>
      <c r="AD13" s="3014"/>
      <c r="AE13" s="3014"/>
      <c r="AF13" s="3014"/>
      <c r="AG13" s="3014"/>
      <c r="AH13" s="3014"/>
      <c r="AI13" s="3014"/>
      <c r="AJ13" s="3014"/>
      <c r="AK13" s="3014"/>
      <c r="AL13" s="3014"/>
      <c r="AM13" s="3014"/>
      <c r="AN13" s="3014"/>
      <c r="AO13" s="3014"/>
      <c r="AP13" s="3014"/>
      <c r="AQ13" s="3014"/>
      <c r="AR13" s="3014"/>
      <c r="AS13" s="3014"/>
      <c r="AT13" s="3014"/>
      <c r="AU13" s="3014"/>
      <c r="AV13" s="3014"/>
      <c r="AW13" s="3014"/>
      <c r="AX13" s="3014"/>
      <c r="AY13" s="3014"/>
      <c r="AZ13" s="3014"/>
      <c r="BA13" s="3014"/>
      <c r="BB13" s="3014"/>
      <c r="BC13" s="3014"/>
      <c r="BD13" s="3014"/>
      <c r="BE13" s="3014"/>
      <c r="BF13" s="3014"/>
      <c r="BG13" s="3014"/>
      <c r="BH13" s="3014"/>
      <c r="BI13" s="3014"/>
      <c r="BJ13" s="3014"/>
      <c r="BK13" s="3014"/>
      <c r="BL13" s="3014"/>
      <c r="BM13" s="3014"/>
      <c r="BN13" s="3014"/>
      <c r="BO13" s="3014"/>
      <c r="BP13" s="3014"/>
      <c r="BQ13" s="3014"/>
      <c r="BR13" s="3014"/>
      <c r="BS13" s="3014"/>
      <c r="BT13" s="3014"/>
      <c r="BU13" s="3014"/>
      <c r="BV13" s="3014"/>
      <c r="BW13" s="3014"/>
      <c r="BX13" s="3014"/>
      <c r="BY13" s="3014"/>
      <c r="BZ13" s="3014"/>
      <c r="CA13" s="3014"/>
      <c r="CB13" s="3014"/>
      <c r="CC13" s="3014"/>
      <c r="CD13" s="3014"/>
      <c r="CE13" s="3014"/>
      <c r="CF13" s="3014"/>
      <c r="CG13" s="3014"/>
      <c r="CH13" s="3014"/>
      <c r="CI13" s="3014"/>
      <c r="CJ13" s="3014"/>
      <c r="CK13" s="3014"/>
      <c r="CL13" s="3014"/>
      <c r="CM13" s="3014"/>
      <c r="CN13" s="3014"/>
      <c r="CO13" s="3014"/>
      <c r="CP13" s="3014"/>
      <c r="CQ13" s="3014"/>
      <c r="CR13" s="3014"/>
      <c r="CS13" s="3014"/>
      <c r="CT13" s="3014"/>
      <c r="CU13" s="3014"/>
      <c r="CV13" s="3014"/>
      <c r="CW13" s="3014"/>
      <c r="CX13" s="3014"/>
      <c r="CY13" s="3014"/>
      <c r="CZ13" s="3014"/>
      <c r="DA13" s="3014"/>
      <c r="DB13" s="3014"/>
      <c r="DC13" s="3014"/>
      <c r="DD13" s="3014"/>
      <c r="DE13" s="3014"/>
      <c r="DF13" s="3014"/>
      <c r="DG13" s="3014"/>
      <c r="DH13" s="3014"/>
      <c r="DI13" s="3014"/>
      <c r="DJ13" s="3014"/>
      <c r="DK13" s="3014"/>
      <c r="DL13" s="3014"/>
      <c r="DM13" s="3014"/>
      <c r="DN13" s="3014"/>
      <c r="DO13" s="3014"/>
      <c r="DP13" s="3014"/>
      <c r="DQ13" s="3014"/>
      <c r="DR13" s="3014"/>
      <c r="DS13" s="3014"/>
      <c r="DT13" s="3014"/>
      <c r="DU13" s="3014"/>
      <c r="DV13" s="3014"/>
      <c r="DW13" s="3014"/>
      <c r="DX13" s="3014"/>
      <c r="DY13" s="3014"/>
      <c r="DZ13" s="3014"/>
      <c r="EA13" s="3014"/>
      <c r="EB13" s="3014"/>
      <c r="EC13" s="3014"/>
      <c r="ED13" s="3014"/>
      <c r="EE13" s="3014"/>
      <c r="EF13" s="3014"/>
      <c r="EG13" s="3014"/>
      <c r="EH13" s="3014"/>
      <c r="EI13" s="3014"/>
      <c r="EJ13" s="3014"/>
      <c r="EK13" s="3014"/>
      <c r="EL13" s="3014"/>
      <c r="EM13" s="3014"/>
      <c r="EN13" s="3014"/>
      <c r="EO13" s="3014"/>
      <c r="EP13" s="3014"/>
      <c r="EQ13" s="3014"/>
      <c r="ER13" s="3014"/>
      <c r="ES13" s="3014"/>
      <c r="ET13" s="3014"/>
      <c r="EU13" s="3014"/>
      <c r="EV13" s="3014"/>
      <c r="EW13" s="3014"/>
      <c r="EX13" s="3014"/>
      <c r="EY13" s="3014"/>
      <c r="EZ13" s="3014"/>
      <c r="FA13" s="3014"/>
      <c r="FB13" s="3014"/>
      <c r="FC13" s="3014"/>
      <c r="FD13" s="3014"/>
      <c r="FE13" s="3014"/>
      <c r="FF13" s="3014"/>
      <c r="FG13" s="3014"/>
      <c r="FH13" s="3014"/>
      <c r="FI13" s="3014"/>
      <c r="FJ13" s="3014"/>
      <c r="FK13" s="3014"/>
      <c r="FL13" s="3014"/>
      <c r="FM13" s="3014"/>
      <c r="FN13" s="3014"/>
      <c r="FO13" s="3014"/>
      <c r="FP13" s="3014"/>
      <c r="FQ13" s="3014"/>
      <c r="FR13" s="3014"/>
      <c r="FS13" s="3014"/>
      <c r="FT13" s="3014"/>
      <c r="FU13" s="3014"/>
      <c r="FV13" s="3014"/>
      <c r="FW13" s="3014"/>
      <c r="FX13" s="3014"/>
      <c r="FY13" s="3014"/>
      <c r="FZ13" s="3014"/>
      <c r="GA13" s="3014"/>
      <c r="GB13" s="3014"/>
      <c r="GC13" s="3014"/>
      <c r="GD13" s="3014"/>
      <c r="GE13" s="3014"/>
      <c r="GF13" s="3014"/>
      <c r="GG13" s="3014"/>
      <c r="GH13" s="3014"/>
      <c r="GI13" s="3014"/>
      <c r="GJ13" s="3014"/>
      <c r="GK13" s="3014"/>
      <c r="GL13" s="3014"/>
      <c r="GM13" s="3014"/>
      <c r="GN13" s="3014"/>
      <c r="GO13" s="3014"/>
      <c r="GP13" s="3014"/>
      <c r="GQ13" s="3014"/>
      <c r="GR13" s="3014"/>
      <c r="GS13" s="3014"/>
      <c r="GT13" s="3014"/>
      <c r="GU13" s="3014"/>
      <c r="GV13" s="3014"/>
      <c r="GW13" s="3014"/>
      <c r="GX13" s="3014"/>
      <c r="GY13" s="3014"/>
      <c r="GZ13" s="3014"/>
      <c r="HA13" s="3014"/>
      <c r="HB13" s="3014"/>
      <c r="HC13" s="3014"/>
      <c r="HD13" s="3014"/>
      <c r="HE13" s="3014"/>
      <c r="HF13" s="3014"/>
      <c r="HG13" s="3014"/>
      <c r="HH13" s="3014"/>
      <c r="HI13" s="3014"/>
      <c r="HJ13" s="3014"/>
      <c r="HK13" s="3014"/>
      <c r="HL13" s="3014"/>
      <c r="HM13" s="3014"/>
      <c r="HN13" s="3014"/>
      <c r="HO13" s="3014"/>
      <c r="HP13" s="3014"/>
      <c r="HQ13" s="3014"/>
      <c r="HR13" s="3014"/>
      <c r="HS13" s="3014"/>
      <c r="HT13" s="3014"/>
      <c r="HU13" s="3014"/>
      <c r="HV13" s="3014"/>
      <c r="HW13" s="3014"/>
      <c r="HX13" s="3014"/>
      <c r="HY13" s="3014"/>
      <c r="HZ13" s="3014"/>
      <c r="IA13" s="3014"/>
      <c r="IB13" s="3014"/>
      <c r="IC13" s="3014"/>
      <c r="ID13" s="3014"/>
      <c r="IE13" s="3014"/>
      <c r="IF13" s="3014"/>
      <c r="IG13" s="3014"/>
      <c r="IH13" s="3014"/>
      <c r="II13" s="3014"/>
      <c r="IJ13" s="3014"/>
      <c r="IK13" s="3014"/>
      <c r="IL13" s="3014"/>
      <c r="IM13" s="3014"/>
      <c r="IN13" s="3014"/>
      <c r="IO13" s="3014"/>
      <c r="IP13" s="3014"/>
      <c r="IQ13" s="3014"/>
      <c r="IR13" s="3014"/>
      <c r="IS13" s="3014"/>
      <c r="IT13" s="3014"/>
      <c r="IU13" s="3014"/>
      <c r="IV13" s="3014"/>
      <c r="IW13" s="3015"/>
    </row>
    <row r="14" spans="1:257">
      <c r="B14" s="3016"/>
      <c r="C14" s="3017">
        <v>42242</v>
      </c>
      <c r="D14" s="3016">
        <v>4.5999999999999996</v>
      </c>
      <c r="E14" s="3016">
        <v>4.5999999999999996</v>
      </c>
      <c r="F14" s="3016">
        <v>5</v>
      </c>
      <c r="G14" s="3016">
        <v>5</v>
      </c>
      <c r="H14" s="3016">
        <v>5.15</v>
      </c>
      <c r="I14" s="3016">
        <v>2.75</v>
      </c>
      <c r="J14" s="3016">
        <v>3.25</v>
      </c>
      <c r="L14" s="3016"/>
      <c r="M14" s="3017">
        <v>42242</v>
      </c>
      <c r="N14" s="3016">
        <v>0.35</v>
      </c>
      <c r="O14" s="3016">
        <v>1.35</v>
      </c>
      <c r="P14" s="3016">
        <v>1.55</v>
      </c>
      <c r="Q14" s="3016">
        <v>1.75</v>
      </c>
      <c r="R14" s="3016">
        <v>2.35</v>
      </c>
      <c r="S14" s="3016">
        <v>3</v>
      </c>
      <c r="T14" s="3016"/>
      <c r="U14" s="3016"/>
      <c r="V14" s="3016"/>
      <c r="W14" s="3016"/>
      <c r="X14" s="3016"/>
      <c r="Y14" s="3016"/>
      <c r="Z14" s="3016"/>
    </row>
    <row r="15" spans="1:257">
      <c r="B15" s="3016"/>
      <c r="C15" s="3017">
        <v>42183</v>
      </c>
      <c r="D15" s="3016">
        <v>4.8499999999999996</v>
      </c>
      <c r="E15" s="3016">
        <v>4.8499999999999996</v>
      </c>
      <c r="F15" s="3016">
        <v>5.25</v>
      </c>
      <c r="G15" s="3016">
        <v>5.25</v>
      </c>
      <c r="H15" s="3016">
        <v>5.4</v>
      </c>
      <c r="I15" s="3016">
        <v>3</v>
      </c>
      <c r="J15" s="3016">
        <v>3.5</v>
      </c>
      <c r="L15" s="3016"/>
      <c r="M15" s="3017">
        <v>42183</v>
      </c>
      <c r="N15" s="3016">
        <v>0.35</v>
      </c>
      <c r="O15" s="3016">
        <v>1.6</v>
      </c>
      <c r="P15" s="3016">
        <v>1.8</v>
      </c>
      <c r="Q15" s="3016">
        <v>2</v>
      </c>
      <c r="R15" s="3016">
        <v>2.6</v>
      </c>
      <c r="S15" s="3016">
        <v>3.25</v>
      </c>
      <c r="T15" s="3016"/>
      <c r="U15" s="3016"/>
      <c r="V15" s="3016"/>
      <c r="W15" s="3016"/>
      <c r="X15" s="3016"/>
      <c r="Y15" s="3016"/>
      <c r="Z15" s="3016"/>
    </row>
    <row r="16" spans="1:257">
      <c r="B16" s="3016"/>
      <c r="C16" s="3017">
        <v>42135</v>
      </c>
      <c r="D16" s="3016">
        <v>5.0999999999999996</v>
      </c>
      <c r="E16" s="3016">
        <v>5.0999999999999996</v>
      </c>
      <c r="F16" s="3016">
        <v>5.5</v>
      </c>
      <c r="G16" s="3016">
        <v>5.5</v>
      </c>
      <c r="H16" s="3016">
        <v>5.65</v>
      </c>
      <c r="I16" s="3016">
        <v>3.25</v>
      </c>
      <c r="J16" s="3016">
        <v>3.75</v>
      </c>
      <c r="L16" s="3016"/>
      <c r="M16" s="3017">
        <v>42135</v>
      </c>
      <c r="N16" s="3016">
        <v>0.35</v>
      </c>
      <c r="O16" s="3016">
        <v>1.85</v>
      </c>
      <c r="P16" s="3016">
        <v>2.0499999999999998</v>
      </c>
      <c r="Q16" s="3016">
        <v>2.25</v>
      </c>
      <c r="R16" s="3016">
        <v>2.85</v>
      </c>
      <c r="S16" s="3016">
        <v>3.5</v>
      </c>
      <c r="T16" s="3016"/>
      <c r="U16" s="3016"/>
      <c r="V16" s="3016"/>
      <c r="W16" s="3016"/>
      <c r="X16" s="3016"/>
      <c r="Y16" s="3016"/>
      <c r="Z16" s="3016"/>
    </row>
    <row r="17" spans="2:26">
      <c r="B17" s="3016"/>
      <c r="C17" s="3017">
        <v>42064</v>
      </c>
      <c r="D17" s="3016">
        <v>5.35</v>
      </c>
      <c r="E17" s="3016">
        <v>5.35</v>
      </c>
      <c r="F17" s="3016">
        <v>5.75</v>
      </c>
      <c r="G17" s="3016">
        <v>5.75</v>
      </c>
      <c r="H17" s="3016">
        <v>5.9</v>
      </c>
      <c r="I17" s="3016"/>
      <c r="J17" s="3016"/>
      <c r="L17" s="3016"/>
      <c r="M17" s="3017">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2:26" ht="15">
      <c r="B18" s="3016"/>
      <c r="C18" s="3017">
        <v>41965</v>
      </c>
      <c r="D18" s="3016">
        <v>5.6</v>
      </c>
      <c r="E18" s="3016">
        <v>5.6</v>
      </c>
      <c r="F18" s="3016">
        <v>6</v>
      </c>
      <c r="G18" s="3016">
        <v>6</v>
      </c>
      <c r="H18" s="3016">
        <v>6.15</v>
      </c>
      <c r="I18" s="3016"/>
      <c r="J18" s="3016"/>
      <c r="L18" s="3016"/>
      <c r="M18" s="3017">
        <v>41965</v>
      </c>
      <c r="N18" s="3016">
        <v>0.35</v>
      </c>
      <c r="O18" s="3016">
        <v>2.35</v>
      </c>
      <c r="P18" s="3016">
        <v>2.5499999999999998</v>
      </c>
      <c r="Q18" s="3016">
        <v>2.75</v>
      </c>
      <c r="R18" s="3016">
        <v>3.35</v>
      </c>
      <c r="S18" s="3016">
        <v>4</v>
      </c>
      <c r="T18" s="3016">
        <v>4.75</v>
      </c>
      <c r="U18" s="3018">
        <v>2.35</v>
      </c>
      <c r="V18" s="3018">
        <v>2.5499999999999998</v>
      </c>
      <c r="W18" s="3018">
        <v>2.75</v>
      </c>
      <c r="X18" s="3016"/>
      <c r="Y18" s="3018">
        <v>0.8</v>
      </c>
      <c r="Z18" s="3018">
        <v>1.35</v>
      </c>
    </row>
    <row r="19" spans="2:26">
      <c r="B19" s="3016"/>
      <c r="C19" s="3017">
        <v>41096</v>
      </c>
      <c r="D19" s="3016">
        <v>5.6</v>
      </c>
      <c r="E19" s="3016">
        <v>6</v>
      </c>
      <c r="F19" s="3016">
        <v>6.15</v>
      </c>
      <c r="G19" s="3016">
        <v>6.4</v>
      </c>
      <c r="H19" s="3016">
        <v>6.55</v>
      </c>
      <c r="I19" s="3016">
        <v>4</v>
      </c>
      <c r="J19" s="3016">
        <v>4.5</v>
      </c>
      <c r="L19" s="3016"/>
      <c r="M19" s="3017">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row>
    <row r="20" spans="2:26">
      <c r="B20" s="3016"/>
      <c r="C20" s="3017">
        <v>41068</v>
      </c>
      <c r="D20" s="3016">
        <v>5.85</v>
      </c>
      <c r="E20" s="3016">
        <v>6.31</v>
      </c>
      <c r="F20" s="3016">
        <v>6.4</v>
      </c>
      <c r="G20" s="3016">
        <v>6.65</v>
      </c>
      <c r="H20" s="3016">
        <v>6.8</v>
      </c>
      <c r="I20" s="3016">
        <v>4.2</v>
      </c>
      <c r="J20" s="3016">
        <v>4.7</v>
      </c>
      <c r="L20" s="3016"/>
      <c r="M20" s="3017">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2:26">
      <c r="B21" s="3016"/>
      <c r="C21" s="3017">
        <v>40731</v>
      </c>
      <c r="D21" s="3016">
        <v>6.1</v>
      </c>
      <c r="E21" s="3016">
        <v>6.56</v>
      </c>
      <c r="F21" s="3016">
        <v>6.65</v>
      </c>
      <c r="G21" s="3016">
        <v>6.9</v>
      </c>
      <c r="H21" s="3016">
        <v>7.05</v>
      </c>
      <c r="I21" s="3016">
        <v>4.45</v>
      </c>
      <c r="J21" s="3016">
        <v>4.9000000000000004</v>
      </c>
      <c r="L21" s="3016"/>
      <c r="M21" s="3017">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2:26">
      <c r="B22" s="3016"/>
      <c r="C22" s="3017">
        <v>40639</v>
      </c>
      <c r="D22" s="3016">
        <v>5.85</v>
      </c>
      <c r="E22" s="3016">
        <v>6.31</v>
      </c>
      <c r="F22" s="3016">
        <v>6.4</v>
      </c>
      <c r="G22" s="3016">
        <v>6.65</v>
      </c>
      <c r="H22" s="3016">
        <v>6.8</v>
      </c>
      <c r="I22" s="3016">
        <v>4.2</v>
      </c>
      <c r="J22" s="3016">
        <v>4.7</v>
      </c>
      <c r="L22" s="3016"/>
      <c r="M22" s="3017">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2:26">
      <c r="B23" s="3016"/>
      <c r="C23" s="3017">
        <v>40583</v>
      </c>
      <c r="D23" s="3016">
        <v>5.6</v>
      </c>
      <c r="E23" s="3016">
        <v>6.06</v>
      </c>
      <c r="F23" s="3016">
        <v>6.1</v>
      </c>
      <c r="G23" s="3016">
        <v>6.45</v>
      </c>
      <c r="H23" s="3016">
        <v>6.6</v>
      </c>
      <c r="I23" s="3016">
        <v>4</v>
      </c>
      <c r="J23" s="3016">
        <v>4.5</v>
      </c>
      <c r="L23" s="3016"/>
      <c r="M23" s="3017">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2:26">
      <c r="B24" s="3016"/>
      <c r="C24" s="3017">
        <v>40538</v>
      </c>
      <c r="D24" s="3016">
        <v>5.35</v>
      </c>
      <c r="E24" s="3016">
        <v>5.81</v>
      </c>
      <c r="F24" s="3016">
        <v>5.85</v>
      </c>
      <c r="G24" s="3016">
        <v>6.22</v>
      </c>
      <c r="H24" s="3016">
        <v>6.4</v>
      </c>
      <c r="I24" s="3016">
        <v>3.75</v>
      </c>
      <c r="J24" s="3016">
        <v>4.3</v>
      </c>
      <c r="L24" s="3016"/>
      <c r="M24" s="3017">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2:26">
      <c r="B25" s="3016"/>
      <c r="C25" s="3017">
        <v>40471</v>
      </c>
      <c r="D25" s="3016">
        <v>5.0999999999999996</v>
      </c>
      <c r="E25" s="3016">
        <v>5.56</v>
      </c>
      <c r="F25" s="3016">
        <v>5.6</v>
      </c>
      <c r="G25" s="3016">
        <v>5.96</v>
      </c>
      <c r="H25" s="3016">
        <v>6.14</v>
      </c>
      <c r="I25" s="3016">
        <v>3.5</v>
      </c>
      <c r="J25" s="3016">
        <v>4.05</v>
      </c>
      <c r="L25" s="3016"/>
      <c r="M25" s="3017">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2:26">
      <c r="B26" s="3016"/>
      <c r="C26" s="3017">
        <v>39805</v>
      </c>
      <c r="D26" s="3016">
        <v>4.8600000000000003</v>
      </c>
      <c r="E26" s="3016">
        <v>5.31</v>
      </c>
      <c r="F26" s="3016">
        <v>5.4</v>
      </c>
      <c r="G26" s="3016">
        <v>5.76</v>
      </c>
      <c r="H26" s="3016">
        <v>5.94</v>
      </c>
      <c r="I26" s="3016">
        <v>3.33</v>
      </c>
      <c r="J26" s="3016">
        <v>3.87</v>
      </c>
      <c r="L26" s="3016"/>
      <c r="M26" s="3017">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2:26">
      <c r="B27" s="3016"/>
      <c r="C27" s="3017">
        <v>39779</v>
      </c>
      <c r="D27" s="3016">
        <v>5.04</v>
      </c>
      <c r="E27" s="3016">
        <v>5.58</v>
      </c>
      <c r="F27" s="3016">
        <v>5.67</v>
      </c>
      <c r="G27" s="3016">
        <v>5.94</v>
      </c>
      <c r="H27" s="3016">
        <v>6.12</v>
      </c>
      <c r="I27" s="3016">
        <v>3.51</v>
      </c>
      <c r="J27" s="3016">
        <v>4.05</v>
      </c>
      <c r="L27" s="3016"/>
      <c r="M27" s="3017">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2:26">
      <c r="B28" s="3016"/>
      <c r="C28" s="3017">
        <v>39751</v>
      </c>
      <c r="D28" s="3016">
        <v>6.03</v>
      </c>
      <c r="E28" s="3016">
        <v>6.66</v>
      </c>
      <c r="F28" s="3016">
        <v>6.75</v>
      </c>
      <c r="G28" s="3016">
        <v>7.02</v>
      </c>
      <c r="H28" s="3016">
        <v>7.2</v>
      </c>
      <c r="I28" s="3016">
        <v>4.05</v>
      </c>
      <c r="J28" s="3016">
        <v>4.59</v>
      </c>
      <c r="L28" s="3016"/>
      <c r="M28" s="3017">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2:26">
      <c r="B29" s="3016"/>
      <c r="C29" s="3019">
        <v>39748</v>
      </c>
      <c r="D29" s="3016">
        <v>6.12</v>
      </c>
      <c r="E29" s="3016">
        <v>6.93</v>
      </c>
      <c r="F29" s="3016">
        <v>7.02</v>
      </c>
      <c r="G29" s="3016">
        <v>7.29</v>
      </c>
      <c r="H29" s="3016">
        <v>7.47</v>
      </c>
      <c r="I29" s="3016">
        <v>4.05</v>
      </c>
      <c r="J29" s="3016">
        <v>4.59</v>
      </c>
      <c r="L29" s="3016"/>
      <c r="M29" s="3019">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2:26">
      <c r="B30" s="3016"/>
      <c r="C30" s="3017">
        <v>39730</v>
      </c>
      <c r="D30" s="3016">
        <v>6.12</v>
      </c>
      <c r="E30" s="3016">
        <v>6.93</v>
      </c>
      <c r="F30" s="3016">
        <v>7.02</v>
      </c>
      <c r="G30" s="3016">
        <v>7.29</v>
      </c>
      <c r="H30" s="3016">
        <v>7.47</v>
      </c>
      <c r="I30" s="3016">
        <v>4.32</v>
      </c>
      <c r="J30" s="3016">
        <v>4.8600000000000003</v>
      </c>
      <c r="L30" s="3016"/>
      <c r="M30" s="3017">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2:26">
      <c r="B31" s="3016"/>
      <c r="C31" s="3017">
        <v>39707</v>
      </c>
      <c r="D31" s="3016">
        <v>6.21</v>
      </c>
      <c r="E31" s="3016">
        <v>7.2</v>
      </c>
      <c r="F31" s="3016">
        <v>7.29</v>
      </c>
      <c r="G31" s="3016">
        <v>7.56</v>
      </c>
      <c r="H31" s="3016">
        <v>7.74</v>
      </c>
      <c r="I31" s="3016">
        <v>4.59</v>
      </c>
      <c r="J31" s="3016">
        <v>5.13</v>
      </c>
      <c r="L31" s="3016"/>
      <c r="M31" s="3017">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2:26">
      <c r="B32" s="3016"/>
      <c r="C32" s="3017">
        <v>39437</v>
      </c>
      <c r="D32" s="3016">
        <v>6.57</v>
      </c>
      <c r="E32" s="3016">
        <v>7.47</v>
      </c>
      <c r="F32" s="3016">
        <v>7.56</v>
      </c>
      <c r="G32" s="3016">
        <v>7.74</v>
      </c>
      <c r="H32" s="3016">
        <v>7.83</v>
      </c>
      <c r="I32" s="3016">
        <v>4.7699999999999996</v>
      </c>
      <c r="J32" s="3016">
        <v>5.22</v>
      </c>
      <c r="L32" s="3016"/>
      <c r="M32" s="3017">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3016"/>
      <c r="C33" s="3017">
        <v>39340</v>
      </c>
      <c r="D33" s="3016">
        <v>6.48</v>
      </c>
      <c r="E33" s="3016">
        <v>7.29</v>
      </c>
      <c r="F33" s="3016">
        <v>7.47</v>
      </c>
      <c r="G33" s="3016">
        <v>7.65</v>
      </c>
      <c r="H33" s="3016">
        <v>7.83</v>
      </c>
      <c r="I33" s="3016">
        <v>4.7699999999999996</v>
      </c>
      <c r="J33" s="3016">
        <v>5.22</v>
      </c>
      <c r="L33" s="3016"/>
      <c r="M33" s="3017">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3016"/>
      <c r="C34" s="3017">
        <v>39316</v>
      </c>
      <c r="D34" s="3016">
        <v>6.21</v>
      </c>
      <c r="E34" s="3016">
        <v>7.02</v>
      </c>
      <c r="F34" s="3016">
        <v>7.2</v>
      </c>
      <c r="G34" s="3016">
        <v>7.38</v>
      </c>
      <c r="H34" s="3016">
        <v>7.56</v>
      </c>
      <c r="I34" s="3016">
        <v>4.59</v>
      </c>
      <c r="J34" s="3016">
        <v>5.04</v>
      </c>
      <c r="L34" s="3016"/>
      <c r="M34" s="3017">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3016"/>
      <c r="C35" s="3017">
        <v>39284</v>
      </c>
      <c r="D35" s="3016">
        <v>6.03</v>
      </c>
      <c r="E35" s="3016">
        <v>6.84</v>
      </c>
      <c r="F35" s="3016">
        <v>7.02</v>
      </c>
      <c r="G35" s="3016">
        <v>7.2</v>
      </c>
      <c r="H35" s="3016">
        <v>7.38</v>
      </c>
      <c r="I35" s="3016">
        <v>4.5</v>
      </c>
      <c r="J35" s="3016">
        <v>4.95</v>
      </c>
      <c r="L35" s="3016"/>
      <c r="M35" s="3017">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3016"/>
      <c r="C36" s="3017">
        <v>39221</v>
      </c>
      <c r="D36" s="3016">
        <v>5.85</v>
      </c>
      <c r="E36" s="3016">
        <v>6.57</v>
      </c>
      <c r="F36" s="3016">
        <v>6.75</v>
      </c>
      <c r="G36" s="3016">
        <v>6.93</v>
      </c>
      <c r="H36" s="3016">
        <v>7.2</v>
      </c>
      <c r="I36" s="3016">
        <v>4.41</v>
      </c>
      <c r="J36" s="3016">
        <v>4.8600000000000003</v>
      </c>
      <c r="L36" s="3016"/>
      <c r="M36" s="3017">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3016"/>
      <c r="C37" s="3017">
        <v>39159</v>
      </c>
      <c r="D37" s="3016">
        <v>5.67</v>
      </c>
      <c r="E37" s="3016">
        <v>6.39</v>
      </c>
      <c r="F37" s="3016">
        <v>6.57</v>
      </c>
      <c r="G37" s="3016">
        <v>6.75</v>
      </c>
      <c r="H37" s="3016">
        <v>7.11</v>
      </c>
      <c r="I37" s="3016">
        <v>4.32</v>
      </c>
      <c r="J37" s="3016">
        <v>4.7699999999999996</v>
      </c>
      <c r="L37" s="3016"/>
      <c r="M37" s="3017">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3016"/>
      <c r="C38" s="3017">
        <v>38948</v>
      </c>
      <c r="D38" s="3016">
        <v>5.58</v>
      </c>
      <c r="E38" s="3016">
        <v>6.12</v>
      </c>
      <c r="F38" s="3016">
        <v>6.3</v>
      </c>
      <c r="G38" s="3016">
        <v>6.48</v>
      </c>
      <c r="H38" s="3016">
        <v>6.84</v>
      </c>
      <c r="I38" s="3016">
        <v>4.1399999999999997</v>
      </c>
      <c r="J38" s="3016">
        <v>4.59</v>
      </c>
      <c r="L38" s="3016"/>
      <c r="M38" s="3017">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3016"/>
      <c r="C39" s="3017">
        <v>38835</v>
      </c>
      <c r="D39" s="3016">
        <v>5.4</v>
      </c>
      <c r="E39" s="3016">
        <v>5.85</v>
      </c>
      <c r="F39" s="3016">
        <v>6.03</v>
      </c>
      <c r="G39" s="3016">
        <v>6.12</v>
      </c>
      <c r="H39" s="3016">
        <v>6.39</v>
      </c>
      <c r="I39" s="3016">
        <v>4.1399999999999997</v>
      </c>
      <c r="J39" s="3016">
        <v>4.59</v>
      </c>
      <c r="L39" s="3016"/>
      <c r="M39" s="3017">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3016"/>
      <c r="C40" s="3017">
        <v>38428</v>
      </c>
      <c r="D40" s="3016">
        <v>5.22</v>
      </c>
      <c r="E40" s="3016">
        <v>5.58</v>
      </c>
      <c r="F40" s="3016">
        <v>5.76</v>
      </c>
      <c r="G40" s="3016">
        <v>5.85</v>
      </c>
      <c r="H40" s="3016">
        <v>6.12</v>
      </c>
      <c r="I40" s="3016">
        <v>3.96</v>
      </c>
      <c r="J40" s="3016">
        <v>4.41</v>
      </c>
      <c r="L40" s="3016"/>
      <c r="M40" s="3017">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3016"/>
      <c r="C41" s="3017">
        <v>38289</v>
      </c>
      <c r="D41" s="3016">
        <v>5.22</v>
      </c>
      <c r="E41" s="3016">
        <v>5.58</v>
      </c>
      <c r="F41" s="3016">
        <v>5.76</v>
      </c>
      <c r="G41" s="3016">
        <v>5.85</v>
      </c>
      <c r="H41" s="3016">
        <v>6.12</v>
      </c>
      <c r="I41" s="3016">
        <v>3.78</v>
      </c>
      <c r="J41" s="3016">
        <v>4.2300000000000004</v>
      </c>
      <c r="L41" s="3016"/>
      <c r="M41" s="3017">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3016"/>
      <c r="C42" s="3017">
        <v>37308</v>
      </c>
      <c r="D42" s="3016">
        <v>5.04</v>
      </c>
      <c r="E42" s="3016">
        <v>5.31</v>
      </c>
      <c r="F42" s="3016">
        <v>5.49</v>
      </c>
      <c r="G42" s="3016">
        <v>5.58</v>
      </c>
      <c r="H42" s="3016">
        <v>5.76</v>
      </c>
      <c r="I42" s="3016">
        <v>3.6</v>
      </c>
      <c r="J42" s="3016">
        <v>4.05</v>
      </c>
      <c r="L42" s="3016"/>
      <c r="M42" s="3017">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2823</v>
      </c>
      <c r="Y42" s="3016" t="s">
        <v>2823</v>
      </c>
      <c r="Z42" s="3016" t="s">
        <v>2823</v>
      </c>
    </row>
    <row r="43" spans="2:26">
      <c r="B43" s="3016"/>
      <c r="C43" s="3017">
        <v>36321</v>
      </c>
      <c r="D43" s="3016">
        <v>5.58</v>
      </c>
      <c r="E43" s="3016">
        <v>5.85</v>
      </c>
      <c r="F43" s="3016">
        <v>5.94</v>
      </c>
      <c r="G43" s="3016">
        <v>6.03</v>
      </c>
      <c r="H43" s="3016">
        <v>6.21</v>
      </c>
      <c r="I43" s="3016">
        <v>4.1399999999999997</v>
      </c>
      <c r="J43" s="3016">
        <v>4.59</v>
      </c>
      <c r="L43" s="3016"/>
      <c r="M43" s="3017">
        <v>35879</v>
      </c>
      <c r="N43" s="3016">
        <v>1.71</v>
      </c>
      <c r="O43" s="3016">
        <v>2.88</v>
      </c>
      <c r="P43" s="3016">
        <v>4.1399999999999997</v>
      </c>
      <c r="Q43" s="3016">
        <v>5.22</v>
      </c>
      <c r="R43" s="3016">
        <v>5.58</v>
      </c>
      <c r="S43" s="3016">
        <v>6.21</v>
      </c>
      <c r="T43" s="3016">
        <v>6.66</v>
      </c>
      <c r="U43" s="3016">
        <v>4.1399999999999997</v>
      </c>
      <c r="V43" s="3016">
        <v>5.22</v>
      </c>
      <c r="W43" s="3016">
        <v>6.21</v>
      </c>
      <c r="X43" s="3016" t="s">
        <v>2823</v>
      </c>
      <c r="Y43" s="3016" t="s">
        <v>2823</v>
      </c>
      <c r="Z43" s="3016" t="s">
        <v>2823</v>
      </c>
    </row>
    <row r="44" spans="2:26">
      <c r="B44" s="3016"/>
      <c r="C44" s="3017">
        <v>36136</v>
      </c>
      <c r="D44" s="3016">
        <v>6.12</v>
      </c>
      <c r="E44" s="3016">
        <v>6.39</v>
      </c>
      <c r="F44" s="3016">
        <v>6.66</v>
      </c>
      <c r="G44" s="3016">
        <v>7.2</v>
      </c>
      <c r="H44" s="3016">
        <v>7.56</v>
      </c>
      <c r="I44" s="3016">
        <v>0</v>
      </c>
      <c r="J44" s="3016">
        <v>0</v>
      </c>
      <c r="L44" s="3016"/>
      <c r="M44" s="3017">
        <v>35726</v>
      </c>
      <c r="N44" s="3016">
        <v>1.71</v>
      </c>
      <c r="O44" s="3016">
        <v>2.88</v>
      </c>
      <c r="P44" s="3016">
        <v>4.1399999999999997</v>
      </c>
      <c r="Q44" s="3016">
        <v>5.67</v>
      </c>
      <c r="R44" s="3016">
        <v>5.94</v>
      </c>
      <c r="S44" s="3016">
        <v>6.21</v>
      </c>
      <c r="T44" s="3016">
        <v>6.66</v>
      </c>
      <c r="U44" s="3016">
        <v>4.1399999999999997</v>
      </c>
      <c r="V44" s="3016">
        <v>5.67</v>
      </c>
      <c r="W44" s="3016">
        <v>6.21</v>
      </c>
      <c r="X44" s="3016" t="s">
        <v>2823</v>
      </c>
      <c r="Y44" s="3016" t="s">
        <v>2823</v>
      </c>
      <c r="Z44" s="3016" t="s">
        <v>2823</v>
      </c>
    </row>
    <row r="45" spans="2:26">
      <c r="B45" s="3016"/>
      <c r="C45" s="3017">
        <v>35977</v>
      </c>
      <c r="D45" s="3016">
        <v>6.57</v>
      </c>
      <c r="E45" s="3016">
        <v>6.93</v>
      </c>
      <c r="F45" s="3016">
        <v>7.11</v>
      </c>
      <c r="G45" s="3016">
        <v>7.65</v>
      </c>
      <c r="H45" s="3016">
        <v>8.01</v>
      </c>
      <c r="I45" s="3016">
        <v>0</v>
      </c>
      <c r="J45" s="3016">
        <v>0</v>
      </c>
      <c r="L45" s="3016"/>
      <c r="M45" s="3017">
        <v>35300</v>
      </c>
      <c r="N45" s="3016">
        <v>1.98</v>
      </c>
      <c r="O45" s="3016">
        <v>3.33</v>
      </c>
      <c r="P45" s="3016">
        <v>5.4</v>
      </c>
      <c r="Q45" s="3016">
        <v>7.47</v>
      </c>
      <c r="R45" s="3016">
        <v>7.92</v>
      </c>
      <c r="S45" s="3016">
        <v>8.2799999999999994</v>
      </c>
      <c r="T45" s="3016">
        <v>9</v>
      </c>
      <c r="U45" s="3016">
        <v>5.4</v>
      </c>
      <c r="V45" s="3016">
        <v>7.47</v>
      </c>
      <c r="W45" s="3016">
        <v>8.2799999999999994</v>
      </c>
      <c r="X45" s="3016" t="s">
        <v>2823</v>
      </c>
      <c r="Y45" s="3016" t="s">
        <v>2823</v>
      </c>
      <c r="Z45" s="3016" t="s">
        <v>2823</v>
      </c>
    </row>
    <row r="46" spans="2:26">
      <c r="B46" s="3016"/>
      <c r="C46" s="3017">
        <v>35879</v>
      </c>
      <c r="D46" s="3016">
        <v>7.02</v>
      </c>
      <c r="E46" s="3016">
        <v>7.92</v>
      </c>
      <c r="F46" s="3016">
        <v>9</v>
      </c>
      <c r="G46" s="3016">
        <v>9.7200000000000006</v>
      </c>
      <c r="H46" s="3016">
        <v>10.35</v>
      </c>
      <c r="I46" s="3016">
        <v>0</v>
      </c>
      <c r="J46" s="3016">
        <v>0</v>
      </c>
      <c r="L46" s="3016"/>
      <c r="M46" s="3017">
        <v>35186</v>
      </c>
      <c r="N46" s="3016">
        <v>2.97</v>
      </c>
      <c r="O46" s="3016">
        <v>4.8600000000000003</v>
      </c>
      <c r="P46" s="3016">
        <v>7.2</v>
      </c>
      <c r="Q46" s="3016">
        <v>9.18</v>
      </c>
      <c r="R46" s="3016">
        <v>9.9</v>
      </c>
      <c r="S46" s="3016">
        <v>10.8</v>
      </c>
      <c r="T46" s="3016">
        <v>12.06</v>
      </c>
      <c r="U46" s="3016">
        <v>7.2</v>
      </c>
      <c r="V46" s="3016">
        <v>9.18</v>
      </c>
      <c r="W46" s="3016">
        <v>10.8</v>
      </c>
      <c r="X46" s="3016" t="s">
        <v>2823</v>
      </c>
      <c r="Y46" s="3016" t="s">
        <v>2823</v>
      </c>
      <c r="Z46" s="3016" t="s">
        <v>2823</v>
      </c>
    </row>
    <row r="47" spans="2:26">
      <c r="B47" s="3016"/>
      <c r="C47" s="3017">
        <v>35726</v>
      </c>
      <c r="D47" s="3016">
        <v>7.65</v>
      </c>
      <c r="E47" s="3016">
        <v>8.64</v>
      </c>
      <c r="F47" s="3016">
        <v>9.36</v>
      </c>
      <c r="G47" s="3016">
        <v>9.9</v>
      </c>
      <c r="H47" s="3016">
        <v>10.53</v>
      </c>
      <c r="I47" s="3016">
        <v>0</v>
      </c>
      <c r="J47" s="3016">
        <v>0</v>
      </c>
      <c r="L47" s="3016"/>
      <c r="M47" s="3017">
        <v>34161</v>
      </c>
      <c r="N47" s="3016">
        <v>3.15</v>
      </c>
      <c r="O47" s="3016">
        <v>6.66</v>
      </c>
      <c r="P47" s="3016">
        <v>9</v>
      </c>
      <c r="Q47" s="3016">
        <v>10.98</v>
      </c>
      <c r="R47" s="3016">
        <v>11.7</v>
      </c>
      <c r="S47" s="3016">
        <v>12.24</v>
      </c>
      <c r="T47" s="3016">
        <v>13.86</v>
      </c>
      <c r="U47" s="3016">
        <v>9</v>
      </c>
      <c r="V47" s="3016">
        <v>10.98</v>
      </c>
      <c r="W47" s="3016">
        <v>12.24</v>
      </c>
      <c r="X47" s="3016" t="s">
        <v>2823</v>
      </c>
      <c r="Y47" s="3016" t="s">
        <v>2823</v>
      </c>
      <c r="Z47" s="3016" t="s">
        <v>2823</v>
      </c>
    </row>
    <row r="48" spans="2:26">
      <c r="B48" s="3016"/>
      <c r="C48" s="3017">
        <v>35300</v>
      </c>
      <c r="D48" s="3016">
        <v>9.18</v>
      </c>
      <c r="E48" s="3016">
        <v>10.08</v>
      </c>
      <c r="F48" s="3016">
        <v>10.98</v>
      </c>
      <c r="G48" s="3016">
        <v>11.7</v>
      </c>
      <c r="H48" s="3016">
        <v>12.42</v>
      </c>
      <c r="I48" s="3016">
        <v>0</v>
      </c>
      <c r="J48" s="3016">
        <v>0</v>
      </c>
      <c r="L48" s="3016"/>
      <c r="M48" s="3017">
        <v>34104</v>
      </c>
      <c r="N48" s="3016">
        <v>2.16</v>
      </c>
      <c r="O48" s="3016">
        <v>4.8600000000000003</v>
      </c>
      <c r="P48" s="3016">
        <v>7.2</v>
      </c>
      <c r="Q48" s="3016">
        <v>9.18</v>
      </c>
      <c r="R48" s="3016">
        <v>9.9</v>
      </c>
      <c r="S48" s="3016">
        <v>10.8</v>
      </c>
      <c r="T48" s="3016">
        <v>12.06</v>
      </c>
      <c r="U48" s="3016">
        <v>7.2</v>
      </c>
      <c r="V48" s="3016">
        <v>9.18</v>
      </c>
      <c r="W48" s="3016">
        <v>10.8</v>
      </c>
      <c r="X48" s="3016" t="s">
        <v>2823</v>
      </c>
      <c r="Y48" s="3016" t="s">
        <v>2823</v>
      </c>
      <c r="Z48" s="3016" t="s">
        <v>2823</v>
      </c>
    </row>
    <row r="49" spans="2:26">
      <c r="B49" s="3016"/>
      <c r="C49" s="3017">
        <v>35186</v>
      </c>
      <c r="D49" s="3016">
        <v>9.7200000000000006</v>
      </c>
      <c r="E49" s="3016">
        <v>10.98</v>
      </c>
      <c r="F49" s="3016">
        <v>13.14</v>
      </c>
      <c r="G49" s="3016">
        <v>14.94</v>
      </c>
      <c r="H49" s="3016">
        <v>15.12</v>
      </c>
      <c r="I49" s="3016">
        <v>0</v>
      </c>
      <c r="J49" s="3016">
        <v>0</v>
      </c>
      <c r="L49" s="3016"/>
      <c r="M49" s="3017">
        <v>33349</v>
      </c>
      <c r="N49" s="3016">
        <v>1.8</v>
      </c>
      <c r="O49" s="3016">
        <v>3.24</v>
      </c>
      <c r="P49" s="3016">
        <v>5.4</v>
      </c>
      <c r="Q49" s="3016">
        <v>7.56</v>
      </c>
      <c r="R49" s="3016">
        <v>7.92</v>
      </c>
      <c r="S49" s="3016">
        <v>8.2799999999999994</v>
      </c>
      <c r="T49" s="3016">
        <v>9</v>
      </c>
      <c r="U49" s="3016">
        <v>6.12</v>
      </c>
      <c r="V49" s="3016">
        <v>6.84</v>
      </c>
      <c r="W49" s="3016">
        <v>7.56</v>
      </c>
      <c r="X49" s="3016" t="s">
        <v>2823</v>
      </c>
      <c r="Y49" s="3016" t="s">
        <v>2823</v>
      </c>
      <c r="Z49" s="3016" t="s">
        <v>2823</v>
      </c>
    </row>
    <row r="50" spans="2:26">
      <c r="B50" s="3016"/>
      <c r="C50" s="3017">
        <v>34881</v>
      </c>
      <c r="D50" s="3016">
        <v>10.08</v>
      </c>
      <c r="E50" s="3016">
        <v>12.06</v>
      </c>
      <c r="F50" s="3016">
        <v>13.5</v>
      </c>
      <c r="G50" s="3016">
        <v>15.12</v>
      </c>
      <c r="H50" s="3016">
        <v>15.3</v>
      </c>
      <c r="I50" s="3016">
        <v>0</v>
      </c>
      <c r="J50" s="3016">
        <v>0</v>
      </c>
      <c r="L50" s="3016"/>
      <c r="M50" s="3017">
        <v>33106</v>
      </c>
      <c r="N50" s="3016">
        <v>2.16</v>
      </c>
      <c r="O50" s="3016">
        <v>4.32</v>
      </c>
      <c r="P50" s="3016">
        <v>6.48</v>
      </c>
      <c r="Q50" s="3016">
        <v>8.64</v>
      </c>
      <c r="R50" s="3016">
        <v>9.36</v>
      </c>
      <c r="S50" s="3016">
        <v>10.08</v>
      </c>
      <c r="T50" s="3016">
        <v>11.52</v>
      </c>
      <c r="U50" s="3016">
        <v>7.2</v>
      </c>
      <c r="V50" s="3016">
        <v>8.64</v>
      </c>
      <c r="W50" s="3016">
        <v>10.08</v>
      </c>
      <c r="X50" s="3016" t="s">
        <v>2823</v>
      </c>
      <c r="Y50" s="3016" t="s">
        <v>2823</v>
      </c>
      <c r="Z50" s="3016" t="s">
        <v>2823</v>
      </c>
    </row>
    <row r="51" spans="2:26">
      <c r="B51" s="3016"/>
      <c r="C51" s="3017">
        <v>34700</v>
      </c>
      <c r="D51" s="3016">
        <v>9</v>
      </c>
      <c r="E51" s="3016">
        <v>10.98</v>
      </c>
      <c r="F51" s="3016">
        <v>12.96</v>
      </c>
      <c r="G51" s="3016">
        <v>14.58</v>
      </c>
      <c r="H51" s="3016">
        <v>14.76</v>
      </c>
      <c r="I51" s="3016">
        <v>0</v>
      </c>
      <c r="J51" s="3016">
        <v>0</v>
      </c>
      <c r="L51" s="3016"/>
      <c r="M51" s="3017">
        <v>32978</v>
      </c>
      <c r="N51" s="3016">
        <v>2.88</v>
      </c>
      <c r="O51" s="3016">
        <v>6.3</v>
      </c>
      <c r="P51" s="3016">
        <v>7.74</v>
      </c>
      <c r="Q51" s="3016">
        <v>10.08</v>
      </c>
      <c r="R51" s="3016">
        <v>10.98</v>
      </c>
      <c r="S51" s="3016">
        <v>11.88</v>
      </c>
      <c r="T51" s="3016">
        <v>13.68</v>
      </c>
      <c r="U51" s="3016" t="s">
        <v>2823</v>
      </c>
      <c r="V51" s="3016" t="s">
        <v>2823</v>
      </c>
      <c r="W51" s="3016" t="s">
        <v>2823</v>
      </c>
      <c r="X51" s="3016" t="s">
        <v>2823</v>
      </c>
      <c r="Y51" s="3016" t="s">
        <v>2823</v>
      </c>
      <c r="Z51" s="3016" t="s">
        <v>2823</v>
      </c>
    </row>
    <row r="52" spans="2:26">
      <c r="B52" s="3016"/>
      <c r="C52" s="3017">
        <v>34161</v>
      </c>
      <c r="D52" s="3016">
        <v>9</v>
      </c>
      <c r="E52" s="3016">
        <v>10.98</v>
      </c>
      <c r="F52" s="3016">
        <v>12.24</v>
      </c>
      <c r="G52" s="3016">
        <v>13.86</v>
      </c>
      <c r="H52" s="3016">
        <v>14.04</v>
      </c>
      <c r="I52" s="3016">
        <v>0</v>
      </c>
      <c r="J52" s="3016">
        <v>0</v>
      </c>
      <c r="L52" s="3016"/>
      <c r="M52" s="3017"/>
      <c r="N52" s="3016"/>
      <c r="O52" s="3016"/>
      <c r="P52" s="3016"/>
      <c r="Q52" s="3016"/>
      <c r="R52" s="3016"/>
      <c r="S52" s="3016"/>
      <c r="T52" s="3016"/>
      <c r="U52" s="3016"/>
      <c r="V52" s="3016"/>
      <c r="W52" s="3016"/>
      <c r="X52" s="3016"/>
      <c r="Y52" s="3016"/>
      <c r="Z52" s="3016"/>
    </row>
    <row r="53" spans="2:26">
      <c r="B53" s="3016"/>
      <c r="C53" s="3017">
        <v>34104</v>
      </c>
      <c r="D53" s="3016">
        <v>8.82</v>
      </c>
      <c r="E53" s="3016">
        <v>9.36</v>
      </c>
      <c r="F53" s="3016">
        <v>10.8</v>
      </c>
      <c r="G53" s="3016">
        <v>12.06</v>
      </c>
      <c r="H53" s="3016">
        <v>12.24</v>
      </c>
      <c r="I53" s="3016">
        <v>0</v>
      </c>
      <c r="J53" s="3016">
        <v>0</v>
      </c>
      <c r="L53" s="3016"/>
      <c r="M53" s="3017"/>
      <c r="N53" s="3016"/>
      <c r="O53" s="3016"/>
      <c r="P53" s="3016"/>
      <c r="Q53" s="3016"/>
      <c r="R53" s="3016"/>
      <c r="S53" s="3016"/>
      <c r="T53" s="3016"/>
      <c r="U53" s="3016"/>
      <c r="V53" s="3016"/>
      <c r="W53" s="3016"/>
      <c r="X53" s="3016"/>
      <c r="Y53" s="3016"/>
      <c r="Z53" s="3016"/>
    </row>
    <row r="54" spans="2:26">
      <c r="B54" s="3016"/>
      <c r="C54" s="3017">
        <v>33349</v>
      </c>
      <c r="D54" s="3016">
        <v>8.1</v>
      </c>
      <c r="E54" s="3016">
        <v>8.64</v>
      </c>
      <c r="F54" s="3016">
        <v>9</v>
      </c>
      <c r="G54" s="3016">
        <v>9.5399999999999991</v>
      </c>
      <c r="H54" s="3016">
        <v>9.7200000000000006</v>
      </c>
      <c r="I54" s="3016">
        <v>0</v>
      </c>
      <c r="J54" s="3016">
        <v>0</v>
      </c>
      <c r="L54" s="3016"/>
      <c r="M54" s="3017"/>
      <c r="N54" s="3016"/>
      <c r="O54" s="3016"/>
      <c r="P54" s="3016"/>
      <c r="Q54" s="3016"/>
      <c r="R54" s="3016"/>
      <c r="S54" s="3016"/>
      <c r="T54" s="3016"/>
      <c r="U54" s="3016"/>
      <c r="V54" s="3016"/>
      <c r="W54" s="3016"/>
      <c r="X54" s="3016"/>
      <c r="Y54" s="3016"/>
      <c r="Z54" s="3016"/>
    </row>
    <row r="55" spans="2:26">
      <c r="B55" s="3016"/>
      <c r="C55" s="3017">
        <v>33318</v>
      </c>
      <c r="D55" s="3016">
        <v>9</v>
      </c>
      <c r="E55" s="3016">
        <v>10.08</v>
      </c>
      <c r="F55" s="3016">
        <v>10.8</v>
      </c>
      <c r="G55" s="3016">
        <v>11.52</v>
      </c>
      <c r="H55" s="3016">
        <v>11.88</v>
      </c>
      <c r="I55" s="3016" t="s">
        <v>2823</v>
      </c>
      <c r="J55" s="3016" t="s">
        <v>2823</v>
      </c>
      <c r="L55" s="3016"/>
      <c r="M55" s="3017"/>
      <c r="N55" s="3016"/>
      <c r="O55" s="3016"/>
      <c r="P55" s="3016"/>
      <c r="Q55" s="3016"/>
      <c r="R55" s="3016"/>
      <c r="S55" s="3016"/>
      <c r="T55" s="3016"/>
      <c r="U55" s="3016"/>
      <c r="V55" s="3016"/>
      <c r="W55" s="3016"/>
      <c r="X55" s="3016"/>
      <c r="Y55" s="3016"/>
      <c r="Z55" s="3016"/>
    </row>
    <row r="56" spans="2:26">
      <c r="B56" s="3016"/>
      <c r="C56" s="3017">
        <v>33106</v>
      </c>
      <c r="D56" s="3016">
        <v>8.64</v>
      </c>
      <c r="E56" s="3016">
        <v>9.36</v>
      </c>
      <c r="F56" s="3016">
        <v>10.08</v>
      </c>
      <c r="G56" s="3016">
        <v>10.8</v>
      </c>
      <c r="H56" s="3016">
        <v>11.16</v>
      </c>
      <c r="I56" s="3016">
        <v>0</v>
      </c>
      <c r="J56" s="3016">
        <v>0</v>
      </c>
      <c r="L56" s="3016"/>
      <c r="M56" s="3017"/>
      <c r="N56" s="3016"/>
      <c r="O56" s="3016"/>
      <c r="P56" s="3016"/>
      <c r="Q56" s="3016"/>
      <c r="R56" s="3016"/>
      <c r="S56" s="3016"/>
      <c r="T56" s="3016"/>
      <c r="U56" s="3016"/>
      <c r="V56" s="3016"/>
      <c r="W56" s="3016"/>
      <c r="X56" s="3016"/>
      <c r="Y56" s="3016"/>
      <c r="Z56" s="3016"/>
    </row>
    <row r="57" spans="2:26">
      <c r="B57" s="3016"/>
      <c r="C57" s="3017">
        <v>32540</v>
      </c>
      <c r="D57" s="3016">
        <v>11.34</v>
      </c>
      <c r="E57" s="3016">
        <v>11.34</v>
      </c>
      <c r="F57" s="3016">
        <v>12.78</v>
      </c>
      <c r="G57" s="3016">
        <v>14.4</v>
      </c>
      <c r="H57" s="3016">
        <v>19.260000000000002</v>
      </c>
      <c r="I57" s="3016">
        <v>0</v>
      </c>
      <c r="J57" s="3016">
        <v>0</v>
      </c>
      <c r="L57" s="3016"/>
      <c r="M57" s="3017"/>
      <c r="N57" s="3016"/>
      <c r="O57" s="3016"/>
      <c r="P57" s="3016"/>
      <c r="Q57" s="3016"/>
      <c r="R57" s="3016"/>
      <c r="S57" s="3016"/>
      <c r="T57" s="3016"/>
      <c r="U57" s="3016"/>
      <c r="V57" s="3016"/>
      <c r="W57" s="3016"/>
      <c r="X57" s="3016"/>
      <c r="Y57" s="3016"/>
      <c r="Z57" s="3016"/>
    </row>
    <row r="58" spans="2:26">
      <c r="B58" s="3016"/>
      <c r="C58" s="3017"/>
      <c r="D58" s="3016"/>
      <c r="E58" s="3016"/>
      <c r="F58" s="3016"/>
      <c r="G58" s="3016"/>
      <c r="H58" s="3016"/>
      <c r="I58" s="3016"/>
      <c r="J58" s="3016"/>
    </row>
    <row r="59" spans="2:26">
      <c r="B59" s="3020"/>
      <c r="C59" s="3021"/>
      <c r="D59" s="3020"/>
      <c r="E59" s="3020"/>
      <c r="F59" s="3020"/>
      <c r="G59" s="3020"/>
      <c r="H59" s="3020"/>
      <c r="I59" s="3020"/>
      <c r="J59" s="3020"/>
    </row>
    <row r="60" spans="2:26">
      <c r="B60" s="3020"/>
      <c r="C60" s="3021"/>
      <c r="D60" s="3020"/>
      <c r="E60" s="3020"/>
      <c r="F60" s="3020"/>
      <c r="G60" s="3020"/>
      <c r="H60" s="3020"/>
      <c r="I60" s="3020"/>
      <c r="J60" s="3020"/>
    </row>
    <row r="61" spans="2:26">
      <c r="B61" s="3020"/>
      <c r="C61" s="3021"/>
      <c r="D61" s="3020"/>
      <c r="E61" s="3020"/>
      <c r="F61" s="3020"/>
      <c r="G61" s="3020"/>
      <c r="H61" s="3020"/>
      <c r="I61" s="3020"/>
      <c r="J61" s="3020"/>
    </row>
    <row r="62" spans="2:26">
      <c r="B62" s="2967"/>
      <c r="C62" s="2967"/>
      <c r="D62" s="2967"/>
      <c r="E62" s="2967"/>
      <c r="F62" s="2967"/>
      <c r="G62" s="2967"/>
      <c r="H62" s="2967"/>
      <c r="I62" s="2967"/>
      <c r="J62" s="2967"/>
    </row>
    <row r="63" spans="2:26">
      <c r="B63" s="2967"/>
      <c r="C63" s="2967"/>
      <c r="D63" s="2967"/>
      <c r="E63" s="2967"/>
      <c r="F63" s="2967"/>
      <c r="G63" s="2967"/>
      <c r="H63" s="2967"/>
      <c r="I63" s="2967"/>
      <c r="J63" s="296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7" workbookViewId="0">
      <selection activeCell="C11" sqref="C11:F13"/>
    </sheetView>
  </sheetViews>
  <sheetFormatPr defaultRowHeight="13.5"/>
  <cols>
    <col min="1" max="1" width="27.625" customWidth="1"/>
    <col min="8" max="8" width="13.125" customWidth="1"/>
    <col min="9" max="9" width="13" customWidth="1"/>
    <col min="12" max="12" width="10.5" customWidth="1"/>
    <col min="13" max="13" width="14.375" customWidth="1"/>
  </cols>
  <sheetData>
    <row r="1" spans="1:14" s="2965" customFormat="1">
      <c r="A1" s="2965" t="s">
        <v>2974</v>
      </c>
      <c r="B1" s="2965" t="s">
        <v>2975</v>
      </c>
      <c r="C1" s="2965" t="s">
        <v>2976</v>
      </c>
      <c r="D1" s="2965" t="s">
        <v>3080</v>
      </c>
      <c r="E1" s="2965" t="s">
        <v>3098</v>
      </c>
      <c r="F1" s="2965" t="s">
        <v>2977</v>
      </c>
      <c r="G1" s="2965" t="s">
        <v>2978</v>
      </c>
      <c r="H1" s="2965" t="s">
        <v>2033</v>
      </c>
      <c r="I1" s="2965" t="s">
        <v>2979</v>
      </c>
      <c r="J1" s="2965" t="s">
        <v>2980</v>
      </c>
      <c r="K1" s="2965" t="s">
        <v>2981</v>
      </c>
      <c r="L1" s="2965" t="s">
        <v>2982</v>
      </c>
      <c r="M1" s="2965" t="s">
        <v>2983</v>
      </c>
      <c r="N1" s="2965" t="s">
        <v>2984</v>
      </c>
    </row>
    <row r="2" spans="1:14" s="3174" customFormat="1">
      <c r="A2" s="3482" t="s">
        <v>3133</v>
      </c>
      <c r="B2" s="3174" t="s">
        <v>3088</v>
      </c>
      <c r="C2" s="3174" t="s">
        <v>2972</v>
      </c>
      <c r="D2" s="3174" t="s">
        <v>3099</v>
      </c>
      <c r="E2" s="3174" t="s">
        <v>3090</v>
      </c>
      <c r="F2" s="3174">
        <v>108220.7</v>
      </c>
      <c r="G2" s="3174">
        <v>270551.8</v>
      </c>
      <c r="H2" s="3174" t="s">
        <v>3100</v>
      </c>
      <c r="I2" s="3174" t="s">
        <v>3101</v>
      </c>
      <c r="J2" s="3174" t="s">
        <v>3102</v>
      </c>
      <c r="K2" s="3174">
        <v>112208</v>
      </c>
      <c r="L2" s="3174">
        <v>691.23</v>
      </c>
      <c r="M2" s="3174">
        <v>4147.38</v>
      </c>
      <c r="N2" s="3174">
        <v>45.52</v>
      </c>
    </row>
    <row r="3" spans="1:14" s="3174" customFormat="1">
      <c r="A3" s="3482" t="s">
        <v>3136</v>
      </c>
      <c r="B3" s="3174" t="s">
        <v>3088</v>
      </c>
      <c r="C3" s="3174" t="s">
        <v>2972</v>
      </c>
      <c r="D3" s="3174" t="s">
        <v>3089</v>
      </c>
      <c r="E3" s="3174" t="s">
        <v>3090</v>
      </c>
      <c r="F3" s="3174">
        <v>42186.86</v>
      </c>
      <c r="G3" s="3174">
        <v>92811.09</v>
      </c>
      <c r="H3" s="3174" t="s">
        <v>3091</v>
      </c>
      <c r="I3" s="3174" t="s">
        <v>3094</v>
      </c>
      <c r="J3" s="3174" t="s">
        <v>3093</v>
      </c>
      <c r="K3" s="3174">
        <v>41041</v>
      </c>
      <c r="L3" s="3174">
        <v>648.55999999999995</v>
      </c>
      <c r="M3" s="3174">
        <v>4421.9799999999996</v>
      </c>
      <c r="N3" s="3174">
        <v>150.38999999999999</v>
      </c>
    </row>
    <row r="4" spans="1:14" s="3174" customFormat="1">
      <c r="A4" s="3482" t="s">
        <v>3140</v>
      </c>
      <c r="B4" s="3174" t="s">
        <v>3088</v>
      </c>
      <c r="C4" s="3174" t="s">
        <v>2973</v>
      </c>
      <c r="D4" s="3174" t="s">
        <v>3089</v>
      </c>
      <c r="E4" s="3174" t="s">
        <v>3090</v>
      </c>
      <c r="F4" s="3174">
        <v>48017.08</v>
      </c>
      <c r="G4" s="3174">
        <v>144051.20000000001</v>
      </c>
      <c r="H4" s="3174" t="s">
        <v>3095</v>
      </c>
      <c r="I4" s="3174" t="s">
        <v>3096</v>
      </c>
      <c r="J4" s="3174" t="s">
        <v>3097</v>
      </c>
      <c r="K4" s="3174">
        <v>57764</v>
      </c>
      <c r="L4" s="3174">
        <v>801.99</v>
      </c>
      <c r="M4" s="3174">
        <v>4009.96</v>
      </c>
      <c r="N4" s="3174">
        <v>124.03</v>
      </c>
    </row>
    <row r="5" spans="1:14" s="3162" customFormat="1">
      <c r="A5" s="3184" t="s">
        <v>3103</v>
      </c>
      <c r="B5" s="3162" t="s">
        <v>3088</v>
      </c>
      <c r="C5" s="3162" t="s">
        <v>2973</v>
      </c>
      <c r="D5" s="3162" t="s">
        <v>3089</v>
      </c>
      <c r="E5" s="3162" t="s">
        <v>3090</v>
      </c>
      <c r="F5" s="3162">
        <v>105421.1</v>
      </c>
      <c r="G5" s="3162">
        <v>231928.6</v>
      </c>
      <c r="H5" s="3162" t="s">
        <v>3091</v>
      </c>
      <c r="I5" s="3162" t="s">
        <v>3092</v>
      </c>
      <c r="J5" s="3162" t="s">
        <v>3093</v>
      </c>
      <c r="K5" s="3162">
        <v>89555</v>
      </c>
      <c r="L5" s="3162">
        <v>566.33000000000004</v>
      </c>
      <c r="M5" s="3162">
        <v>3861.32</v>
      </c>
      <c r="N5" s="3162">
        <v>119.69</v>
      </c>
    </row>
    <row r="9" spans="1:14" ht="14.25" thickBot="1"/>
    <row r="10" spans="1:14" ht="14.25" thickBot="1">
      <c r="B10" s="3483" t="s">
        <v>3142</v>
      </c>
      <c r="C10" s="3484" t="s">
        <v>3143</v>
      </c>
      <c r="D10" s="3484" t="s">
        <v>3144</v>
      </c>
      <c r="E10" s="3484" t="s">
        <v>3145</v>
      </c>
      <c r="F10" s="3484" t="s">
        <v>3146</v>
      </c>
    </row>
    <row r="11" spans="1:14" ht="14.25" thickBot="1">
      <c r="B11" s="3485">
        <v>2015</v>
      </c>
      <c r="C11" s="3492">
        <f>D20</f>
        <v>0.56000000000000005</v>
      </c>
      <c r="D11" s="3492">
        <f>D21</f>
        <v>0.83</v>
      </c>
      <c r="E11" s="3492">
        <f>D22</f>
        <v>0.55000000000000004</v>
      </c>
      <c r="F11" s="3492">
        <f>D23</f>
        <v>0.47</v>
      </c>
    </row>
    <row r="12" spans="1:14" ht="14.25" thickBot="1">
      <c r="B12" s="3485">
        <v>2016</v>
      </c>
      <c r="C12" s="3492">
        <f>D24</f>
        <v>0.74</v>
      </c>
      <c r="D12" s="3492">
        <f>D25</f>
        <v>0.73</v>
      </c>
      <c r="E12" s="3492">
        <f>D26</f>
        <v>0.44</v>
      </c>
      <c r="F12" s="3492">
        <f>D27</f>
        <v>1.28</v>
      </c>
    </row>
    <row r="13" spans="1:14" ht="14.25" thickBot="1">
      <c r="B13" s="3485">
        <v>2017</v>
      </c>
      <c r="C13" s="3492">
        <f>D28</f>
        <v>1.79</v>
      </c>
      <c r="D13" s="3492">
        <f>D29</f>
        <v>0.94</v>
      </c>
      <c r="E13" s="3492">
        <f>D30</f>
        <v>0.67</v>
      </c>
      <c r="F13" s="3493" t="s">
        <v>951</v>
      </c>
    </row>
    <row r="17" spans="2:9">
      <c r="H17">
        <v>33</v>
      </c>
    </row>
    <row r="18" spans="2:9">
      <c r="H18">
        <v>33</v>
      </c>
    </row>
    <row r="19" spans="2:9" ht="15" thickBot="1">
      <c r="B19" s="3486" t="s">
        <v>3147</v>
      </c>
      <c r="C19" s="3487" t="s">
        <v>3148</v>
      </c>
      <c r="D19" s="3487" t="s">
        <v>3149</v>
      </c>
      <c r="E19" s="3487" t="s">
        <v>3150</v>
      </c>
      <c r="H19">
        <v>33</v>
      </c>
    </row>
    <row r="20" spans="2:9" ht="14.25">
      <c r="B20" s="3488">
        <v>2015.1</v>
      </c>
      <c r="C20" s="3489">
        <v>3984</v>
      </c>
      <c r="D20" s="3489">
        <v>0.56000000000000005</v>
      </c>
      <c r="E20" s="3489"/>
      <c r="H20">
        <v>34</v>
      </c>
    </row>
    <row r="21" spans="2:9" ht="14.25">
      <c r="B21" s="3490">
        <v>2015.2</v>
      </c>
      <c r="C21" s="3491">
        <v>4017</v>
      </c>
      <c r="D21" s="3491">
        <v>0.83</v>
      </c>
      <c r="E21" s="3491"/>
      <c r="H21">
        <v>24</v>
      </c>
    </row>
    <row r="22" spans="2:9" ht="14.25">
      <c r="B22" s="3488">
        <v>2015.3</v>
      </c>
      <c r="C22" s="3489">
        <v>4039</v>
      </c>
      <c r="D22" s="3489">
        <v>0.55000000000000004</v>
      </c>
      <c r="E22" s="3489"/>
      <c r="H22">
        <f>SUM(H17:H21)</f>
        <v>157</v>
      </c>
      <c r="I22">
        <v>159</v>
      </c>
    </row>
    <row r="23" spans="2:9" ht="14.25">
      <c r="B23" s="3490">
        <v>2015.4</v>
      </c>
      <c r="C23" s="3491">
        <v>4058</v>
      </c>
      <c r="D23" s="3491">
        <v>0.47</v>
      </c>
      <c r="E23" s="3491"/>
    </row>
    <row r="24" spans="2:9" ht="14.25">
      <c r="B24" s="3488">
        <v>2016.1</v>
      </c>
      <c r="C24" s="3489">
        <v>4088</v>
      </c>
      <c r="D24" s="3489">
        <v>0.74</v>
      </c>
    </row>
    <row r="25" spans="2:9" ht="14.25">
      <c r="B25" s="3488">
        <v>2016.2</v>
      </c>
      <c r="C25" s="3489">
        <v>4118</v>
      </c>
      <c r="D25" s="3489">
        <v>0.73</v>
      </c>
      <c r="E25" s="3489"/>
    </row>
    <row r="26" spans="2:9" ht="14.25">
      <c r="B26" s="3490">
        <v>2016.3</v>
      </c>
      <c r="C26" s="3491">
        <v>4136</v>
      </c>
      <c r="D26" s="3491">
        <v>0.44</v>
      </c>
      <c r="E26" s="3491"/>
    </row>
    <row r="27" spans="2:9" ht="14.25">
      <c r="B27" s="3488">
        <v>2016.4</v>
      </c>
      <c r="C27" s="3489">
        <v>4189</v>
      </c>
      <c r="D27" s="3489">
        <v>1.28</v>
      </c>
    </row>
    <row r="28" spans="2:9" ht="14.25">
      <c r="B28" s="3490">
        <v>2017.1</v>
      </c>
      <c r="C28" s="3491">
        <v>4264</v>
      </c>
      <c r="D28" s="3491">
        <v>1.79</v>
      </c>
      <c r="E28" s="3491"/>
    </row>
    <row r="29" spans="2:9" ht="14.25">
      <c r="B29" s="3488">
        <v>2017.2</v>
      </c>
      <c r="C29" s="3489">
        <v>4304</v>
      </c>
      <c r="D29" s="3489">
        <v>0.94</v>
      </c>
      <c r="E29" s="3489"/>
    </row>
    <row r="30" spans="2:9" ht="14.25">
      <c r="B30" s="3490">
        <v>2017.3</v>
      </c>
      <c r="C30" s="3491">
        <v>4371</v>
      </c>
      <c r="D30" s="3491">
        <v>0.67</v>
      </c>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1" t="s">
        <v>2039</v>
      </c>
      <c r="B1" s="3191"/>
      <c r="C1" s="3191"/>
      <c r="D1" s="3191"/>
      <c r="E1" s="3191"/>
      <c r="F1" s="3191"/>
      <c r="G1" s="3191"/>
      <c r="H1" s="3191"/>
      <c r="I1" s="3191"/>
      <c r="J1" s="3191"/>
      <c r="K1" s="3191"/>
      <c r="L1" s="3191"/>
      <c r="M1" s="3191"/>
      <c r="N1" s="3191"/>
      <c r="O1" s="3191"/>
      <c r="P1" s="3191"/>
      <c r="Q1" s="3191"/>
      <c r="R1" s="3191"/>
    </row>
    <row r="2" spans="1:18">
      <c r="A2" s="1807" t="s">
        <v>2041</v>
      </c>
      <c r="B2" s="1807"/>
      <c r="C2" s="1807"/>
      <c r="D2" s="1807"/>
      <c r="E2" s="1807"/>
      <c r="F2" s="1807"/>
      <c r="G2" s="1807"/>
      <c r="H2" s="1807"/>
      <c r="I2" s="1808"/>
      <c r="J2" s="1808"/>
      <c r="K2" s="1809" t="str">
        <f>"估价期日："&amp;TEXT(项目基本情况!D3,"yyyy年m月d日;;")</f>
        <v>估价期日：2017年12月14日</v>
      </c>
      <c r="L2" s="1807"/>
      <c r="M2" s="1807"/>
      <c r="N2" s="1807"/>
      <c r="O2" s="1807"/>
      <c r="P2" s="1807"/>
      <c r="Q2" s="1807"/>
      <c r="R2" s="1809" t="str">
        <f>"估价期日的国有建设用地使用权性质："&amp;项目基本情况!B16</f>
        <v>估价期日的国有建设用地使用权性质：出让</v>
      </c>
    </row>
    <row r="3" spans="1:18" ht="23.25" customHeight="1">
      <c r="A3" s="3192" t="s">
        <v>2030</v>
      </c>
      <c r="B3" s="3192" t="s">
        <v>2736</v>
      </c>
      <c r="C3" s="3193" t="s">
        <v>2031</v>
      </c>
      <c r="D3" s="3192" t="s">
        <v>2740</v>
      </c>
      <c r="E3" s="3195" t="s">
        <v>2032</v>
      </c>
      <c r="F3" s="3195"/>
      <c r="G3" s="3195"/>
      <c r="H3" s="3195" t="s">
        <v>2033</v>
      </c>
      <c r="I3" s="3195"/>
      <c r="J3" s="3195"/>
      <c r="K3" s="3193" t="s">
        <v>2034</v>
      </c>
      <c r="L3" s="3193" t="s">
        <v>2035</v>
      </c>
      <c r="M3" s="3192" t="s">
        <v>2737</v>
      </c>
      <c r="N3" s="3194" t="str">
        <f>"（分摊）"&amp;项目基本情况!B16&amp;"国有建设用地使用权面积/㎡"</f>
        <v>（分摊）出让国有建设用地使用权面积/㎡</v>
      </c>
      <c r="O3" s="3192" t="s">
        <v>2064</v>
      </c>
      <c r="P3" s="3193" t="s">
        <v>2044</v>
      </c>
      <c r="Q3" s="3193" t="s">
        <v>2065</v>
      </c>
      <c r="R3" s="3193" t="s">
        <v>2036</v>
      </c>
    </row>
    <row r="4" spans="1:18" ht="36.75" customHeight="1">
      <c r="A4" s="3192"/>
      <c r="B4" s="3192"/>
      <c r="C4" s="3193"/>
      <c r="D4" s="3192"/>
      <c r="E4" s="2674" t="s">
        <v>2043</v>
      </c>
      <c r="F4" s="2674" t="s">
        <v>2749</v>
      </c>
      <c r="G4" s="2674" t="s">
        <v>2037</v>
      </c>
      <c r="H4" s="2674" t="s">
        <v>2038</v>
      </c>
      <c r="I4" s="2674" t="s">
        <v>2750</v>
      </c>
      <c r="J4" s="2674" t="s">
        <v>2037</v>
      </c>
      <c r="K4" s="3193"/>
      <c r="L4" s="3193"/>
      <c r="M4" s="3192"/>
      <c r="N4" s="3194"/>
      <c r="O4" s="3192"/>
      <c r="P4" s="3193"/>
      <c r="Q4" s="3193"/>
      <c r="R4" s="3193"/>
    </row>
    <row r="5" spans="1:18" ht="135" customHeight="1">
      <c r="A5" s="1943" t="s">
        <v>2660</v>
      </c>
      <c r="B5" s="2893" t="s">
        <v>2658</v>
      </c>
      <c r="C5" s="2673">
        <v>22</v>
      </c>
      <c r="D5" s="2672" t="s">
        <v>2659</v>
      </c>
      <c r="E5" s="1810">
        <f>项目基本情况!B12</f>
        <v>0</v>
      </c>
      <c r="F5" s="2672">
        <v>258</v>
      </c>
      <c r="G5" s="1810">
        <f>项目基本情况!B13</f>
        <v>0</v>
      </c>
      <c r="H5" s="2672">
        <v>1.5</v>
      </c>
      <c r="I5" s="2672">
        <v>1.5</v>
      </c>
      <c r="J5" s="2672">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105421.08</v>
      </c>
      <c r="O5" s="1810">
        <f>项目基本情况!C21</f>
        <v>231926.37</v>
      </c>
      <c r="P5" s="1810">
        <f ca="1">结果表!E42</f>
        <v>8787</v>
      </c>
      <c r="Q5" s="1810">
        <f ca="1">结果表!D42</f>
        <v>3994</v>
      </c>
      <c r="R5" s="1811">
        <f ca="1">结果表!C42</f>
        <v>92631</v>
      </c>
    </row>
    <row r="6" spans="1:18">
      <c r="A6" s="3188" t="str">
        <f>IF(项目基本情况!B9="市场价格","——","抵押价格")</f>
        <v>——</v>
      </c>
      <c r="B6" s="3189"/>
      <c r="C6" s="3189"/>
      <c r="D6" s="3189"/>
      <c r="E6" s="3189"/>
      <c r="F6" s="3189"/>
      <c r="G6" s="3189"/>
      <c r="H6" s="3189"/>
      <c r="I6" s="3189"/>
      <c r="J6" s="3189"/>
      <c r="K6" s="3189"/>
      <c r="L6" s="3189"/>
      <c r="M6" s="3189"/>
      <c r="N6" s="3189"/>
      <c r="O6" s="3189"/>
      <c r="P6" s="3189"/>
      <c r="Q6" s="3190"/>
      <c r="R6" s="1812">
        <f ca="1">结果表!O39</f>
        <v>92631</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12" t="str">
        <f>结果表!O40</f>
        <v>——</v>
      </c>
    </row>
    <row r="8" spans="1:18">
      <c r="A8" s="3188" t="str">
        <f>IF(项目基本情况!B9="市场价格","——",项目基本情况!E9)</f>
        <v>——</v>
      </c>
      <c r="B8" s="3189"/>
      <c r="C8" s="3189"/>
      <c r="D8" s="3189"/>
      <c r="E8" s="3189"/>
      <c r="F8" s="3189"/>
      <c r="G8" s="3189"/>
      <c r="H8" s="3189"/>
      <c r="I8" s="3189"/>
      <c r="J8" s="3189"/>
      <c r="K8" s="3189"/>
      <c r="L8" s="3189"/>
      <c r="M8" s="3189"/>
      <c r="N8" s="3189"/>
      <c r="O8" s="3189"/>
      <c r="P8" s="3189"/>
      <c r="Q8" s="3190"/>
      <c r="R8" s="1812" t="str">
        <f>结果表!O41</f>
        <v>——</v>
      </c>
    </row>
    <row r="9" spans="1:18">
      <c r="A9" s="1813" t="s">
        <v>2042</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2029</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196" t="s">
        <v>2066</v>
      </c>
      <c r="B1" s="3196"/>
      <c r="C1" s="3196"/>
      <c r="D1" s="3196"/>
    </row>
    <row r="2" spans="1:4" ht="47.25" customHeight="1">
      <c r="A2" s="3200" t="str">
        <f>"1.权利限制："&amp;项目基本情况!L24&amp;"未设定租赁等其他他项权利。"</f>
        <v>1.权利限制：根据估价对象《不动产权证书》——、《国有土地使用权》——，截至估价期日，估价对象抵押权未见登记。未设定租赁等其他他项权利。</v>
      </c>
      <c r="B2" s="3200"/>
      <c r="C2" s="3200"/>
      <c r="D2" s="3200"/>
    </row>
    <row r="3" spans="1:4" ht="48" customHeight="1">
      <c r="A3" s="319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6"/>
      <c r="C3" s="3196"/>
      <c r="D3" s="3196"/>
    </row>
    <row r="4" spans="1:4" ht="36.75" customHeight="1">
      <c r="A4" s="3196" t="str">
        <f>"3.估价规划限制条件：详见"&amp;项目基本情况!E21&amp;"。"</f>
        <v>3.估价规划限制条件：详见《建设工程规划许可证》[]、《出让合同》[]。</v>
      </c>
      <c r="B4" s="3196"/>
      <c r="C4" s="3196"/>
      <c r="D4" s="3196"/>
    </row>
    <row r="5" spans="1:4">
      <c r="A5" s="3199" t="s">
        <v>2067</v>
      </c>
      <c r="B5" s="3199"/>
      <c r="C5" s="3199"/>
      <c r="D5" s="3199"/>
    </row>
    <row r="6" spans="1:4">
      <c r="A6" s="3196" t="s">
        <v>2045</v>
      </c>
      <c r="B6" s="3196"/>
      <c r="C6" s="3196"/>
      <c r="D6" s="3196"/>
    </row>
    <row r="7" spans="1:4" ht="33" customHeight="1">
      <c r="A7" s="3196" t="s">
        <v>2578</v>
      </c>
      <c r="B7" s="3196"/>
      <c r="C7" s="3196"/>
      <c r="D7" s="3196"/>
    </row>
    <row r="8" spans="1:4" ht="32.25" customHeight="1">
      <c r="A8" s="319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6"/>
      <c r="C8" s="3196"/>
      <c r="D8" s="3196"/>
    </row>
    <row r="9" spans="1:4" ht="33.75" customHeight="1">
      <c r="A9" s="319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6"/>
      <c r="C9" s="3196"/>
      <c r="D9" s="3196"/>
    </row>
    <row r="10" spans="1:4">
      <c r="A10" s="3196" t="str">
        <f>IF(项目基本情况!B8="抵押","4.估价师所知悉的法定优先受偿款情况为：","——")</f>
        <v>4.估价师所知悉的法定优先受偿款情况为：</v>
      </c>
      <c r="B10" s="3196"/>
      <c r="C10" s="3196"/>
      <c r="D10" s="3196"/>
    </row>
    <row r="11" spans="1:4" ht="37.5" customHeight="1">
      <c r="A11" s="3198" t="str">
        <f>IF(项目基本情况!B8="抵押","（1）"&amp;CONCATENATE(项目基本情况!L24,项目基本情况!L25,项目基本情况!L26),"——")</f>
        <v>（1）根据估价对象《不动产权证书》——、《国有土地使用权》——，截至估价期日，估价对象抵押权未见登记。</v>
      </c>
      <c r="B11" s="3198"/>
      <c r="C11" s="3198"/>
      <c r="D11" s="3198"/>
    </row>
    <row r="12" spans="1:4" ht="168" customHeight="1">
      <c r="A12" s="3199" t="s">
        <v>2069</v>
      </c>
      <c r="B12" s="3199"/>
      <c r="C12" s="3199"/>
      <c r="D12" s="3199"/>
    </row>
    <row r="13" spans="1:4">
      <c r="A13" s="3197" t="s">
        <v>2751</v>
      </c>
      <c r="B13" s="3197"/>
      <c r="C13" s="3197"/>
      <c r="D13" s="3197"/>
    </row>
    <row r="14" spans="1:4">
      <c r="A14" s="3198" t="str">
        <f>IF(项目基本情况!B8="抵押","综上，"&amp;结果表!K47,"——")</f>
        <v>综上，本次评估不存在估价师知悉的法定优先受偿款</v>
      </c>
      <c r="B14" s="3198"/>
      <c r="C14" s="3198"/>
      <c r="D14" s="3198"/>
    </row>
    <row r="15" spans="1:4" ht="58.5" customHeight="1">
      <c r="A15" s="3196"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6"/>
      <c r="C15" s="3196"/>
      <c r="D15" s="3196"/>
    </row>
    <row r="16" spans="1:4" ht="70.5" customHeight="1">
      <c r="A16" s="3196"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6"/>
      <c r="C16" s="3196"/>
      <c r="D16" s="3196"/>
    </row>
    <row r="17" spans="1:4">
      <c r="A17" s="3196" t="s">
        <v>2707</v>
      </c>
      <c r="B17" s="3196"/>
      <c r="C17" s="3196"/>
      <c r="D17" s="3196"/>
    </row>
    <row r="18" spans="1:4">
      <c r="A18" s="3196" t="s">
        <v>2699</v>
      </c>
      <c r="B18" s="3196"/>
      <c r="C18" s="3196"/>
      <c r="D18" s="3196"/>
    </row>
    <row r="19" spans="1:4">
      <c r="A19" s="2894" t="s">
        <v>2700</v>
      </c>
      <c r="B19" s="2894" t="s">
        <v>2701</v>
      </c>
      <c r="C19" s="2894" t="s">
        <v>2702</v>
      </c>
      <c r="D19" s="2894" t="s">
        <v>2703</v>
      </c>
    </row>
    <row r="20" spans="1:4">
      <c r="A20" s="2894" t="str">
        <f>项目基本情况!B4</f>
        <v>欧红伟</v>
      </c>
      <c r="B20" s="2894">
        <f ca="1">项目基本情况!C4</f>
        <v>2000110082</v>
      </c>
      <c r="C20" s="2896"/>
      <c r="D20" s="1800" t="s">
        <v>2708</v>
      </c>
    </row>
    <row r="21" spans="1:4">
      <c r="A21" s="2894" t="str">
        <f>项目基本情况!D4</f>
        <v>梁津</v>
      </c>
      <c r="B21" s="2894">
        <f ca="1">项目基本情况!E4</f>
        <v>96010014</v>
      </c>
      <c r="C21" s="2896"/>
      <c r="D21" s="1800" t="s">
        <v>2709</v>
      </c>
    </row>
    <row r="23" spans="1:4">
      <c r="A23" s="3196" t="s">
        <v>2704</v>
      </c>
      <c r="B23" s="3196"/>
      <c r="C23" s="3196"/>
      <c r="D23" s="3196"/>
    </row>
    <row r="24" spans="1:4">
      <c r="A24" s="2894" t="s">
        <v>2700</v>
      </c>
      <c r="B24" s="2894" t="s">
        <v>2705</v>
      </c>
      <c r="C24" s="2894" t="s">
        <v>2702</v>
      </c>
      <c r="D24" s="2894" t="s">
        <v>2703</v>
      </c>
    </row>
    <row r="25" spans="1:4">
      <c r="A25" s="2897" t="s">
        <v>2706</v>
      </c>
      <c r="B25" s="2894" t="s">
        <v>951</v>
      </c>
      <c r="C25" s="2896"/>
      <c r="D25" s="1800" t="s">
        <v>2709</v>
      </c>
    </row>
    <row r="29" spans="1:4">
      <c r="D29" s="2895" t="s">
        <v>2040</v>
      </c>
    </row>
    <row r="30" spans="1:4">
      <c r="D30" s="289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08" t="s">
        <v>53</v>
      </c>
      <c r="B15" s="3209" t="s">
        <v>845</v>
      </c>
      <c r="C15" s="3205"/>
    </row>
    <row r="16" spans="1:7" ht="14.25">
      <c r="A16" s="3208"/>
      <c r="B16" s="3206" t="s">
        <v>54</v>
      </c>
      <c r="C16" s="1171" t="s">
        <v>53</v>
      </c>
    </row>
    <row r="17" spans="1:3" ht="14.25">
      <c r="A17" s="3208"/>
      <c r="B17" s="3206"/>
      <c r="C17" s="1171" t="s">
        <v>55</v>
      </c>
    </row>
    <row r="18" spans="1:3" ht="14.25">
      <c r="A18" s="3208"/>
      <c r="B18" s="3206"/>
      <c r="C18" s="1171" t="s">
        <v>56</v>
      </c>
    </row>
    <row r="19" spans="1:3" ht="14.25">
      <c r="A19" s="3208"/>
      <c r="B19" s="3204" t="s">
        <v>57</v>
      </c>
      <c r="C19" s="3205"/>
    </row>
    <row r="20" spans="1:3" ht="14.25">
      <c r="A20" s="1172" t="s">
        <v>58</v>
      </c>
      <c r="B20" s="1173"/>
      <c r="C20" s="1174"/>
    </row>
    <row r="21" spans="1:3" ht="14.25">
      <c r="A21" s="3207" t="s">
        <v>59</v>
      </c>
      <c r="B21" s="3204" t="s">
        <v>60</v>
      </c>
      <c r="C21" s="3205"/>
    </row>
    <row r="22" spans="1:3" ht="14.25">
      <c r="A22" s="3207"/>
      <c r="B22" s="3204" t="s">
        <v>61</v>
      </c>
      <c r="C22" s="3205"/>
    </row>
    <row r="23" spans="1:3" ht="14.25">
      <c r="A23" s="3207"/>
      <c r="B23" s="3204" t="s">
        <v>62</v>
      </c>
      <c r="C23" s="3205"/>
    </row>
    <row r="24" spans="1:3" ht="14.25">
      <c r="A24" s="3207"/>
      <c r="B24" s="3210" t="s">
        <v>63</v>
      </c>
      <c r="C24" s="1175" t="s">
        <v>836</v>
      </c>
    </row>
    <row r="25" spans="1:3" ht="14.25">
      <c r="A25" s="3207"/>
      <c r="B25" s="3211"/>
      <c r="C25" s="1175" t="s">
        <v>837</v>
      </c>
    </row>
    <row r="26" spans="1:3" ht="14.25">
      <c r="A26" s="3207"/>
      <c r="B26" s="3211"/>
      <c r="C26" s="1175" t="s">
        <v>838</v>
      </c>
    </row>
    <row r="27" spans="1:3" ht="14.25">
      <c r="A27" s="3207"/>
      <c r="B27" s="3211"/>
      <c r="C27" s="1175" t="s">
        <v>839</v>
      </c>
    </row>
    <row r="28" spans="1:3" ht="14.25">
      <c r="A28" s="3207"/>
      <c r="B28" s="3211"/>
      <c r="C28" s="1175" t="s">
        <v>840</v>
      </c>
    </row>
    <row r="29" spans="1:3" ht="14.25">
      <c r="A29" s="3207"/>
      <c r="B29" s="3211"/>
      <c r="C29" s="1175" t="s">
        <v>841</v>
      </c>
    </row>
    <row r="30" spans="1:3" ht="14.25">
      <c r="A30" s="3207"/>
      <c r="B30" s="3211"/>
      <c r="C30" s="1175" t="s">
        <v>842</v>
      </c>
    </row>
    <row r="31" spans="1:3" ht="14.25">
      <c r="A31" s="3207"/>
      <c r="B31" s="3211"/>
      <c r="C31" s="1175" t="s">
        <v>843</v>
      </c>
    </row>
    <row r="32" spans="1:3" ht="14.25">
      <c r="A32" s="3207"/>
      <c r="B32" s="3211"/>
      <c r="C32" s="1175" t="s">
        <v>1646</v>
      </c>
    </row>
    <row r="33" spans="1:3" ht="14.25">
      <c r="A33" s="3207"/>
      <c r="B33" s="3201" t="s">
        <v>1652</v>
      </c>
      <c r="C33" s="1175" t="s">
        <v>1647</v>
      </c>
    </row>
    <row r="34" spans="1:3" ht="14.25">
      <c r="A34" s="3207"/>
      <c r="B34" s="3202"/>
      <c r="C34" s="1180" t="s">
        <v>1648</v>
      </c>
    </row>
    <row r="35" spans="1:3" ht="14.25">
      <c r="A35" s="3207"/>
      <c r="B35" s="3202"/>
      <c r="C35" s="1181" t="s">
        <v>1649</v>
      </c>
    </row>
    <row r="36" spans="1:3" ht="14.25">
      <c r="A36" s="3207"/>
      <c r="B36" s="3202"/>
      <c r="C36" s="1181" t="s">
        <v>1650</v>
      </c>
    </row>
    <row r="37" spans="1:3" ht="14.25">
      <c r="A37" s="3207"/>
      <c r="B37" s="3203"/>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43082</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32">
        <v>43849</v>
      </c>
      <c r="D4" s="2343" t="s">
        <v>1914</v>
      </c>
      <c r="E4" s="2343">
        <f ca="1">IF(F4&lt;B2,"已过期",96010014)</f>
        <v>96010014</v>
      </c>
      <c r="F4" s="3033">
        <v>47118</v>
      </c>
    </row>
    <row r="5" spans="1:6" ht="20.25" customHeight="1">
      <c r="A5" s="2343" t="s">
        <v>1915</v>
      </c>
      <c r="B5" s="2343">
        <f ca="1">IF(C5&lt;B2,"已过期",1119970074)</f>
        <v>1119970074</v>
      </c>
      <c r="C5" s="3032">
        <v>43849</v>
      </c>
      <c r="D5" s="2343" t="s">
        <v>1915</v>
      </c>
      <c r="E5" s="2343">
        <f ca="1">IF(F5&lt;B2,"已过期",2002110027)</f>
        <v>2002110027</v>
      </c>
      <c r="F5" s="3033">
        <v>46752</v>
      </c>
    </row>
    <row r="6" spans="1:6" ht="20.25" customHeight="1">
      <c r="A6" s="2343" t="s">
        <v>1916</v>
      </c>
      <c r="B6" s="2343">
        <f ca="1">IF(C6&lt;B2,"已过期",1119970111)</f>
        <v>1119970111</v>
      </c>
      <c r="C6" s="3032">
        <v>43849</v>
      </c>
      <c r="D6" s="2343" t="s">
        <v>1916</v>
      </c>
      <c r="E6" s="2343">
        <f ca="1">IF(F6&lt;B2,"已过期",94010078)</f>
        <v>94010078</v>
      </c>
      <c r="F6" s="3033">
        <v>46387</v>
      </c>
    </row>
    <row r="7" spans="1:6" ht="20.25" customHeight="1">
      <c r="A7" s="2343" t="s">
        <v>1917</v>
      </c>
      <c r="B7" s="2343">
        <f ca="1">IF(C7&lt;B2,"已过期",1120050019)</f>
        <v>1120050019</v>
      </c>
      <c r="C7" s="3032">
        <v>43359</v>
      </c>
      <c r="D7" s="2343" t="s">
        <v>1917</v>
      </c>
      <c r="E7" s="2343">
        <f ca="1">IF(F7&lt;B2,"已过期",2002110030)</f>
        <v>2002110030</v>
      </c>
      <c r="F7" s="3033">
        <v>46387</v>
      </c>
    </row>
    <row r="8" spans="1:6" ht="20.25" customHeight="1">
      <c r="A8" s="2343" t="s">
        <v>1918</v>
      </c>
      <c r="B8" s="2343">
        <f ca="1">IF(C8&lt;B2,"已过期",1120000080)</f>
        <v>1120000080</v>
      </c>
      <c r="C8" s="3032">
        <v>43849</v>
      </c>
      <c r="D8" s="2343" t="s">
        <v>1918</v>
      </c>
      <c r="E8" s="2343">
        <f ca="1">IF(F8&lt;B2,"已过期",2000110082)</f>
        <v>2000110082</v>
      </c>
      <c r="F8" s="3033">
        <v>46387</v>
      </c>
    </row>
    <row r="9" spans="1:6" ht="20.25" customHeight="1">
      <c r="A9" s="2343" t="s">
        <v>1919</v>
      </c>
      <c r="B9" s="2343">
        <f ca="1">IF(C9&lt;B2,"已过期",1419970001)</f>
        <v>1419970001</v>
      </c>
      <c r="C9" s="3032">
        <v>43867</v>
      </c>
      <c r="D9" s="2343" t="s">
        <v>1919</v>
      </c>
      <c r="E9" s="2343">
        <f ca="1">IF(F9&lt;B2,"已过期",2002110125)</f>
        <v>2002110125</v>
      </c>
      <c r="F9" s="3033">
        <v>47118</v>
      </c>
    </row>
    <row r="10" spans="1:6" ht="20.25" customHeight="1">
      <c r="A10" s="2343" t="s">
        <v>1920</v>
      </c>
      <c r="B10" s="2343">
        <f ca="1">IF(C10&lt;B2,"已过期",1120060040)</f>
        <v>1120060040</v>
      </c>
      <c r="C10" s="3032">
        <v>43483</v>
      </c>
      <c r="D10" s="2343" t="s">
        <v>1920</v>
      </c>
      <c r="E10" s="2343">
        <f ca="1">IF(F10&lt;B2,"已过期",2004110096)</f>
        <v>2004110096</v>
      </c>
      <c r="F10" s="3033">
        <v>47118</v>
      </c>
    </row>
    <row r="11" spans="1:6" ht="20.25" customHeight="1">
      <c r="A11" s="2343" t="s">
        <v>1921</v>
      </c>
      <c r="B11" s="2343">
        <f ca="1">IF(C11&lt;B2,"已过期",1120100036)</f>
        <v>1120100036</v>
      </c>
      <c r="C11" s="3032">
        <v>43622</v>
      </c>
      <c r="D11" s="2343" t="s">
        <v>1921</v>
      </c>
      <c r="E11" s="2343">
        <f ca="1">IF(F11&lt;B2,"已过期",2010110070)</f>
        <v>2010110070</v>
      </c>
      <c r="F11" s="3033">
        <v>47907</v>
      </c>
    </row>
    <row r="12" spans="1:6" ht="20.25" customHeight="1">
      <c r="A12" s="2343"/>
      <c r="B12" s="2343"/>
      <c r="C12" s="3032"/>
      <c r="D12" s="2343"/>
      <c r="E12" s="2343"/>
      <c r="F12" s="2343"/>
    </row>
    <row r="13" spans="1:6" ht="20.25" customHeight="1">
      <c r="A13" s="2343" t="s">
        <v>1922</v>
      </c>
      <c r="B13" s="2343">
        <f ca="1">IF(C13&lt;B2,"已过期",1120070131)</f>
        <v>1120070131</v>
      </c>
      <c r="C13" s="3032">
        <v>43814</v>
      </c>
      <c r="D13" s="2343" t="s">
        <v>1922</v>
      </c>
      <c r="E13" s="2343">
        <v>2014110011</v>
      </c>
      <c r="F13" s="3033">
        <v>49302</v>
      </c>
    </row>
    <row r="14" spans="1:6" ht="20.25" customHeight="1">
      <c r="A14" s="2343" t="s">
        <v>1923</v>
      </c>
      <c r="B14" s="2343">
        <f ca="1">IF(C14&lt;B2,"已过期",1120130020)</f>
        <v>1120130020</v>
      </c>
      <c r="C14" s="3032">
        <v>43622</v>
      </c>
      <c r="D14" s="2343"/>
      <c r="E14" s="2343"/>
      <c r="F14" s="2343"/>
    </row>
    <row r="15" spans="1:6" ht="20.25" customHeight="1">
      <c r="A15" s="2343" t="s">
        <v>2577</v>
      </c>
      <c r="B15" s="2343">
        <v>1120070085</v>
      </c>
      <c r="C15" s="3032">
        <v>43814</v>
      </c>
      <c r="D15" s="2343" t="s">
        <v>2577</v>
      </c>
      <c r="E15" s="2343">
        <v>2004110128</v>
      </c>
      <c r="F15" s="3033">
        <v>47118</v>
      </c>
    </row>
    <row r="16" spans="1:6" ht="20.25" customHeight="1">
      <c r="A16" s="2343" t="s">
        <v>1924</v>
      </c>
      <c r="B16" s="2343">
        <f ca="1">IF(C16&lt;B2,"已过期",1120140022)</f>
        <v>1120140022</v>
      </c>
      <c r="C16" s="3032">
        <v>44029</v>
      </c>
      <c r="D16" s="2343" t="s">
        <v>1924</v>
      </c>
      <c r="E16" s="2343">
        <f ca="1">IF(F16&lt;B2,"已过期",2008110059)</f>
        <v>2008110059</v>
      </c>
      <c r="F16" s="3033">
        <v>47177</v>
      </c>
    </row>
    <row r="17" spans="1:7" ht="20.25" customHeight="1">
      <c r="A17" s="2343"/>
      <c r="B17" s="2343"/>
      <c r="C17" s="3032"/>
      <c r="D17" s="2343"/>
      <c r="E17" s="2343"/>
      <c r="F17" s="3033"/>
    </row>
    <row r="18" spans="1:7" ht="20.25" customHeight="1">
      <c r="A18" s="2343"/>
      <c r="B18" s="2343"/>
      <c r="C18" s="3032"/>
      <c r="D18" s="2343"/>
      <c r="E18" s="2343"/>
      <c r="F18" s="3033"/>
    </row>
    <row r="19" spans="1:7" ht="20.25" customHeight="1">
      <c r="A19" s="2343"/>
      <c r="B19" s="2343"/>
      <c r="C19" s="3032"/>
      <c r="D19" s="2343"/>
      <c r="E19" s="2343"/>
      <c r="F19" s="2343"/>
    </row>
    <row r="20" spans="1:7" ht="20.25" customHeight="1">
      <c r="A20" s="2343"/>
      <c r="B20" s="2343"/>
      <c r="C20" s="3032"/>
      <c r="D20" s="2343"/>
      <c r="E20" s="2343"/>
      <c r="F20" s="2343"/>
    </row>
    <row r="21" spans="1:7" ht="20.25" customHeight="1">
      <c r="A21" s="2343"/>
      <c r="B21" s="2343"/>
      <c r="C21" s="3032"/>
      <c r="D21" s="2343" t="s">
        <v>1925</v>
      </c>
      <c r="E21" s="2343">
        <f ca="1">IF(F21&lt;B2,"已过期",2011110090)</f>
        <v>2011110090</v>
      </c>
      <c r="F21" s="3033">
        <v>48302</v>
      </c>
    </row>
    <row r="22" spans="1:7" ht="20.25" customHeight="1">
      <c r="A22" s="2343" t="s">
        <v>1926</v>
      </c>
      <c r="B22" s="2343">
        <f ca="1">IF(C22&lt;B2,"已过期",1120020033)</f>
        <v>1120020033</v>
      </c>
      <c r="C22" s="3032">
        <v>43304</v>
      </c>
      <c r="D22" s="2343" t="s">
        <v>1926</v>
      </c>
      <c r="E22" s="2343">
        <f ca="1">IF(F22&lt;B2,"已过期",2000110137)</f>
        <v>2000110137</v>
      </c>
      <c r="F22" s="3033">
        <v>46387</v>
      </c>
    </row>
    <row r="23" spans="1:7" ht="20.25" customHeight="1">
      <c r="A23" s="2343" t="s">
        <v>1927</v>
      </c>
      <c r="B23" s="2343">
        <f ca="1">IF(C23&lt;B2,"已过期",1120130048)</f>
        <v>1120130048</v>
      </c>
      <c r="C23" s="3032">
        <v>43686</v>
      </c>
      <c r="D23" s="2343"/>
      <c r="E23" s="2343"/>
      <c r="F23" s="2343"/>
    </row>
    <row r="24" spans="1:7" s="2347" customFormat="1" ht="20.25" customHeight="1">
      <c r="A24" s="2345" t="s">
        <v>2054</v>
      </c>
      <c r="B24" s="2345" t="s">
        <v>2054</v>
      </c>
      <c r="C24" s="3032"/>
      <c r="D24" s="3034" t="s">
        <v>2054</v>
      </c>
      <c r="E24" s="2345" t="s">
        <v>2054</v>
      </c>
      <c r="F24" s="2346"/>
    </row>
    <row r="25" spans="1:7" ht="20.25" customHeight="1">
      <c r="A25" s="3212" t="s">
        <v>1928</v>
      </c>
      <c r="B25" s="3212"/>
      <c r="C25" s="3212"/>
      <c r="D25" s="3212"/>
      <c r="E25" s="3212"/>
      <c r="F25" s="3212"/>
      <c r="G25" s="3212"/>
    </row>
    <row r="26" spans="1:7" ht="20.25" customHeight="1">
      <c r="A26" s="3213" t="s">
        <v>1929</v>
      </c>
      <c r="B26" s="3213"/>
      <c r="C26" s="3213"/>
      <c r="D26" s="3213" t="s">
        <v>1930</v>
      </c>
      <c r="E26" s="3213"/>
      <c r="F26" s="3213"/>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32" sqref="B32"/>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855</v>
      </c>
      <c r="B1" s="5" t="s">
        <v>131</v>
      </c>
      <c r="C1" s="1549" t="s">
        <v>1708</v>
      </c>
      <c r="D1" s="6" t="s">
        <v>132</v>
      </c>
      <c r="E1" s="6" t="s">
        <v>133</v>
      </c>
      <c r="F1" s="6" t="s">
        <v>134</v>
      </c>
      <c r="G1" s="6" t="s">
        <v>135</v>
      </c>
      <c r="H1" s="6" t="s">
        <v>136</v>
      </c>
      <c r="I1" s="6" t="s">
        <v>137</v>
      </c>
      <c r="J1" s="6" t="s">
        <v>138</v>
      </c>
      <c r="K1" s="6" t="s">
        <v>139</v>
      </c>
      <c r="L1" s="6" t="s">
        <v>140</v>
      </c>
      <c r="M1" s="6" t="s">
        <v>141</v>
      </c>
      <c r="N1" s="6" t="s">
        <v>142</v>
      </c>
      <c r="O1" s="6" t="s">
        <v>143</v>
      </c>
      <c r="P1" s="6" t="s">
        <v>144</v>
      </c>
      <c r="Q1" s="2607" t="s">
        <v>2548</v>
      </c>
      <c r="R1" s="2606" t="s">
        <v>2542</v>
      </c>
      <c r="S1" s="6" t="s">
        <v>145</v>
      </c>
      <c r="T1" s="7" t="s">
        <v>146</v>
      </c>
      <c r="U1" s="6" t="s">
        <v>147</v>
      </c>
      <c r="V1" s="6" t="s">
        <v>148</v>
      </c>
      <c r="W1" s="1003" t="s">
        <v>873</v>
      </c>
    </row>
    <row r="2" spans="1:23">
      <c r="A2" s="8" t="s">
        <v>73</v>
      </c>
      <c r="B2" s="8" t="s">
        <v>149</v>
      </c>
      <c r="C2" s="1550" t="s">
        <v>1709</v>
      </c>
      <c r="D2" s="9" t="s">
        <v>74</v>
      </c>
      <c r="E2" s="9" t="s">
        <v>126</v>
      </c>
      <c r="F2" s="9" t="s">
        <v>127</v>
      </c>
      <c r="G2" s="9">
        <v>40</v>
      </c>
      <c r="H2" s="9" t="s">
        <v>128</v>
      </c>
      <c r="I2" s="9" t="s">
        <v>129</v>
      </c>
      <c r="J2" s="9" t="s">
        <v>130</v>
      </c>
      <c r="K2" s="9" t="s">
        <v>75</v>
      </c>
      <c r="L2" s="9" t="s">
        <v>75</v>
      </c>
      <c r="M2" s="9" t="s">
        <v>75</v>
      </c>
      <c r="N2" s="9" t="s">
        <v>75</v>
      </c>
      <c r="O2" s="9" t="s">
        <v>75</v>
      </c>
      <c r="P2" s="1005" t="s">
        <v>879</v>
      </c>
      <c r="Q2" s="9" t="s">
        <v>75</v>
      </c>
      <c r="R2" s="1005" t="s">
        <v>2543</v>
      </c>
      <c r="S2" s="9" t="s">
        <v>75</v>
      </c>
      <c r="T2" s="9" t="s">
        <v>76</v>
      </c>
      <c r="U2" s="9" t="s">
        <v>75</v>
      </c>
      <c r="V2" s="9" t="s">
        <v>77</v>
      </c>
      <c r="W2" s="9" t="s">
        <v>874</v>
      </c>
    </row>
    <row r="3" spans="1:23">
      <c r="A3" s="8" t="s">
        <v>78</v>
      </c>
      <c r="B3" s="10" t="s">
        <v>150</v>
      </c>
      <c r="C3" s="1551" t="s">
        <v>1710</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2544</v>
      </c>
      <c r="S3" s="9" t="s">
        <v>84</v>
      </c>
      <c r="T3" s="9" t="s">
        <v>85</v>
      </c>
      <c r="U3" s="9" t="s">
        <v>84</v>
      </c>
      <c r="V3" s="9" t="s">
        <v>86</v>
      </c>
      <c r="W3" s="9" t="s">
        <v>875</v>
      </c>
    </row>
    <row r="4" spans="1:23">
      <c r="A4" s="8" t="s">
        <v>87</v>
      </c>
      <c r="B4" s="8" t="s">
        <v>151</v>
      </c>
      <c r="C4" s="1550" t="s">
        <v>1711</v>
      </c>
      <c r="D4" s="9" t="s">
        <v>1995</v>
      </c>
      <c r="E4" s="9" t="s">
        <v>88</v>
      </c>
      <c r="F4" s="9" t="s">
        <v>89</v>
      </c>
      <c r="G4" s="9">
        <v>70</v>
      </c>
      <c r="H4" s="9" t="s">
        <v>90</v>
      </c>
      <c r="I4" s="9" t="s">
        <v>91</v>
      </c>
      <c r="K4" s="9" t="s">
        <v>92</v>
      </c>
      <c r="L4" s="9" t="s">
        <v>92</v>
      </c>
      <c r="M4" s="9" t="s">
        <v>92</v>
      </c>
      <c r="N4" s="9" t="s">
        <v>92</v>
      </c>
      <c r="O4" s="9" t="s">
        <v>92</v>
      </c>
      <c r="P4" s="1005" t="s">
        <v>759</v>
      </c>
      <c r="Q4" s="9" t="s">
        <v>92</v>
      </c>
      <c r="R4" s="1005" t="s">
        <v>2545</v>
      </c>
      <c r="S4" s="9" t="s">
        <v>92</v>
      </c>
      <c r="T4" s="9" t="s">
        <v>93</v>
      </c>
      <c r="U4" s="9" t="s">
        <v>92</v>
      </c>
      <c r="W4" s="9" t="s">
        <v>876</v>
      </c>
    </row>
    <row r="5" spans="1:23">
      <c r="A5" s="8" t="s">
        <v>94</v>
      </c>
      <c r="B5" s="8" t="s">
        <v>152</v>
      </c>
      <c r="C5" s="1550" t="s">
        <v>1712</v>
      </c>
      <c r="F5" s="9" t="s">
        <v>95</v>
      </c>
      <c r="H5" s="9" t="s">
        <v>70</v>
      </c>
      <c r="I5" s="9" t="s">
        <v>96</v>
      </c>
      <c r="K5" s="9" t="s">
        <v>97</v>
      </c>
      <c r="L5" s="9" t="s">
        <v>97</v>
      </c>
      <c r="M5" s="9" t="s">
        <v>97</v>
      </c>
      <c r="N5" s="9" t="s">
        <v>97</v>
      </c>
      <c r="O5" s="9" t="s">
        <v>97</v>
      </c>
      <c r="P5" s="1005" t="s">
        <v>546</v>
      </c>
      <c r="Q5" s="9" t="s">
        <v>97</v>
      </c>
      <c r="R5" s="1005" t="s">
        <v>2546</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2547</v>
      </c>
      <c r="S6" s="9" t="s">
        <v>101</v>
      </c>
      <c r="T6" s="9"/>
      <c r="U6" s="9" t="s">
        <v>101</v>
      </c>
      <c r="W6" s="9" t="s">
        <v>878</v>
      </c>
    </row>
    <row r="7" spans="1:23">
      <c r="A7" s="8" t="s">
        <v>102</v>
      </c>
      <c r="B7" s="8" t="s">
        <v>103</v>
      </c>
      <c r="C7" s="1550" t="s">
        <v>1714</v>
      </c>
      <c r="F7" s="9" t="s">
        <v>153</v>
      </c>
      <c r="H7" s="9" t="s">
        <v>104</v>
      </c>
      <c r="I7" s="9" t="s">
        <v>105</v>
      </c>
    </row>
    <row r="8" spans="1:23">
      <c r="A8" s="8" t="s">
        <v>106</v>
      </c>
      <c r="B8" s="8" t="s">
        <v>107</v>
      </c>
      <c r="C8" s="1550" t="s">
        <v>1715</v>
      </c>
      <c r="F8" s="9" t="s">
        <v>154</v>
      </c>
      <c r="H8" s="9"/>
      <c r="I8" s="9" t="s">
        <v>108</v>
      </c>
    </row>
    <row r="9" spans="1:23">
      <c r="A9" s="8" t="s">
        <v>109</v>
      </c>
      <c r="B9" s="8" t="s">
        <v>155</v>
      </c>
      <c r="C9" s="1550" t="s">
        <v>1716</v>
      </c>
      <c r="F9" s="9" t="s">
        <v>110</v>
      </c>
      <c r="H9" s="9"/>
    </row>
    <row r="10" spans="1:23">
      <c r="A10" s="1148" t="s">
        <v>3072</v>
      </c>
      <c r="B10" s="8" t="s">
        <v>156</v>
      </c>
      <c r="C10" s="1550" t="s">
        <v>1717</v>
      </c>
      <c r="F10" s="9" t="s">
        <v>6</v>
      </c>
    </row>
    <row r="11" spans="1:23">
      <c r="A11" s="8" t="s">
        <v>111</v>
      </c>
      <c r="B11" s="8" t="s">
        <v>157</v>
      </c>
      <c r="C11" s="1550" t="s">
        <v>1718</v>
      </c>
    </row>
    <row r="12" spans="1:23">
      <c r="A12" s="8" t="s">
        <v>112</v>
      </c>
      <c r="B12" s="8" t="s">
        <v>158</v>
      </c>
      <c r="C12" s="1550" t="s">
        <v>1719</v>
      </c>
    </row>
    <row r="13" spans="1:23">
      <c r="A13" s="8" t="s">
        <v>113</v>
      </c>
      <c r="B13" s="8" t="s">
        <v>159</v>
      </c>
      <c r="C13" s="1550" t="s">
        <v>1720</v>
      </c>
    </row>
    <row r="14" spans="1:23">
      <c r="A14" s="8" t="s">
        <v>114</v>
      </c>
      <c r="B14" s="8" t="s">
        <v>160</v>
      </c>
      <c r="C14" s="1553" t="s">
        <v>1896</v>
      </c>
    </row>
    <row r="15" spans="1:23">
      <c r="A15" s="8" t="s">
        <v>115</v>
      </c>
      <c r="B15" s="8" t="s">
        <v>1681</v>
      </c>
      <c r="C15" s="1553"/>
    </row>
    <row r="16" spans="1:23">
      <c r="A16" s="8" t="s">
        <v>116</v>
      </c>
      <c r="B16" s="8" t="s">
        <v>1682</v>
      </c>
      <c r="C16" s="1553"/>
    </row>
    <row r="17" spans="1:3">
      <c r="A17" s="8" t="s">
        <v>117</v>
      </c>
      <c r="B17" s="8" t="s">
        <v>1683</v>
      </c>
      <c r="C17" s="1553"/>
    </row>
    <row r="18" spans="1:3">
      <c r="A18" s="8" t="s">
        <v>118</v>
      </c>
      <c r="B18" s="3140" t="s">
        <v>2958</v>
      </c>
      <c r="C18" s="1553"/>
    </row>
    <row r="19" spans="1:3">
      <c r="A19" s="8" t="s">
        <v>119</v>
      </c>
      <c r="B19" s="3140" t="s">
        <v>2966</v>
      </c>
      <c r="C19" s="1553"/>
    </row>
    <row r="20" spans="1:3">
      <c r="A20" s="8" t="s">
        <v>120</v>
      </c>
      <c r="B20" s="8" t="s">
        <v>1641</v>
      </c>
      <c r="C20" s="1553"/>
    </row>
    <row r="21" spans="1:3">
      <c r="A21" s="8" t="s">
        <v>121</v>
      </c>
      <c r="B21" s="8" t="s">
        <v>1641</v>
      </c>
      <c r="C21" s="1553"/>
    </row>
    <row r="22" spans="1:3">
      <c r="A22" s="8" t="s">
        <v>122</v>
      </c>
      <c r="B22" s="8" t="s">
        <v>1641</v>
      </c>
      <c r="C22" s="1553"/>
    </row>
    <row r="23" spans="1:3">
      <c r="A23" s="8" t="s">
        <v>123</v>
      </c>
      <c r="B23" s="8" t="s">
        <v>1641</v>
      </c>
      <c r="C23" s="1553"/>
    </row>
    <row r="24" spans="1:3">
      <c r="A24" s="8" t="s">
        <v>12</v>
      </c>
      <c r="B24" s="8" t="s">
        <v>1641</v>
      </c>
      <c r="C24" s="1553"/>
    </row>
    <row r="25" spans="1:3">
      <c r="A25" s="8" t="s">
        <v>124</v>
      </c>
      <c r="B25" s="8" t="s">
        <v>1641</v>
      </c>
      <c r="C25" s="1553"/>
    </row>
    <row r="26" spans="1:3">
      <c r="A26" s="8" t="s">
        <v>125</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湖南省长沙市望城区金山桥街道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1987</v>
      </c>
      <c r="B52" s="1768" t="s">
        <v>1988</v>
      </c>
      <c r="C52" s="1766" t="s">
        <v>1989</v>
      </c>
      <c r="D52" s="1766" t="s">
        <v>1990</v>
      </c>
      <c r="E52" s="1767"/>
    </row>
    <row r="53" spans="1:5">
      <c r="A53" s="3214" t="s">
        <v>1991</v>
      </c>
      <c r="B53" s="1766" t="s">
        <v>1997</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14日，在规划利用条件下、设定土地开发程度为红线外“七通”、宗地内场地，设定用途为，剩余土地使用年限为的出让国有建设用地使用权价格。</v>
      </c>
      <c r="D53" s="1767"/>
      <c r="E53" s="1767"/>
    </row>
    <row r="54" spans="1:5">
      <c r="A54" s="3214"/>
      <c r="B54" s="1766" t="s">
        <v>1998</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14"/>
      <c r="B55" s="1766" t="s">
        <v>1992</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14"/>
      <c r="B56" s="1766" t="s">
        <v>1993</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14"/>
      <c r="B57" s="1766" t="s">
        <v>1994</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2050</v>
      </c>
      <c r="B58" s="1766" t="s">
        <v>2051</v>
      </c>
      <c r="C58" s="11" t="s">
        <v>2052</v>
      </c>
      <c r="D58" s="1318"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132</vt:i4>
      </vt:variant>
    </vt:vector>
  </HeadingPairs>
  <TitlesOfParts>
    <vt:vector size="173"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'比较法-住宅、综合'!Print_Area</vt:lpstr>
      <vt:lpstr>'不动产比较法-住宅'!Print_Area</vt:lpstr>
      <vt:lpstr>不动产收益法!Print_Area</vt:lpstr>
      <vt:lpstr>结果表!Print_Area</vt:lpstr>
      <vt:lpstr>'剩余法-待开发'!Print_Area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2017-10-23T02:12:01Z</cp:lastPrinted>
  <dcterms:created xsi:type="dcterms:W3CDTF">2015-07-13T07:17:23Z</dcterms:created>
  <dcterms:modified xsi:type="dcterms:W3CDTF">2017-12-13T14:02:36Z</dcterms:modified>
</cp:coreProperties>
</file>