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610" windowWidth="19230" windowHeight="5610" tabRatio="875" firstSheet="10"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市场比较法"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7" hidden="1">市场比较法!$A$1:$L$50</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市场比较法!$A$75:$M$75</definedName>
    <definedName name="套工土地级别">'比较法-工业'!$B$101:$M$101</definedName>
    <definedName name="套工用途">'比较法-工业'!$B$72:$M$72</definedName>
    <definedName name="套综道路等级">市场比较法!$B$108:$M$108</definedName>
    <definedName name="套综工程地质条件">市场比较法!$B$127:$M$127</definedName>
    <definedName name="套综交易情况">市场比较法!$A$75:$M$75</definedName>
    <definedName name="套综临街宽度及深度">市场比较法!$B$123:$M$123</definedName>
    <definedName name="套综土地级别">市场比较法!$B$110:$M$110</definedName>
    <definedName name="套综用途">市场比较法!$B$77:$M$77</definedName>
    <definedName name="套综宗地内开发程度">市场比较法!$B$125:$M$125</definedName>
    <definedName name="套综宗地形状">市场比较法!$B$121:$M$121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0" i="9" l="1"/>
  <c r="F49" i="9" l="1"/>
  <c r="C48" i="9" l="1"/>
  <c r="I13" i="3" l="1"/>
  <c r="AL13" i="3"/>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F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F10" i="67"/>
  <c r="F12" i="67"/>
  <c r="B13" i="67"/>
  <c r="F11" i="67"/>
  <c r="E10" i="67"/>
  <c r="E14" i="67"/>
  <c r="B10" i="67"/>
  <c r="F9" i="67"/>
  <c r="E12" i="67"/>
  <c r="B12" i="67"/>
  <c r="E9" i="67"/>
  <c r="E13" i="67"/>
  <c r="B8" i="67"/>
  <c r="B14" i="67"/>
  <c r="E8" i="67"/>
  <c r="F13" i="67"/>
  <c r="F14" i="67"/>
  <c r="F8" i="67"/>
  <c r="B11"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5" i="65"/>
  <c r="N4" i="65"/>
  <c r="I6" i="65"/>
  <c r="N3" i="65"/>
  <c r="C4" i="65" l="1"/>
  <c r="B39" i="1" s="1"/>
  <c r="J4" i="65"/>
  <c r="I4" i="65"/>
  <c r="I7" i="65"/>
  <c r="J3" i="65"/>
  <c r="J6" i="65"/>
  <c r="J7" i="65"/>
  <c r="I5" i="65"/>
  <c r="I3" i="65"/>
  <c r="J5"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AZ210" i="3" s="1"/>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36"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36" i="33"/>
  <c r="S36" i="33" s="1"/>
  <c r="F19" i="33"/>
  <c r="S19" i="33" s="1"/>
  <c r="J19" i="33"/>
  <c r="AB30" i="36"/>
  <c r="AC34" i="36"/>
  <c r="H29" i="35"/>
  <c r="U34" i="37"/>
  <c r="S34" i="37"/>
  <c r="AA34" i="37"/>
  <c r="AB42" i="34"/>
  <c r="AB40" i="34"/>
  <c r="W36" i="34"/>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U30" i="33"/>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c r="BA555" i="3"/>
  <c r="AZ555" i="3" s="1"/>
  <c r="BA551" i="3"/>
  <c r="AZ551" i="3"/>
  <c r="BA545" i="3"/>
  <c r="BA543" i="3"/>
  <c r="BA541" i="3"/>
  <c r="AZ541" i="3"/>
  <c r="BA531" i="3"/>
  <c r="BA521" i="3"/>
  <c r="BA509" i="3"/>
  <c r="BA505" i="3"/>
  <c r="BA501" i="3"/>
  <c r="AZ501" i="3" s="1"/>
  <c r="BA493" i="3"/>
  <c r="AZ493" i="3"/>
  <c r="BA487" i="3"/>
  <c r="BA19" i="3"/>
  <c r="BA566" i="3"/>
  <c r="BA562" i="3"/>
  <c r="BA560" i="3"/>
  <c r="BA558" i="3"/>
  <c r="BA556" i="3"/>
  <c r="BA554" i="3"/>
  <c r="BA550" i="3"/>
  <c r="AZ550" i="3" s="1"/>
  <c r="BA546" i="3"/>
  <c r="BA544" i="3"/>
  <c r="AZ544" i="3" s="1"/>
  <c r="BA540" i="3"/>
  <c r="BA536" i="3"/>
  <c r="BA532" i="3"/>
  <c r="BA528" i="3"/>
  <c r="BA524" i="3"/>
  <c r="BA520" i="3"/>
  <c r="BA516" i="3"/>
  <c r="BA512" i="3"/>
  <c r="BA508" i="3"/>
  <c r="BA502" i="3"/>
  <c r="AZ502" i="3"/>
  <c r="BA498" i="3"/>
  <c r="BA492" i="3"/>
  <c r="BA488" i="3"/>
  <c r="AZ488" i="3" s="1"/>
  <c r="BA484" i="3"/>
  <c r="AZ484" i="3" s="1"/>
  <c r="BA20" i="3"/>
  <c r="AZ545" i="3"/>
  <c r="G566" i="3"/>
  <c r="G562" i="3"/>
  <c r="G560" i="3"/>
  <c r="G558" i="3"/>
  <c r="G556" i="3"/>
  <c r="G554" i="3"/>
  <c r="G550" i="3"/>
  <c r="G546" i="3"/>
  <c r="BL543" i="3"/>
  <c r="AZ543" i="3" s="1"/>
  <c r="BA542" i="3"/>
  <c r="AC542" i="3"/>
  <c r="G542" i="3" s="1"/>
  <c r="BQ542" i="3"/>
  <c r="BL542" i="3"/>
  <c r="AZ542" i="3"/>
  <c r="BQ568" i="3"/>
  <c r="BQ566" i="3"/>
  <c r="BQ564" i="3"/>
  <c r="BL564" i="3"/>
  <c r="BQ562" i="3"/>
  <c r="BL562" i="3" s="1"/>
  <c r="BQ560" i="3"/>
  <c r="BL560" i="3" s="1"/>
  <c r="AZ560" i="3" s="1"/>
  <c r="BQ558" i="3"/>
  <c r="BL558" i="3"/>
  <c r="BQ556" i="3"/>
  <c r="BL556" i="3" s="1"/>
  <c r="BQ554" i="3"/>
  <c r="BQ552" i="3"/>
  <c r="BL552" i="3" s="1"/>
  <c r="AZ552" i="3" s="1"/>
  <c r="BQ550" i="3"/>
  <c r="BL550" i="3"/>
  <c r="BQ548" i="3"/>
  <c r="BQ546" i="3"/>
  <c r="BL546" i="3" s="1"/>
  <c r="BQ544" i="3"/>
  <c r="BL544" i="3"/>
  <c r="G544" i="3"/>
  <c r="G538" i="3"/>
  <c r="G534" i="3"/>
  <c r="G530" i="3"/>
  <c r="G526" i="3"/>
  <c r="G522" i="3"/>
  <c r="BQ540" i="3"/>
  <c r="BL540" i="3" s="1"/>
  <c r="AZ540" i="3" s="1"/>
  <c r="BQ538" i="3"/>
  <c r="BL538" i="3"/>
  <c r="BQ536" i="3"/>
  <c r="BQ534" i="3"/>
  <c r="BL534" i="3" s="1"/>
  <c r="BQ532" i="3"/>
  <c r="BL532" i="3"/>
  <c r="AZ532" i="3" s="1"/>
  <c r="BQ530" i="3"/>
  <c r="BQ528" i="3"/>
  <c r="BQ526" i="3"/>
  <c r="BL526" i="3"/>
  <c r="BQ524" i="3"/>
  <c r="BL524" i="3" s="1"/>
  <c r="AZ524" i="3" s="1"/>
  <c r="BQ522" i="3"/>
  <c r="BQ520" i="3"/>
  <c r="BL520" i="3" s="1"/>
  <c r="AZ520" i="3" s="1"/>
  <c r="BQ518" i="3"/>
  <c r="BQ516" i="3"/>
  <c r="BL516" i="3"/>
  <c r="BQ514" i="3"/>
  <c r="BL514" i="3" s="1"/>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c r="AZ492" i="3" s="1"/>
  <c r="BQ490" i="3"/>
  <c r="BQ488" i="3"/>
  <c r="BL488" i="3"/>
  <c r="BQ486" i="3"/>
  <c r="BQ484" i="3"/>
  <c r="BL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s="1"/>
  <c r="G116" i="3"/>
  <c r="BA118" i="3"/>
  <c r="AZ118" i="3" s="1"/>
  <c r="BL119" i="3"/>
  <c r="G120" i="3"/>
  <c r="BA122" i="3"/>
  <c r="AZ122" i="3" s="1"/>
  <c r="BL123" i="3"/>
  <c r="AZ123" i="3"/>
  <c r="G124" i="3"/>
  <c r="BA126" i="3"/>
  <c r="AZ126" i="3" s="1"/>
  <c r="BL127" i="3"/>
  <c r="AZ127" i="3" s="1"/>
  <c r="G128" i="3"/>
  <c r="BA130" i="3"/>
  <c r="AZ130" i="3" s="1"/>
  <c r="BL131" i="3"/>
  <c r="AZ131" i="3" s="1"/>
  <c r="G132" i="3"/>
  <c r="BA134" i="3"/>
  <c r="AZ134" i="3"/>
  <c r="BL135" i="3"/>
  <c r="G136" i="3"/>
  <c r="BA138" i="3"/>
  <c r="AZ138" i="3" s="1"/>
  <c r="BL139" i="3"/>
  <c r="AZ139" i="3" s="1"/>
  <c r="G140" i="3"/>
  <c r="BA142" i="3"/>
  <c r="AZ142" i="3" s="1"/>
  <c r="BL143" i="3"/>
  <c r="G144" i="3"/>
  <c r="BA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AZ170" i="3" s="1"/>
  <c r="G171" i="3"/>
  <c r="BA173" i="3"/>
  <c r="AZ173" i="3" s="1"/>
  <c r="BL174" i="3"/>
  <c r="AZ174" i="3" s="1"/>
  <c r="G175" i="3"/>
  <c r="BA178" i="3"/>
  <c r="AZ178" i="3" s="1"/>
  <c r="BL179" i="3"/>
  <c r="G180" i="3"/>
  <c r="AZ27" i="3"/>
  <c r="AZ35" i="3"/>
  <c r="AZ39" i="3"/>
  <c r="AZ47" i="3"/>
  <c r="AZ51" i="3"/>
  <c r="AZ55" i="3"/>
  <c r="AZ59" i="3"/>
  <c r="G537" i="3"/>
  <c r="BL181" i="3"/>
  <c r="AZ181" i="3" s="1"/>
  <c r="G182" i="3"/>
  <c r="BA184" i="3"/>
  <c r="AZ184" i="3" s="1"/>
  <c r="BL185" i="3"/>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BA358" i="3"/>
  <c r="BA359" i="3"/>
  <c r="BL359" i="3"/>
  <c r="AZ359" i="3"/>
  <c r="G360" i="3"/>
  <c r="G361" i="3"/>
  <c r="BL362" i="3"/>
  <c r="BA364" i="3"/>
  <c r="BA365" i="3"/>
  <c r="AZ365" i="3" s="1"/>
  <c r="BL365" i="3"/>
  <c r="G366" i="3"/>
  <c r="G369" i="3"/>
  <c r="BL370" i="3"/>
  <c r="BA372" i="3"/>
  <c r="AZ372" i="3" s="1"/>
  <c r="BA373" i="3"/>
  <c r="BL373" i="3"/>
  <c r="AZ373" i="3" s="1"/>
  <c r="G374" i="3"/>
  <c r="G377" i="3"/>
  <c r="BL378" i="3"/>
  <c r="BA380" i="3"/>
  <c r="BA381" i="3"/>
  <c r="AZ381" i="3"/>
  <c r="BL381" i="3"/>
  <c r="G382" i="3"/>
  <c r="G385" i="3"/>
  <c r="AZ154"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BL367" i="3"/>
  <c r="AZ213" i="3"/>
  <c r="AZ221" i="3"/>
  <c r="AZ229"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83" i="3"/>
  <c r="AZ270" i="3"/>
  <c r="AZ274" i="3"/>
  <c r="AZ278" i="3"/>
  <c r="AZ282" i="3"/>
  <c r="AZ286" i="3"/>
  <c r="AZ290" i="3"/>
  <c r="AZ311" i="3"/>
  <c r="AZ313" i="3"/>
  <c r="AZ315" i="3"/>
  <c r="AZ319" i="3"/>
  <c r="AZ331" i="3"/>
  <c r="AZ335" i="3"/>
  <c r="AZ339" i="3"/>
  <c r="AZ351" i="3"/>
  <c r="AZ369" i="3"/>
  <c r="AZ390"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16"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AZ526" i="3"/>
  <c r="BA525" i="3"/>
  <c r="AZ525" i="3" s="1"/>
  <c r="BL523" i="3"/>
  <c r="BA523" i="3"/>
  <c r="AZ523" i="3" s="1"/>
  <c r="BL522" i="3"/>
  <c r="BA522" i="3"/>
  <c r="AZ522" i="3"/>
  <c r="BL521" i="3"/>
  <c r="AZ521" i="3" s="1"/>
  <c r="BA519" i="3"/>
  <c r="AZ519" i="3"/>
  <c r="BL518" i="3"/>
  <c r="AZ518" i="3" s="1"/>
  <c r="BA518" i="3"/>
  <c r="BL517" i="3"/>
  <c r="BA517" i="3"/>
  <c r="BL515" i="3"/>
  <c r="BA515" i="3"/>
  <c r="BA514" i="3"/>
  <c r="AZ514" i="3" s="1"/>
  <c r="BL513" i="3"/>
  <c r="BA513" i="3"/>
  <c r="AZ513" i="3" s="1"/>
  <c r="BL512" i="3"/>
  <c r="AZ512" i="3"/>
  <c r="BA511" i="3"/>
  <c r="AZ511" i="3" s="1"/>
  <c r="BA510" i="3"/>
  <c r="BL509" i="3"/>
  <c r="AZ509" i="3"/>
  <c r="BL507" i="3"/>
  <c r="BA507" i="3"/>
  <c r="AZ507" i="3"/>
  <c r="BL506" i="3"/>
  <c r="AZ506" i="3" s="1"/>
  <c r="BA506" i="3"/>
  <c r="BL505" i="3"/>
  <c r="AZ505" i="3" s="1"/>
  <c r="BL504" i="3"/>
  <c r="BA504" i="3"/>
  <c r="BA503" i="3"/>
  <c r="AZ503" i="3" s="1"/>
  <c r="BA500" i="3"/>
  <c r="BL499" i="3"/>
  <c r="BA499" i="3"/>
  <c r="BL498" i="3"/>
  <c r="AZ498" i="3"/>
  <c r="BL497" i="3"/>
  <c r="BA497" i="3"/>
  <c r="BL496" i="3"/>
  <c r="BA496" i="3"/>
  <c r="AZ496" i="3" s="1"/>
  <c r="BA495" i="3"/>
  <c r="AZ495" i="3"/>
  <c r="BL494" i="3"/>
  <c r="BA494" i="3"/>
  <c r="G494" i="3"/>
  <c r="BA491" i="3"/>
  <c r="AZ491" i="3"/>
  <c r="BL490" i="3"/>
  <c r="BA490" i="3"/>
  <c r="AZ490" i="3"/>
  <c r="BL489" i="3"/>
  <c r="AZ489" i="3" s="1"/>
  <c r="BA489" i="3"/>
  <c r="BL487" i="3"/>
  <c r="AZ487" i="3" s="1"/>
  <c r="BL486" i="3"/>
  <c r="BA486" i="3"/>
  <c r="BA485" i="3"/>
  <c r="AZ485" i="3" s="1"/>
  <c r="BA483" i="3"/>
  <c r="AZ483" i="3"/>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N7" i="46"/>
  <c r="AZ456" i="3"/>
  <c r="AZ458" i="3"/>
  <c r="AZ461" i="3"/>
  <c r="AZ466" i="3"/>
  <c r="AZ469" i="3"/>
  <c r="AZ474" i="3"/>
  <c r="AZ477" i="3"/>
  <c r="AZ223" i="3"/>
  <c r="AZ231" i="3"/>
  <c r="AZ236" i="3"/>
  <c r="AZ239" i="3"/>
  <c r="AZ244" i="3"/>
  <c r="AZ247" i="3"/>
  <c r="AZ252" i="3"/>
  <c r="AZ255" i="3"/>
  <c r="AZ260" i="3"/>
  <c r="AZ263" i="3"/>
  <c r="AZ268" i="3"/>
  <c r="AZ273" i="3"/>
  <c r="AZ276" i="3"/>
  <c r="AZ281" i="3"/>
  <c r="AZ284" i="3"/>
  <c r="AZ137" i="3"/>
  <c r="AZ140" i="3"/>
  <c r="AZ152" i="3"/>
  <c r="M7" i="46"/>
  <c r="M11" i="46"/>
  <c r="N3" i="46"/>
  <c r="N6" i="46"/>
  <c r="N10" i="46"/>
  <c r="AZ164" i="3"/>
  <c r="AZ167" i="3"/>
  <c r="AZ180" i="3"/>
  <c r="AZ32" i="3"/>
  <c r="AZ48" i="3"/>
  <c r="AZ56" i="3"/>
  <c r="AZ63" i="3"/>
  <c r="AZ71" i="3"/>
  <c r="AZ79" i="3"/>
  <c r="AZ91" i="3"/>
  <c r="AZ99" i="3"/>
  <c r="AZ107" i="3"/>
  <c r="AZ112" i="3"/>
  <c r="J13" i="40"/>
  <c r="W13" i="40" s="1"/>
  <c r="W40" i="40"/>
  <c r="F27" i="43"/>
  <c r="F66" i="9"/>
  <c r="P72" i="9" s="1"/>
  <c r="F71" i="9"/>
  <c r="AC14" i="40"/>
  <c r="W35" i="40"/>
  <c r="S33" i="40"/>
  <c r="AC41" i="40"/>
  <c r="W41" i="40"/>
  <c r="U41" i="40"/>
  <c r="J23" i="40"/>
  <c r="AC23" i="40" s="1"/>
  <c r="G92" i="40"/>
  <c r="F23" i="40"/>
  <c r="S23" i="40" s="1"/>
  <c r="W15" i="40"/>
  <c r="S23" i="39"/>
  <c r="W14" i="39"/>
  <c r="U23" i="35"/>
  <c r="AB23" i="35"/>
  <c r="H20" i="35"/>
  <c r="F20" i="35"/>
  <c r="S20" i="35" s="1"/>
  <c r="H15" i="34"/>
  <c r="AB15" i="34" s="1"/>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C20" i="43"/>
  <c r="E2" i="65"/>
  <c r="D3" i="21" l="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146"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0" i="3"/>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G401" i="3"/>
  <c r="BL409" i="3"/>
  <c r="AZ409" i="3" s="1"/>
  <c r="G414" i="3"/>
  <c r="AZ464" i="3"/>
  <c r="AZ208" i="3"/>
  <c r="BL208" i="3"/>
  <c r="AZ211"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BL212" i="3"/>
  <c r="AZ212" i="3" s="1"/>
  <c r="BL217" i="3"/>
  <c r="AZ217" i="3" s="1"/>
  <c r="BA292" i="3"/>
  <c r="AZ292" i="3" s="1"/>
  <c r="BL120" i="3"/>
  <c r="AZ120" i="3" s="1"/>
  <c r="AZ141" i="3"/>
  <c r="AZ149" i="3"/>
  <c r="AZ155" i="3"/>
  <c r="AZ190" i="3"/>
  <c r="AZ202" i="3"/>
  <c r="AZ37" i="3"/>
  <c r="BL289" i="3"/>
  <c r="AZ289" i="3" s="1"/>
  <c r="BL121" i="3"/>
  <c r="AZ121" i="3" s="1"/>
  <c r="AZ132" i="3"/>
  <c r="AZ133" i="3"/>
  <c r="BL141" i="3"/>
  <c r="BA143" i="3"/>
  <c r="AZ143" i="3" s="1"/>
  <c r="BL163" i="3"/>
  <c r="AZ163" i="3" s="1"/>
  <c r="BL177" i="3"/>
  <c r="AZ177" i="3" s="1"/>
  <c r="BA179" i="3"/>
  <c r="AZ179" i="3" s="1"/>
  <c r="AZ198" i="3"/>
  <c r="BA295" i="3"/>
  <c r="AZ295" i="3" s="1"/>
  <c r="BA119" i="3"/>
  <c r="AZ119" i="3" s="1"/>
  <c r="BA124" i="3"/>
  <c r="AZ124" i="3" s="1"/>
  <c r="AZ125" i="3"/>
  <c r="AZ128" i="3"/>
  <c r="BL133" i="3"/>
  <c r="BA135" i="3"/>
  <c r="AZ135" i="3" s="1"/>
  <c r="AZ136" i="3"/>
  <c r="BL144" i="3"/>
  <c r="AZ144" i="3" s="1"/>
  <c r="BL146" i="3"/>
  <c r="AZ168" i="3"/>
  <c r="BA172" i="3"/>
  <c r="AZ172" i="3" s="1"/>
  <c r="BA175" i="3"/>
  <c r="AZ175" i="3" s="1"/>
  <c r="AZ176" i="3"/>
  <c r="BL183" i="3"/>
  <c r="AZ183" i="3" s="1"/>
  <c r="BA185" i="3"/>
  <c r="AZ185" i="3" s="1"/>
  <c r="AZ186" i="3"/>
  <c r="BL21" i="3"/>
  <c r="BL22" i="3"/>
  <c r="AZ22" i="3" s="1"/>
  <c r="BL24" i="3"/>
  <c r="AZ24" i="3" s="1"/>
  <c r="BA28" i="3"/>
  <c r="AZ28" i="3" s="1"/>
  <c r="AZ30" i="3"/>
  <c r="BL31" i="3"/>
  <c r="AZ31" i="3" s="1"/>
  <c r="BA34" i="3"/>
  <c r="AZ36"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F38" i="44"/>
  <c r="M8" i="44"/>
  <c r="M22" i="15"/>
  <c r="M24" i="44"/>
  <c r="F43" i="44"/>
  <c r="F42" i="15"/>
  <c r="M28" i="44"/>
  <c r="F11" i="44"/>
  <c r="F16" i="15"/>
  <c r="M26" i="44"/>
  <c r="M29" i="15"/>
  <c r="M6" i="15"/>
  <c r="F40" i="15"/>
  <c r="M28" i="15"/>
  <c r="M25" i="44"/>
  <c r="F8" i="15"/>
  <c r="M27" i="15"/>
  <c r="F15" i="44"/>
  <c r="F13" i="15"/>
  <c r="M29" i="44"/>
  <c r="F40" i="44"/>
  <c r="F18" i="44"/>
  <c r="F9" i="44"/>
  <c r="J36" i="15"/>
  <c r="M26" i="15"/>
  <c r="L49" i="44"/>
  <c r="L48" i="44"/>
  <c r="J15" i="15"/>
  <c r="M23" i="15"/>
  <c r="M24" i="15"/>
  <c r="F9" i="15"/>
  <c r="M10" i="44"/>
  <c r="F10" i="44"/>
  <c r="M11" i="44"/>
  <c r="F36" i="15"/>
  <c r="M8" i="15"/>
  <c r="F6" i="15"/>
  <c r="F38" i="15"/>
  <c r="F37" i="15"/>
  <c r="F39" i="44"/>
  <c r="F45" i="44"/>
  <c r="F43" i="15"/>
  <c r="M9" i="15"/>
  <c r="F7" i="15"/>
  <c r="F26" i="15"/>
  <c r="F8" i="44"/>
  <c r="L47" i="15"/>
  <c r="L48" i="15"/>
  <c r="F28" i="44"/>
  <c r="J17" i="44"/>
  <c r="M30" i="44"/>
  <c r="AB11" i="46" l="1"/>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46" i="44"/>
  <c r="M17" i="15"/>
  <c r="AE7" i="1"/>
  <c r="F33" i="44"/>
  <c r="F31" i="15"/>
  <c r="C16" i="15"/>
  <c r="F58" i="15"/>
  <c r="C18" i="44"/>
  <c r="M19" i="44"/>
  <c r="K105" i="46" l="1"/>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F7" i="67"/>
  <c r="L52" i="44"/>
  <c r="F68" i="15" l="1"/>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E7" i="67"/>
  <c r="C19" i="44"/>
  <c r="C17" i="15"/>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51" i="9" l="1"/>
  <c r="C50" i="9" s="1"/>
  <c r="I51" i="9" l="1"/>
  <c r="I5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<sst xmlns="http://schemas.openxmlformats.org/spreadsheetml/2006/main" count="7023" uniqueCount="3069">
  <si>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</si>
  <si>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</si>
  <si>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</si>
  <si>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</si>
  <si>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</si>
  <si>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</si>
  <si>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</si>
  <si>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</si>
  <si>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</si>
  <si>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</si>
  <si>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</si>
  <si>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</si>
  <si>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</si>
  <si>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</si>
  <si>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</si>
  <si>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</si>
  <si>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</si>
  <si>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</si>
  <si>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</si>
  <si>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</si>
  <si>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</si>
  <si>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</si>
  <si>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</si>
  <si>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</si>
  <si>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</si>
  <si>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</si>
  <si>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</si>
  <si>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</si>
  <si>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</si>
  <si>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</si>
  <si>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</si>
  <si>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</si>
  <si>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</si>
  <si>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</si>
  <si>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</si>
  <si>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</si>
  <si>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</si>
  <si>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</si>
  <si>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</si>
  <si>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</si>
  <si>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</si>
  <si>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</si>
  <si>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</si>
  <si>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</si>
  <si>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</si>
  <si>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</si>
  <si>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</si>
  <si>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</si>
  <si>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</si>
  <si>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</si>
  <si>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</si>
  <si>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</si>
  <si>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</si>
  <si>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</si>
  <si>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</si>
  <si>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</si>
  <si>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</si>
  <si>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</si>
  <si>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</si>
  <si>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</si>
  <si>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</si>
  <si>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</si>
  <si>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</si>
  <si>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</si>
  <si>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</si>
  <si>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</si>
  <si>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</si>
  <si>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</si>
  <si>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</si>
  <si>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</si>
  <si>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</si>
  <si>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</si>
  <si>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</si>
  <si>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</si>
  <si>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</si>
  <si>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</si>
  <si>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</si>
  <si>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</si>
  <si>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</si>
  <si>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</si>
  <si>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</si>
  <si>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</si>
  <si>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</si>
  <si>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</si>
  <si>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</si>
  <si>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</si>
  <si>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</si>
  <si>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</si>
  <si>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</si>
  <si>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</si>
  <si>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</si>
  <si>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</si>
  <si>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</si>
  <si>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</si>
  <si>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</si>
  <si>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</si>
  <si>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</si>
  <si>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</si>
  <si>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</si>
  <si>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</si>
  <si>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</si>
  <si>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</si>
  <si>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</si>
  <si>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</si>
  <si>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</si>
  <si>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</si>
  <si>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</si>
  <si>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</si>
  <si>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</si>
  <si>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</si>
  <si>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</si>
  <si>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</si>
  <si>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</si>
  <si>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</si>
  <si>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</si>
  <si>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</si>
  <si>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</si>
  <si>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</si>
  <si>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</si>
  <si>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</si>
  <si>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</si>
  <si>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</si>
  <si>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</si>
  <si>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</si>
  <si>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</si>
  <si>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</si>
  <si>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</si>
  <si>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</si>
  <si>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</si>
  <si>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</si>
  <si>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</si>
  <si>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</si>
  <si>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</si>
  <si>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</si>
  <si>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</si>
  <si>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</si>
  <si>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</si>
  <si>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</si>
  <si>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</si>
  <si>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</si>
  <si>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</si>
  <si>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</si>
  <si>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</si>
  <si>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</si>
  <si>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</si>
  <si>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</si>
  <si>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</si>
  <si>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</si>
  <si>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</si>
  <si>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</si>
  <si>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</si>
  <si>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</si>
  <si>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</si>
  <si>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</si>
  <si>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</si>
  <si>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</si>
  <si>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</si>
  <si>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</si>
  <si>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</si>
  <si>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</si>
  <si>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</si>
  <si>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</si>
  <si>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</si>
  <si>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</si>
  <si>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</si>
  <si>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</si>
  <si>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</si>
  <si>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</si>
  <si>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</si>
  <si>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</si>
  <si>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</si>
  <si>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</si>
  <si>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</si>
  <si>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</si>
  <si>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</si>
  <si>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</si>
  <si>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</si>
  <si>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</si>
  <si>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</si>
  <si>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</si>
  <si>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</si>
  <si>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</si>
  <si>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</si>
  <si>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</si>
  <si>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</si>
  <si>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</si>
  <si>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</si>
  <si>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</si>
  <si>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</si>
  <si>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</si>
  <si>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</si>
  <si>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</si>
  <si>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</si>
  <si>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</si>
  <si>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</si>
  <si>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</si>
  <si>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</si>
  <si>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</si>
  <si>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</si>
  <si>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</si>
  <si>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</si>
  <si>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</si>
  <si>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</si>
  <si>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</si>
  <si>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</si>
  <si>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</si>
  <si>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</si>
  <si>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</si>
  <si>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</si>
  <si>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</si>
  <si>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</si>
  <si>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</si>
  <si>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</si>
  <si>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</si>
  <si>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</si>
  <si>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</si>
  <si>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</si>
  <si>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</si>
  <si>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</si>
  <si>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</si>
  <si>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</si>
  <si>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</si>
  <si>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</si>
  <si>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</si>
  <si>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</si>
  <si>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</si>
  <si>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</si>
  <si>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</si>
  <si>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</si>
  <si>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</si>
  <si>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</si>
  <si>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</si>
  <si>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</si>
  <si>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</si>
  <si>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</si>
  <si>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</si>
  <si>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</si>
  <si>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</si>
  <si>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</si>
  <si>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</si>
  <si>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</si>
  <si>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</si>
  <si>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</si>
  <si>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</si>
  <si>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</si>
  <si>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</si>
  <si>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</si>
  <si>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</si>
  <si>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</si>
  <si>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</si>
  <si>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</si>
  <si>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</si>
  <si>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</si>
  <si>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</si>
  <si>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</si>
  <si>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</si>
  <si>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</si>
  <si>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</si>
  <si>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</si>
  <si>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</si>
  <si>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</si>
  <si>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</si>
  <si>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</si>
  <si>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</si>
  <si>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</si>
  <si>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</si>
  <si>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</si>
  <si>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</si>
  <si>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</si>
  <si>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</si>
  <si>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</si>
  <si>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</si>
  <si>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</si>
  <si>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</si>
  <si>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</si>
  <si>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</si>
  <si>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</si>
  <si>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</si>
  <si>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</si>
  <si>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</si>
  <si>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</si>
  <si>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</si>
  <si>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</si>
  <si>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</si>
  <si>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</si>
  <si>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</si>
  <si>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</si>
  <si>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</si>
  <si>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</si>
  <si>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</si>
  <si>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</si>
  <si>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</si>
  <si>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</si>
  <si>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</si>
  <si>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</si>
  <si>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</si>
  <si>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</si>
  <si>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</si>
  <si>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</si>
  <si>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</si>
  <si>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</si>
  <si>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</si>
  <si>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</si>
  <si>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</si>
  <si>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</si>
  <si>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</si>
  <si>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</si>
  <si>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</si>
  <si>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</si>
  <si>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</si>
  <si>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</si>
  <si>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</si>
  <si>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</si>
  <si>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</si>
  <si>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</si>
  <si>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</si>
  <si>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</si>
  <si>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</si>
  <si>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</si>
  <si>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</si>
  <si>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</si>
  <si>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</si>
  <si>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</si>
  <si>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</si>
  <si>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</si>
  <si>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</si>
  <si>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</si>
  <si>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</si>
  <si>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</si>
  <si>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</si>
  <si>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</si>
  <si>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</si>
  <si>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</si>
  <si>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</si>
  <si>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</si>
  <si>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</si>
  <si>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</si>
  <si>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</si>
  <si>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</si>
  <si>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</si>
  <si>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</si>
  <si>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</si>
  <si>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</si>
  <si>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</si>
  <si>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</si>
  <si>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</si>
  <si>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</si>
  <si>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</si>
  <si>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</si>
  <si>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</si>
  <si>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</si>
  <si>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</si>
  <si>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</si>
  <si>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</si>
  <si>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</si>
  <si>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</si>
  <si>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</si>
  <si>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</si>
  <si>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</si>
  <si>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</si>
  <si>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</si>
  <si>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</si>
  <si>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</si>
  <si>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</si>
  <si>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</si>
  <si>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</si>
  <si>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</si>
  <si>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</si>
  <si>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</si>
  <si>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</si>
  <si>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</si>
  <si>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</si>
  <si>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</si>
  <si>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</si>
  <si>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</si>
  <si>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</si>
  <si>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</si>
  <si>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</si>
  <si>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</si>
  <si>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</si>
  <si>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</si>
  <si>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</si>
  <si>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</si>
  <si>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</si>
  <si>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</si>
  <si>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</si>
  <si>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</si>
  <si>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</si>
  <si>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</si>
  <si>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</si>
  <si>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</si>
  <si>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</si>
  <si>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</si>
  <si>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</si>
  <si>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</si>
  <si>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</si>
  <si>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</si>
  <si>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</si>
  <si>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</si>
  <si>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</si>
  <si>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</si>
  <si>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</si>
  <si>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</si>
  <si>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</si>
  <si>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</si>
  <si>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</si>
  <si>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</si>
  <si>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</si>
  <si>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</si>
  <si>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</si>
  <si>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</si>
  <si>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</si>
  <si>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</si>
  <si>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</si>
  <si>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</si>
  <si>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</si>
  <si>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</si>
  <si>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</si>
  <si>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</si>
  <si>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</si>
  <si>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</si>
  <si>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</si>
  <si>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</si>
  <si>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</si>
  <si>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</si>
  <si>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</si>
  <si>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</si>
  <si>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</si>
  <si>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</si>
  <si>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</si>
  <si>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</si>
  <si>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</si>
  <si>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</si>
  <si>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</si>
  <si>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</si>
  <si>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</si>
  <si>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</si>
  <si>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</si>
  <si>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</si>
  <si>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</si>
  <si>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</si>
  <si>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</si>
  <si>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</si>
  <si>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</si>
  <si>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</si>
  <si>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</si>
  <si>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</si>
  <si>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</si>
  <si>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</si>
  <si>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</si>
  <si>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</si>
  <si>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</si>
  <si>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</si>
  <si>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</si>
  <si>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</si>
  <si>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</si>
  <si>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</si>
  <si>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</si>
  <si>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</si>
  <si>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</si>
  <si>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</si>
  <si>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</si>
  <si>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</si>
  <si>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</si>
  <si>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</si>
  <si>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</si>
  <si>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</si>
  <si>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</si>
  <si>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</si>
  <si>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</si>
  <si>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</si>
  <si>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</si>
  <si>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</si>
  <si>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</si>
  <si>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</si>
  <si>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</si>
  <si>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</si>
  <si>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</si>
  <si>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</si>
  <si>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</si>
  <si>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</si>
  <si>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</si>
  <si>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</si>
  <si>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</si>
  <si>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</si>
  <si>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</si>
  <si>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</si>
  <si>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</si>
  <si>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</si>
  <si>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</si>
  <si>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</si>
  <si>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</si>
  <si>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</si>
  <si>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</si>
  <si>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</si>
  <si>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</si>
  <si>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</si>
  <si>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</si>
  <si>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</si>
  <si>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</si>
  <si>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</si>
  <si>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</si>
  <si>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</si>
  <si>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</si>
  <si>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</si>
  <si>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</si>
  <si>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</si>
  <si>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</si>
  <si>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</si>
  <si>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</si>
  <si>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</si>
  <si>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</si>
  <si>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</si>
  <si>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</si>
  <si>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</si>
  <si>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</si>
  <si>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</si>
  <si>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</si>
  <si>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</si>
  <si>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</si>
  <si>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</si>
  <si>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</si>
  <si>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</si>
  <si>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</si>
  <si>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</si>
  <si>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</si>
  <si>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</si>
  <si>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</si>
  <si>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</si>
  <si>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</si>
  <si>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</si>
  <si>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</si>
  <si>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</si>
  <si>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</si>
  <si>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</si>
  <si>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</si>
  <si>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</si>
  <si>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</si>
  <si>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</si>
  <si>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</si>
  <si>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</si>
  <si>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</si>
  <si>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</si>
  <si>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</si>
  <si>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</si>
  <si>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</si>
  <si>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</si>
  <si>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</si>
  <si>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</si>
  <si>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</si>
  <si>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</si>
  <si>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</si>
  <si>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</si>
  <si>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</si>
  <si>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</si>
  <si>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</si>
  <si>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</si>
  <si>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</si>
  <si>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</si>
  <si>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</si>
  <si>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</si>
  <si>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</si>
  <si>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</si>
  <si>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</si>
  <si>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</si>
  <si>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</si>
  <si>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</si>
  <si>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</si>
  <si>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</si>
  <si>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</si>
  <si>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</si>
  <si>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</si>
  <si>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</si>
  <si>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</si>
  <si>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</si>
  <si>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</si>
  <si>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</si>
  <si>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</si>
  <si>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</si>
  <si>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</si>
  <si>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</si>
  <si>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</si>
  <si>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</si>
  <si>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</si>
  <si>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</si>
  <si>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</si>
  <si>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</si>
  <si>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</si>
  <si>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</si>
  <si>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</si>
  <si>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</si>
  <si>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</si>
  <si>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</si>
  <si>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</si>
  <si>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</si>
  <si>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</si>
  <si>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</si>
  <si>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</si>
  <si>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</si>
  <si>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</si>
  <si>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</si>
  <si>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</si>
  <si>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</si>
  <si>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</si>
  <si>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</si>
  <si>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</si>
  <si>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</si>
  <si>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</si>
  <si>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</si>
  <si>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</si>
  <si>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</si>
  <si>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</si>
  <si>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</si>
  <si>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</si>
  <si>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</si>
  <si>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</si>
  <si>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</si>
  <si>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</si>
  <si>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</si>
  <si>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</si>
  <si>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</si>
  <si>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</si>
  <si>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</si>
  <si>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</si>
  <si>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</si>
  <si>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</si>
  <si>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</si>
  <si>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</si>
  <si>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</si>
  <si>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</si>
  <si>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</si>
  <si>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</si>
  <si>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</si>
  <si>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</si>
  <si>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</si>
  <si>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</si>
  <si>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</si>
  <si>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</si>
  <si>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</si>
  <si>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</si>
  <si>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</si>
  <si>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</si>
  <si>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</si>
  <si>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</si>
  <si>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</si>
  <si>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</si>
  <si>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</si>
  <si>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</si>
  <si>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</si>
  <si>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</si>
  <si>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</si>
  <si>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</si>
  <si>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</si>
  <si>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</si>
  <si>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</si>
  <si>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</si>
  <si>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</si>
  <si>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</si>
  <si>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</si>
  <si>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</si>
  <si>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</si>
  <si>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</si>
  <si>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</si>
  <si>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</si>
  <si>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</si>
  <si>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</si>
  <si>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</si>
  <si>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</si>
  <si>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</si>
  <si>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</si>
  <si>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</si>
  <si>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</si>
  <si>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</si>
  <si>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</si>
  <si>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</si>
  <si>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</si>
  <si>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</si>
  <si>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</si>
  <si>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</si>
  <si>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</si>
  <si>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</si>
  <si>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</si>
  <si>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</si>
  <si>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</si>
  <si>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</si>
  <si>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</si>
  <si>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</si>
  <si>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</si>
  <si>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</si>
  <si>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</si>
  <si>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</si>
  <si>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</si>
  <si>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</si>
  <si>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</si>
  <si>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</si>
  <si>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</si>
  <si>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</si>
  <si>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</si>
  <si>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</si>
  <si>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</si>
  <si>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</si>
  <si>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</si>
  <si>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</si>
  <si>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</si>
  <si>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</si>
  <si>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</si>
  <si>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</si>
  <si>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</si>
  <si>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</si>
  <si>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</si>
  <si>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</si>
  <si>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</si>
  <si>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</si>
  <si>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</si>
  <si>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</si>
  <si>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</si>
  <si>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</si>
  <si>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</si>
  <si>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</si>
  <si>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</si>
  <si>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</si>
  <si>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</si>
  <si>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</si>
  <si>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</si>
  <si>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</si>
  <si>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</si>
  <si>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</si>
  <si>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</si>
  <si>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</si>
  <si>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</si>
  <si>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</si>
  <si>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</si>
  <si>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</si>
  <si>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</si>
  <si>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</si>
  <si>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</si>
  <si>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</si>
  <si>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</si>
  <si>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</si>
  <si>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</si>
  <si>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</si>
  <si>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</si>
  <si>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</si>
  <si>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</si>
  <si>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</si>
  <si>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</si>
  <si>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</si>
  <si>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</si>
  <si>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</si>
  <si>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</si>
  <si>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</si>
  <si>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</si>
  <si>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</si>
  <si>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</si>
  <si>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</si>
  <si>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</si>
  <si>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</si>
  <si>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</si>
  <si>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</si>
  <si>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</si>
  <si>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</si>
  <si>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</si>
  <si>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</si>
  <si>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</si>
  <si>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</si>
  <si>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</si>
  <si>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</si>
  <si>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</si>
  <si>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</si>
  <si>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</si>
  <si>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</si>
  <si>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</si>
  <si>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</si>
  <si>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</si>
  <si>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</si>
  <si>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</si>
  <si>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</si>
  <si>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</si>
  <si>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</si>
  <si>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</si>
  <si>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</si>
  <si>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</si>
  <si>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</si>
  <si>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</si>
  <si>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</si>
  <si>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</si>
  <si>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</si>
  <si>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</si>
  <si>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</si>
  <si>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</si>
  <si>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</si>
  <si>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</si>
  <si>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</si>
  <si>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</si>
  <si>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</si>
  <si>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</si>
  <si>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</si>
  <si>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</si>
  <si>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</si>
  <si>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</si>
  <si>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</si>
  <si>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</si>
  <si>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</si>
  <si>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</si>
  <si>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</si>
  <si>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</si>
  <si>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</si>
  <si>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</si>
  <si>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</si>
  <si>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</si>
  <si>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</si>
  <si>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</si>
  <si>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</si>
  <si>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</si>
  <si>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</si>
  <si>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</si>
  <si>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</si>
  <si>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</si>
  <si>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</si>
  <si>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</si>
  <si>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</si>
  <si>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</si>
  <si>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</si>
  <si>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</si>
  <si>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</si>
  <si>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</si>
  <si>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</si>
  <si>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</si>
  <si>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</si>
  <si>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</si>
  <si>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</si>
  <si>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</si>
  <si>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</si>
  <si>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</si>
  <si>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</si>
  <si>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</si>
  <si>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</si>
  <si>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</si>
  <si>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</si>
  <si>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</si>
  <si>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</si>
  <si>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</si>
  <si>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</si>
  <si>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</si>
  <si>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</si>
  <si>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</si>
  <si>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</si>
  <si>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</si>
  <si>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</si>
  <si>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</si>
  <si>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</si>
  <si>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</si>
  <si>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</si>
  <si>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</si>
  <si>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</si>
  <si>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</si>
  <si>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</si>
  <si>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</si>
  <si>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</si>
  <si>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</si>
  <si>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</si>
  <si>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</si>
  <si>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</si>
  <si>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</si>
  <si>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</si>
  <si>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</si>
  <si>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</si>
  <si>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</si>
  <si>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</si>
  <si>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</si>
  <si>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</si>
  <si>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</si>
  <si>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</si>
  <si>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</si>
  <si>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</si>
  <si>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</si>
  <si>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</si>
  <si>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</si>
  <si>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</si>
  <si>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</si>
  <si>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</si>
  <si>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</si>
  <si>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</si>
  <si>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</si>
  <si>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</si>
  <si>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</si>
  <si>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</si>
  <si>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</si>
  <si>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</si>
  <si>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</si>
  <si>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</si>
  <si>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</si>
  <si>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</si>
  <si>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</si>
  <si>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</si>
  <si>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</si>
  <si>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</si>
  <si>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</si>
  <si>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</si>
  <si>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</si>
  <si>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</si>
  <si>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</si>
  <si>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</si>
  <si>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</si>
  <si>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</si>
  <si>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</si>
  <si>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</si>
  <si>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</si>
  <si>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</si>
  <si>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</si>
  <si>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</si>
  <si>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</si>
  <si>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</si>
  <si>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</si>
  <si>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</si>
  <si>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</si>
  <si>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</si>
  <si>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</si>
  <si>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</si>
  <si>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</si>
  <si>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</si>
  <si>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</si>
  <si>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</si>
  <si>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</si>
  <si>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</si>
  <si>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</si>
  <si>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</si>
  <si>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</si>
  <si>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</si>
  <si>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</si>
  <si>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</si>
  <si>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</si>
  <si>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</si>
  <si>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</si>
  <si>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</si>
  <si>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</si>
  <si>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</si>
  <si>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</si>
  <si>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</si>
  <si>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</si>
  <si>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</si>
  <si>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</si>
  <si>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</si>
  <si>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</si>
  <si>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</si>
  <si>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</si>
  <si>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</si>
  <si>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</si>
  <si>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</si>
  <si>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</si>
  <si>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</si>
  <si>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</si>
  <si>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</si>
  <si>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</si>
  <si>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</si>
  <si>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</si>
  <si>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</si>
  <si>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</si>
  <si>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</si>
  <si>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</si>
  <si>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</si>
  <si>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</si>
  <si>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</si>
  <si>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</si>
  <si>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</si>
  <si>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</si>
  <si>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</si>
  <si>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</si>
  <si>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</si>
  <si>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</si>
  <si>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</si>
  <si>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</si>
  <si>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</si>
  <si>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</si>
  <si>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</si>
  <si>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</si>
  <si>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</si>
  <si>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</si>
  <si>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</si>
  <si>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</si>
  <si>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</si>
  <si>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</si>
  <si>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</si>
  <si>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</si>
  <si>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</si>
  <si>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</si>
  <si>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</si>
  <si>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</si>
  <si>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</si>
  <si>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</si>
  <si>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</si>
  <si>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</si>
  <si>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</si>
  <si>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</si>
  <si>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</si>
  <si>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</si>
  <si>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</si>
  <si>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</si>
  <si>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</si>
  <si>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</si>
  <si>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</si>
  <si>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</si>
  <si>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</si>
  <si>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</si>
  <si>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</si>
  <si>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</si>
  <si>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</si>
  <si>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</si>
  <si>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</si>
  <si>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</si>
  <si>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</si>
  <si>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</si>
  <si>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</si>
  <si>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</si>
  <si>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</si>
  <si>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</si>
  <si>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</si>
  <si>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</si>
  <si>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</si>
  <si>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</si>
  <si>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</si>
  <si>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</si>
  <si>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</si>
  <si>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</si>
  <si>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</si>
  <si>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</si>
  <si>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</si>
  <si>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</si>
  <si>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</si>
  <si>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</si>
  <si>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</si>
  <si>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</si>
  <si>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</si>
  <si>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</si>
  <si>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</si>
  <si>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</si>
  <si>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</si>
  <si>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</si>
  <si>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</si>
  <si>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</si>
  <si>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</si>
  <si>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</si>
  <si>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</si>
  <si>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</si>
  <si>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</si>
  <si>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</si>
  <si>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</si>
  <si>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</si>
  <si>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</si>
  <si>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</si>
  <si>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</si>
  <si>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</si>
  <si>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</si>
  <si>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</si>
  <si>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</si>
  <si>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</si>
  <si>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</si>
  <si>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</si>
  <si>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</si>
  <si>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</si>
  <si>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</si>
  <si>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</si>
  <si>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</si>
  <si>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</si>
  <si>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</si>
  <si>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</si>
  <si>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</si>
  <si>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</si>
  <si>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</si>
  <si>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</si>
  <si>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</si>
  <si>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</si>
  <si>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</si>
  <si>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</si>
  <si>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</si>
  <si>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</si>
  <si>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</si>
  <si>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</si>
  <si>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</si>
  <si>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</si>
  <si>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</si>
  <si>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</si>
  <si>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</si>
  <si>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</si>
  <si>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</si>
  <si>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</si>
  <si>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</si>
  <si>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</si>
  <si>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</si>
  <si>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</si>
  <si>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</si>
  <si>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</si>
  <si>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</si>
  <si>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</si>
  <si>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</si>
  <si>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</si>
  <si>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</si>
  <si>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</si>
  <si>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</si>
  <si>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</si>
  <si>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</si>
  <si>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</si>
  <si>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</si>
  <si>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</si>
  <si>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</si>
  <si>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</si>
  <si>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</si>
  <si>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</si>
  <si>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</si>
  <si>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</si>
  <si>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</si>
  <si>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</si>
  <si>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</si>
  <si>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</si>
  <si>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</si>
  <si>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</si>
  <si>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</si>
  <si>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</si>
  <si>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</si>
  <si>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</si>
  <si>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</si>
  <si>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</si>
  <si>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</si>
  <si>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</si>
  <si>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</si>
  <si>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</si>
  <si>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</si>
  <si>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</si>
  <si>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</si>
  <si>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</si>
  <si>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</si>
  <si>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</si>
  <si>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</si>
  <si>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</si>
  <si>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</si>
  <si>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</si>
  <si>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</si>
  <si>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</si>
  <si>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</si>
  <si>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</si>
  <si>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</si>
  <si>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</si>
  <si>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</si>
  <si>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</si>
  <si>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</si>
  <si>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</si>
  <si>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</si>
  <si>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</si>
  <si>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</si>
  <si>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</si>
  <si>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</si>
  <si>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</si>
  <si>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</si>
  <si>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</si>
  <si>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</si>
  <si>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</si>
  <si>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</si>
  <si>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</si>
  <si>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</si>
  <si>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</si>
  <si>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</si>
  <si>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</si>
  <si>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</si>
  <si>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</si>
  <si>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</si>
  <si>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</si>
  <si>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</si>
  <si>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</si>
  <si>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</si>
  <si>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</si>
  <si>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</si>
  <si>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</si>
  <si>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</si>
  <si>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</si>
  <si>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</si>
  <si>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</si>
  <si>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</si>
  <si>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</si>
  <si>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</si>
  <si>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</si>
  <si>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</si>
  <si>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</si>
  <si>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</si>
  <si>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</si>
  <si>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</si>
  <si>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</si>
  <si>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</si>
  <si>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</si>
  <si>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</si>
  <si>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</si>
  <si>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</si>
  <si>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</si>
  <si>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</si>
  <si>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</si>
  <si>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</si>
  <si>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</si>
  <si>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</si>
  <si>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</si>
  <si>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</si>
  <si>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</si>
  <si>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</si>
  <si>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</si>
  <si>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</si>
  <si>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</si>
  <si>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</si>
  <si>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</si>
  <si>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</si>
  <si>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</si>
  <si>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</si>
  <si>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</si>
  <si>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</si>
  <si>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</si>
  <si>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</si>
  <si>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</si>
  <si>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</si>
  <si>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</si>
  <si>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</si>
  <si>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</si>
  <si>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</si>
  <si>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</si>
  <si>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</si>
  <si>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</si>
  <si>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</si>
  <si>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</si>
  <si>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</si>
  <si>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</si>
  <si>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</si>
  <si>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</si>
  <si>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</si>
  <si>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</si>
  <si>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</si>
  <si>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</si>
  <si>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</si>
  <si>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</si>
  <si>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</si>
  <si>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</si>
  <si>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</si>
  <si>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</si>
  <si>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</si>
  <si>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</si>
  <si>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</si>
  <si>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</si>
  <si>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</si>
  <si>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</si>
  <si>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</si>
  <si>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</si>
  <si>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</si>
  <si>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</si>
  <si>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</si>
  <si>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</si>
  <si>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</si>
  <si>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</si>
  <si>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</si>
  <si>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</si>
  <si>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</si>
  <si>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</si>
  <si>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</si>
  <si>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</si>
  <si>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</si>
  <si>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</si>
  <si>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</si>
  <si>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</si>
  <si>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</si>
  <si>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</si>
  <si>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</si>
  <si>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</si>
  <si>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</si>
  <si>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</si>
  <si>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</si>
  <si>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</si>
  <si>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</si>
  <si>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</si>
  <si>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</si>
  <si>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</si>
  <si>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</si>
  <si>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</si>
  <si>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</si>
  <si>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</si>
  <si>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</si>
  <si>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</si>
  <si>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</si>
  <si>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</si>
  <si>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</si>
  <si>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</si>
  <si>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</si>
  <si>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</si>
  <si>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</si>
  <si>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</si>
  <si>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</si>
  <si>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</si>
  <si>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</si>
  <si>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</si>
  <si>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</si>
  <si>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</si>
  <si>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</si>
  <si>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</si>
  <si>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</si>
  <si>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</si>
  <si>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</si>
  <si>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</si>
  <si>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</si>
  <si>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</si>
  <si>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</si>
  <si>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</si>
  <si>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</si>
  <si>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</si>
  <si>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</si>
  <si>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</si>
  <si>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</si>
  <si>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</si>
  <si>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</si>
  <si>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</si>
  <si>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</si>
  <si>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</si>
  <si>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</si>
  <si>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</si>
  <si>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</si>
  <si>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</si>
  <si>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</si>
  <si>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</si>
  <si>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</si>
  <si>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</si>
  <si>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</si>
  <si>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</si>
  <si>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</si>
  <si>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</si>
  <si>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</si>
  <si>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</si>
  <si>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</si>
  <si>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</si>
  <si>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</si>
  <si>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</si>
  <si>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</si>
  <si>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</si>
  <si>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</si>
  <si>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</si>
  <si>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</si>
  <si>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</si>
  <si>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</si>
  <si>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</si>
  <si>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</si>
  <si>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</si>
  <si>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</si>
  <si>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</si>
  <si>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</si>
  <si>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</si>
  <si>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</si>
  <si>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</si>
  <si>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</si>
  <si>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</si>
  <si>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</si>
  <si>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</si>
  <si>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</si>
  <si>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</si>
  <si>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</si>
  <si>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</si>
  <si>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</si>
  <si>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</si>
  <si>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</si>
  <si>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</si>
  <si>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</si>
  <si>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</si>
  <si>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</si>
  <si>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</si>
  <si>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</si>
  <si>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</si>
  <si>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</si>
  <si>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</si>
  <si>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</si>
  <si>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</si>
  <si>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</si>
  <si>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</si>
  <si>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</si>
  <si>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</si>
  <si>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</si>
  <si>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</si>
  <si>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</si>
  <si>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</si>
  <si>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</si>
  <si>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</si>
  <si>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</si>
  <si>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</si>
  <si>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</si>
  <si>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</si>
  <si>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</si>
  <si>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</si>
  <si>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</si>
  <si>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</si>
  <si>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</si>
  <si>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</si>
  <si>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</si>
  <si>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</si>
  <si>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</si>
  <si>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</si>
  <si>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</si>
  <si>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</si>
  <si>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</si>
  <si>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</si>
  <si>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</si>
  <si>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</si>
  <si>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</si>
  <si>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</si>
  <si>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</si>
  <si>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</si>
  <si>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</si>
  <si>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</si>
  <si>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</si>
  <si>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</si>
  <si>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</si>
  <si>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</si>
  <si>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</si>
  <si>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</si>
  <si>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</si>
  <si>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</si>
  <si>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</si>
  <si>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</si>
  <si>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</si>
  <si>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</si>
  <si>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</si>
  <si>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</si>
  <si>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</si>
  <si>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</si>
  <si>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</si>
  <si>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</si>
  <si>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</si>
  <si>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</si>
  <si>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</si>
  <si>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</si>
  <si>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</si>
  <si>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</si>
  <si>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</si>
  <si>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</si>
  <si>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</si>
  <si>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</si>
  <si>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</si>
  <si>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</si>
  <si>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</si>
  <si>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</si>
  <si>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</si>
  <si>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</si>
  <si>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</si>
  <si>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</si>
  <si>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</si>
  <si>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</si>
  <si>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</si>
  <si>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</si>
  <si>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</si>
  <si>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</si>
  <si>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</si>
  <si>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</si>
  <si>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</si>
  <si>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</si>
  <si>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</si>
  <si>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</si>
  <si>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</si>
  <si>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</si>
  <si>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</si>
  <si>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</si>
  <si>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</si>
  <si>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</si>
  <si>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</si>
  <si>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</si>
  <si>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</si>
  <si>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</si>
  <si>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</si>
  <si>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</si>
  <si>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</si>
  <si>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</si>
  <si>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</si>
  <si>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</si>
  <si>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</si>
  <si>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</si>
  <si>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</si>
  <si>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</si>
  <si>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</si>
  <si>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</si>
  <si>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</si>
  <si>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</si>
  <si>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</si>
  <si>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</si>
  <si>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</si>
  <si>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</si>
  <si>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</si>
  <si>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</si>
  <si>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</si>
  <si>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</si>
  <si>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</si>
  <si>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</si>
  <si>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</si>
  <si>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</si>
  <si>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</si>
  <si>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</si>
  <si>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</si>
  <si>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</si>
  <si>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</si>
  <si>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</si>
  <si>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</si>
  <si>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</si>
  <si>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</si>
  <si>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</si>
  <si>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</si>
  <si>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</si>
  <si>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</si>
  <si>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</si>
  <si>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</si>
  <si>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</si>
  <si>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</si>
  <si>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</si>
  <si>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</si>
  <si>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</si>
  <si>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</si>
  <si>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</si>
  <si>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</si>
  <si>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</si>
  <si>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</si>
  <si>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</si>
  <si>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</si>
  <si>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</si>
  <si>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</si>
  <si>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</si>
  <si>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</si>
  <si>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</si>
  <si>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</si>
  <si>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</si>
  <si>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</si>
  <si>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</si>
  <si>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</si>
  <si>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</si>
  <si>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</si>
  <si>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</si>
  <si>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</si>
  <si>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</si>
  <si>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</si>
  <si>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</si>
  <si>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</si>
  <si>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</si>
  <si>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</si>
  <si>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</si>
  <si>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</si>
  <si>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</si>
  <si>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</si>
  <si>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</si>
  <si>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</si>
  <si>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</si>
  <si>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</si>
  <si>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</si>
  <si>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</si>
  <si>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</si>
  <si>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</si>
  <si>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</si>
  <si>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</si>
  <si>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</si>
  <si>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</si>
  <si>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</si>
  <si>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</si>
  <si>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</si>
  <si>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</si>
  <si>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</si>
  <si>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</si>
  <si>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</si>
  <si>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</si>
  <si>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</si>
  <si>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</si>
  <si>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</si>
  <si>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</si>
  <si>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</si>
  <si>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</si>
  <si>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</si>
  <si>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</si>
  <si>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</si>
  <si>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</si>
  <si>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</si>
  <si>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</si>
  <si>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</si>
  <si>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</si>
  <si>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</si>
  <si>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</si>
  <si>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</si>
  <si>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</si>
  <si>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</si>
  <si>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</si>
  <si>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</si>
  <si>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</si>
  <si>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</si>
  <si>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</si>
  <si>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</si>
  <si>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</si>
  <si>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</si>
  <si>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</si>
  <si>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</si>
  <si>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</si>
  <si>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</si>
  <si>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</si>
  <si>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</si>
  <si>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</si>
  <si>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</si>
  <si>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</si>
  <si>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</si>
  <si>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</si>
  <si>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</si>
  <si>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</si>
  <si>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</si>
  <si>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</si>
  <si>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</si>
  <si>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</si>
  <si>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</si>
  <si>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</si>
  <si>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</si>
  <si>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</si>
  <si>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</si>
  <si>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</si>
  <si>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</si>
  <si>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</si>
  <si>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</si>
  <si>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</si>
  <si>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</si>
  <si>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</si>
  <si>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</si>
  <si>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</si>
  <si>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</si>
  <si>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</si>
  <si>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</si>
  <si>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</si>
  <si>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</si>
  <si>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</si>
  <si>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</si>
  <si>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</si>
  <si>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</si>
  <si>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</si>
  <si>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</si>
  <si>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</si>
  <si>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</si>
  <si>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</si>
  <si>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</si>
  <si>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</si>
  <si>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</si>
  <si>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</si>
  <si>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</si>
  <si>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</si>
  <si>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</si>
  <si>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</si>
  <si>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</si>
  <si>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</si>
  <si>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</si>
  <si>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</si>
  <si>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</si>
  <si>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</si>
  <si>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</si>
  <si>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</si>
  <si>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</si>
  <si>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</si>
  <si>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</si>
  <si>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</si>
  <si>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</si>
  <si>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</si>
  <si>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</si>
  <si>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</si>
  <si>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</si>
  <si>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</si>
  <si>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</si>
  <si>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</si>
  <si>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</si>
  <si>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</si>
  <si>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</si>
  <si>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</si>
  <si>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</si>
  <si>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</si>
  <si>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</si>
  <si>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</si>
  <si>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</si>
  <si>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</si>
  <si>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</si>
  <si>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</si>
  <si>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</si>
  <si>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</si>
  <si>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</si>
  <si>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</si>
  <si>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</si>
  <si>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</si>
  <si>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</si>
  <si>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</si>
  <si>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</si>
  <si>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</si>
  <si>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</si>
  <si>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</si>
  <si>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</si>
  <si>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</si>
  <si>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</si>
  <si>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</si>
  <si>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</si>
  <si>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</si>
  <si>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</si>
  <si>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</si>
  <si>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</si>
  <si>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</si>
  <si>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</si>
  <si>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</si>
  <si>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</si>
  <si>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</si>
  <si>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</si>
  <si>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</si>
  <si>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</si>
  <si>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</si>
  <si>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</si>
  <si>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</si>
  <si>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</si>
  <si>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</si>
  <si>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</si>
  <si>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</si>
  <si>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</si>
  <si>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</si>
  <si>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</si>
  <si>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</si>
  <si>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</si>
  <si>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</si>
  <si>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</si>
  <si>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</si>
  <si>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</si>
  <si>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</si>
  <si>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</si>
  <si>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</si>
  <si>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</si>
  <si>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</si>
  <si>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</si>
  <si>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</si>
  <si>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</si>
  <si>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</si>
  <si>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</si>
  <si>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</si>
  <si>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</si>
  <si>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</si>
  <si>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</si>
  <si>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</si>
  <si>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</si>
  <si>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</si>
  <si>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</si>
  <si>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</si>
  <si>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</si>
  <si>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</si>
  <si>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</si>
  <si>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</si>
  <si>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</si>
  <si>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</si>
  <si>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</si>
  <si>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</si>
  <si>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</si>
  <si>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</si>
  <si>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</si>
  <si>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</si>
  <si>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</si>
  <si>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</si>
  <si>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</si>
  <si>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</si>
  <si>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</si>
  <si>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</si>
  <si>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</si>
  <si>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</si>
  <si>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</si>
  <si>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</si>
  <si>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</si>
  <si>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</si>
  <si>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</si>
  <si>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</si>
  <si>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</si>
  <si>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</si>
  <si>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</si>
  <si>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</si>
  <si>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</si>
  <si>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</si>
  <si>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</si>
  <si>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</si>
  <si>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</si>
  <si>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</si>
  <si>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</si>
  <si>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</si>
  <si>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</si>
  <si>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</si>
  <si>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</si>
  <si>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</si>
  <si>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</si>
  <si>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</si>
  <si>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</si>
  <si>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</si>
  <si>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</si>
  <si>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</si>
  <si>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</si>
  <si>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</si>
  <si>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</si>
  <si>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</si>
  <si>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</si>
  <si>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</si>
  <si>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</si>
  <si>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</si>
  <si>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</si>
  <si>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</si>
  <si>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</si>
  <si>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</si>
  <si>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</si>
  <si>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</si>
  <si>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</si>
  <si>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</si>
  <si>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</si>
  <si>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</si>
  <si>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</si>
  <si>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</si>
  <si>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</si>
  <si>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</si>
  <si>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</si>
  <si>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</si>
  <si>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</si>
  <si>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</si>
  <si>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</si>
  <si>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</si>
  <si>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</si>
  <si>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</si>
  <si>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</si>
  <si>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</si>
  <si>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</si>
  <si>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</si>
  <si>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</si>
  <si>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</si>
  <si>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</si>
  <si>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</si>
  <si>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</si>
  <si>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</si>
  <si>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</si>
  <si>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</si>
  <si>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</si>
  <si>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</si>
  <si>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</si>
  <si>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</si>
  <si>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</si>
  <si>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</si>
  <si>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</si>
  <si>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</si>
  <si>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</si>
  <si>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</si>
  <si>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</si>
  <si>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</si>
  <si>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</si>
  <si>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</si>
  <si>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</si>
  <si>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</si>
  <si>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</si>
  <si>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</si>
  <si>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</si>
  <si>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</si>
  <si>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</si>
  <si>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</si>
  <si>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</si>
  <si>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</si>
  <si>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</si>
  <si>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</si>
  <si>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</si>
  <si>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</si>
  <si>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</si>
  <si>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</si>
  <si>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</si>
  <si>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</si>
  <si>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</si>
  <si>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</si>
  <si>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</si>
  <si>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</si>
  <si>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</si>
  <si>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</si>
  <si>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</si>
  <si>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</si>
  <si>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</si>
  <si>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</si>
  <si>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</si>
  <si>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</si>
  <si>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</si>
  <si>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</si>
  <si>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</si>
  <si>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</si>
  <si>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</si>
  <si>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</si>
  <si>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</si>
  <si>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</si>
  <si>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</si>
  <si>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</si>
  <si>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</si>
  <si>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</si>
  <si>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</si>
  <si>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</si>
  <si>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</si>
  <si>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</si>
  <si>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</si>
  <si>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</si>
  <si>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</si>
  <si>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</si>
  <si>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</si>
  <si>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</si>
  <si>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</si>
  <si>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</si>
  <si>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</si>
  <si>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</si>
  <si>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</si>
  <si>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</si>
  <si>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</si>
  <si>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</si>
  <si>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</si>
  <si>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</si>
  <si>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</si>
  <si>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</si>
  <si>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</si>
  <si>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</si>
  <si>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</si>
  <si>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</si>
  <si>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</si>
  <si>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</si>
  <si>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</si>
  <si>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</si>
  <si>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</si>
  <si>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</si>
  <si>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</si>
  <si>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</si>
  <si>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</si>
  <si>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</si>
  <si>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</si>
  <si>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</si>
  <si>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</si>
  <si>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</si>
  <si>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</si>
  <si>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</si>
  <si>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</si>
  <si>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</si>
  <si>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</si>
  <si>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</si>
  <si>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</si>
  <si>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</si>
  <si>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</si>
  <si>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</si>
  <si>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</si>
  <si>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</si>
  <si>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</si>
  <si>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</si>
  <si>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</si>
  <si>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</si>
  <si>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</si>
  <si>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</si>
  <si>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</si>
  <si>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</si>
  <si>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</si>
  <si>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</si>
  <si>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</si>
  <si>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</si>
  <si>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</si>
  <si>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</si>
  <si>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</si>
  <si>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</si>
  <si>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</si>
  <si>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</si>
  <si>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</si>
  <si>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</si>
  <si>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</si>
  <si>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</si>
  <si>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</si>
  <si>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</si>
  <si>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</si>
  <si>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</si>
  <si>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</si>
  <si>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</si>
  <si>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</si>
  <si>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</si>
  <si>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</si>
  <si>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</si>
  <si>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</si>
  <si>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</si>
  <si>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</si>
  <si>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</si>
  <si>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</si>
  <si>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</si>
  <si>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</si>
  <si>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</si>
  <si>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</si>
  <si>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</si>
  <si>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</si>
  <si>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</si>
  <si>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</si>
  <si>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</si>
  <si>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</si>
  <si>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</si>
  <si>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</si>
  <si>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</si>
  <si>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</si>
  <si>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</si>
  <si>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</si>
  <si>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</si>
  <si>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</si>
  <si>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</si>
  <si>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</si>
  <si>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</si>
  <si>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</si>
  <si>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</si>
  <si>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</si>
  <si>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</si>
  <si>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</si>
  <si>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</si>
  <si>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</si>
  <si>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</si>
  <si>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</si>
  <si>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</si>
  <si>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</si>
  <si>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</si>
  <si>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</si>
  <si>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</si>
  <si>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</si>
  <si>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</si>
  <si>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</si>
  <si>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</si>
  <si>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</si>
  <si>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</si>
  <si>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</si>
  <si>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</si>
  <si>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</si>
  <si>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</si>
  <si>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</si>
  <si>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</si>
  <si>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</si>
  <si>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</si>
  <si>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</si>
  <si>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</si>
  <si>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</si>
  <si>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</si>
  <si>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</si>
  <si>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</si>
  <si>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</si>
  <si>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</si>
  <si>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</si>
  <si>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</si>
  <si>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</si>
  <si>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</si>
  <si>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</si>
  <si>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</si>
  <si>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</si>
  <si>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</si>
  <si>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</si>
  <si>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</si>
  <si>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</si>
  <si>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</si>
  <si>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</si>
  <si>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</si>
  <si>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</si>
  <si>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</si>
  <si>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</si>
  <si>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</si>
  <si>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</si>
  <si>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</si>
  <si>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</si>
  <si>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</si>
  <si>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</si>
  <si>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</si>
  <si>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</si>
  <si>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</si>
  <si>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</si>
  <si>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</si>
  <si>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</si>
  <si>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</si>
  <si>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</si>
  <si>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</si>
  <si>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</si>
  <si>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</si>
  <si>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</si>
  <si>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</si>
  <si>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</si>
  <si>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</si>
  <si>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</si>
  <si>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</si>
  <si>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</si>
  <si>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</si>
  <si>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</si>
  <si>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</si>
  <si>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</si>
  <si>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</si>
  <si>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</si>
  <si>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</si>
  <si>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</si>
  <si>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</si>
  <si>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</si>
  <si>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</si>
  <si>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</si>
  <si>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</si>
  <si>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</si>
  <si>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</si>
  <si>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</si>
  <si>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</si>
  <si>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</si>
  <si>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</si>
  <si>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</si>
  <si>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</si>
  <si>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</si>
  <si>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</si>
  <si>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</si>
  <si>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</si>
  <si>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</si>
  <si>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</si>
  <si>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</si>
  <si>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</si>
  <si>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</si>
  <si>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</si>
  <si>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</si>
  <si>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</si>
  <si>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</si>
  <si>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</si>
  <si>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</si>
  <si>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</si>
  <si>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</si>
  <si>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</si>
  <si>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</si>
  <si>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</si>
  <si>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</si>
  <si>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</si>
  <si>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</si>
  <si>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</si>
  <si>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</si>
  <si>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</si>
  <si>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</si>
  <si>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</si>
  <si>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</si>
  <si>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</si>
  <si>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</si>
  <si>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</si>
  <si>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</si>
  <si>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</si>
  <si>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</si>
  <si>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</si>
  <si>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</si>
  <si>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</si>
  <si>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</si>
  <si>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</si>
  <si>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</si>
  <si>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</si>
  <si>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</si>
  <si>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</si>
  <si>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</si>
  <si>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</si>
  <si>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</si>
  <si>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</si>
  <si>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</si>
  <si>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</si>
  <si>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</si>
  <si>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</si>
  <si>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</si>
  <si>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</si>
  <si>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</si>
  <si>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</si>
  <si>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</si>
  <si>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</si>
  <si>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</si>
  <si>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</si>
  <si>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</si>
  <si>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</si>
  <si>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</si>
  <si>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</si>
  <si>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</si>
  <si>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</si>
  <si>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</si>
  <si>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</si>
  <si>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</si>
  <si>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</si>
  <si>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</si>
  <si>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</si>
  <si>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</si>
  <si>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</si>
  <si>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</si>
  <si>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</si>
  <si>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</si>
  <si>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</si>
  <si>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</si>
  <si>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</si>
  <si>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</si>
  <si>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</si>
  <si>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</si>
  <si>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</si>
  <si>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</si>
  <si>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</si>
  <si>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</si>
  <si>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</si>
  <si>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</si>
  <si>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</si>
  <si>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</si>
  <si>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</si>
  <si>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</si>
  <si>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</si>
  <si>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</si>
  <si>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</si>
  <si>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</si>
  <si>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</si>
  <si>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</si>
  <si>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</si>
  <si>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</si>
  <si>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</si>
  <si>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</si>
  <si>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</si>
  <si>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</si>
  <si>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</si>
  <si>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</si>
  <si>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</si>
  <si>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</si>
  <si>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</si>
  <si>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</si>
  <si>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</si>
  <si>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</si>
  <si>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</si>
  <si>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</si>
  <si>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</si>
  <si>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</si>
  <si>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</si>
  <si>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</si>
  <si>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</si>
  <si>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</si>
  <si>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</si>
  <si>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</si>
  <si>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</si>
  <si>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</si>
  <si>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</si>
  <si>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</si>
  <si>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</si>
  <si>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</si>
  <si>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</si>
  <si>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</si>
  <si>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</si>
  <si>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</si>
  <si>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</si>
  <si>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</si>
  <si>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</si>
  <si>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</si>
  <si>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</si>
  <si>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</si>
  <si>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</si>
  <si>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</si>
  <si>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</si>
  <si>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</si>
  <si>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</si>
  <si>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</si>
  <si>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</si>
  <si>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</si>
  <si>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</si>
  <si>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</si>
  <si>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</si>
  <si>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</si>
  <si>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</si>
  <si>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</si>
  <si>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</si>
  <si>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</si>
  <si>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</si>
  <si>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</si>
  <si>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</si>
  <si>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</si>
  <si>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</si>
  <si>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</si>
  <si>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</si>
  <si>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</si>
  <si>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</si>
  <si>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</si>
  <si>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</si>
  <si>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</si>
  <si>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</si>
  <si>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</si>
  <si>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</si>
  <si>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</si>
  <si>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</si>
  <si>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</si>
  <si>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</si>
  <si>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</si>
  <si>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</si>
  <si>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</si>
  <si>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</si>
  <si>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</si>
  <si>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</si>
  <si>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</si>
  <si>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</si>
  <si>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</si>
  <si>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</si>
  <si>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</si>
  <si>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</si>
  <si>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</si>
  <si>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</si>
  <si>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</si>
  <si>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</si>
  <si>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</si>
  <si>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</si>
  <si>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</si>
  <si>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</si>
  <si>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</si>
  <si>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</si>
  <si>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</si>
  <si>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</si>
  <si>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</si>
  <si>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</si>
  <si>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</si>
  <si>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</si>
  <si>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</si>
  <si>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</si>
  <si>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</si>
  <si>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</si>
  <si>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</si>
  <si>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</si>
  <si>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</si>
  <si>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</si>
  <si>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</si>
  <si>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</si>
  <si>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</si>
  <si>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</si>
  <si>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</si>
  <si>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</si>
  <si>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</si>
  <si>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</si>
  <si>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</si>
  <si>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</si>
  <si>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</si>
  <si>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</si>
  <si>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</si>
  <si>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</si>
  <si>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</si>
  <si>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</si>
  <si>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</si>
  <si>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</si>
  <si>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</si>
  <si>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</si>
  <si>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</si>
  <si>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</si>
  <si>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</si>
  <si>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</si>
  <si>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</si>
  <si>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</si>
  <si>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</si>
  <si>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</si>
  <si>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</si>
  <si>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</si>
  <si>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</si>
  <si>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</si>
  <si>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</si>
  <si>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</si>
  <si>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</si>
  <si>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</si>
  <si>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</si>
  <si>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</si>
  <si>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</si>
  <si>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</si>
  <si>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</si>
  <si>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</si>
  <si>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</si>
  <si>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</si>
  <si>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</si>
  <si>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</si>
  <si>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</si>
  <si>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</si>
  <si>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</si>
  <si>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</si>
  <si>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</si>
  <si>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</si>
  <si>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</si>
  <si>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</si>
  <si>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</si>
  <si>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</si>
  <si>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</si>
  <si>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</si>
  <si>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</si>
  <si>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</si>
  <si>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</si>
  <si>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</si>
  <si>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</si>
  <si>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</si>
  <si>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</si>
  <si>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</si>
  <si>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</si>
  <si>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</si>
  <si>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</si>
  <si>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</si>
  <si>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</si>
  <si>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</si>
  <si>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</si>
  <si>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</si>
  <si>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</si>
  <si>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</si>
  <si>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</si>
  <si>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</si>
  <si>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</si>
  <si>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</si>
  <si>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</si>
  <si>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</si>
  <si>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</si>
  <si>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</si>
  <si>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</si>
  <si>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</si>
  <si>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</si>
  <si>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</si>
  <si>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</si>
  <si>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</si>
  <si>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</si>
  <si>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</si>
  <si>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</si>
  <si>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</si>
  <si>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</si>
  <si>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</si>
  <si>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</si>
  <si>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</si>
  <si>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</si>
  <si>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</si>
  <si>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</si>
  <si>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</si>
  <si>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</si>
  <si>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</si>
  <si>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</si>
  <si>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</si>
  <si>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</si>
  <si>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</si>
  <si>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</si>
  <si>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</si>
  <si>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</si>
  <si>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</si>
  <si>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</si>
  <si>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</si>
  <si>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</si>
  <si>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</si>
  <si>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</si>
  <si>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</si>
  <si>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</si>
  <si>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</si>
  <si>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</si>
  <si>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</si>
  <si>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</si>
  <si>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</si>
  <si>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</si>
  <si>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</si>
  <si>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</si>
  <si>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</si>
  <si>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</si>
  <si>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</si>
  <si>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</si>
  <si>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</si>
  <si>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</si>
  <si>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</si>
  <si>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</si>
  <si>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</si>
  <si>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</si>
  <si>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</si>
  <si>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</si>
  <si>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</si>
  <si>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</si>
  <si>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</si>
  <si>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</si>
  <si>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</si>
  <si>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</si>
  <si>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</si>
  <si>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</si>
  <si>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</si>
  <si>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</si>
  <si>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</si>
  <si>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</si>
  <si>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</si>
  <si>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</si>
  <si>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</si>
  <si>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</si>
  <si>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</si>
  <si>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</si>
  <si>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</si>
  <si>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</si>
  <si>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</si>
  <si>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</si>
  <si>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</si>
  <si>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</si>
  <si>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</si>
  <si>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</si>
  <si>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</si>
  <si>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</si>
  <si>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</si>
  <si>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</si>
  <si>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</si>
  <si>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</si>
  <si>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</si>
  <si>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</si>
  <si>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</si>
  <si>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</si>
  <si>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</si>
  <si>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</si>
  <si>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</si>
  <si>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</si>
  <si>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</si>
  <si>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</si>
  <si>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</si>
  <si>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</si>
  <si>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</si>
  <si>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</si>
  <si>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</si>
  <si>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</si>
  <si>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</si>
  <si>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</si>
  <si>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</si>
  <si>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</si>
  <si>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</si>
  <si>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</si>
  <si>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</si>
  <si>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</si>
  <si>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</si>
  <si>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</si>
  <si>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</si>
  <si>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</si>
  <si>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</si>
  <si>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</si>
  <si>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</si>
  <si>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</si>
  <si>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</si>
  <si>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</si>
  <si>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</si>
  <si>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</si>
  <si>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</si>
  <si>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</si>
  <si>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</si>
  <si>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</si>
  <si>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</si>
  <si>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</si>
  <si>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</si>
  <si>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</si>
  <si>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</si>
  <si>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</si>
  <si>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</si>
  <si>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</si>
  <si>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</si>
  <si>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</si>
  <si>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</si>
  <si>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</si>
  <si>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</si>
  <si>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</si>
  <si>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</si>
  <si>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</si>
  <si>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</si>
  <si>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</si>
  <si>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</si>
  <si>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</si>
  <si>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</si>
  <si>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</si>
  <si>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</si>
  <si>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</si>
  <si>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</si>
  <si>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</si>
  <si>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</si>
  <si>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</si>
  <si>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</si>
  <si>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</si>
  <si>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</si>
  <si>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</si>
  <si>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</si>
  <si>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</si>
  <si>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</si>
  <si>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</si>
  <si>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</si>
  <si>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</si>
  <si>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</si>
  <si>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</si>
  <si>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</si>
  <si>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</si>
  <si>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</si>
  <si>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</si>
  <si>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</si>
  <si>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</si>
  <si>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</si>
  <si>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</si>
  <si>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</si>
  <si>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</si>
  <si>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</si>
  <si>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</si>
  <si>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</si>
  <si>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</si>
  <si>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</si>
  <si>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</si>
  <si>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</si>
  <si>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</si>
  <si>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</si>
  <si>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</si>
  <si>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</si>
  <si>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</si>
  <si>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</si>
  <si>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</si>
  <si>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</si>
  <si>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</si>
  <si>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</si>
  <si>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</si>
  <si>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</si>
  <si>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</si>
  <si>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</si>
  <si>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</si>
  <si>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</si>
  <si>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</si>
  <si>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</si>
  <si>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</si>
  <si>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</si>
  <si>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</si>
  <si>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</si>
  <si>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</si>
  <si>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</si>
  <si>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</si>
  <si>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</si>
  <si>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</si>
  <si>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</si>
  <si>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</si>
  <si>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</si>
  <si>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</si>
  <si>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</si>
  <si>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</si>
  <si>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</si>
  <si>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</si>
  <si>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</si>
  <si>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</si>
  <si>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</si>
  <si>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</si>
  <si>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</si>
  <si>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</si>
  <si>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</si>
  <si>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</si>
  <si>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</si>
  <si>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</si>
  <si>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</si>
  <si>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</si>
  <si>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</si>
  <si>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</si>
  <si>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</si>
  <si>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</si>
  <si>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</si>
  <si>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</si>
  <si>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</si>
  <si>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</si>
  <si>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</si>
  <si>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</si>
  <si>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</si>
  <si>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</si>
  <si>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</si>
  <si>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</si>
  <si>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</si>
  <si>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</si>
  <si>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</si>
  <si>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</si>
  <si>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</si>
  <si>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</si>
  <si>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</si>
  <si>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</si>
  <si>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</si>
  <si>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</si>
  <si>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</si>
  <si>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</si>
  <si>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</si>
  <si>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</si>
  <si>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</si>
  <si>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</si>
  <si>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</si>
  <si>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</si>
  <si>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</si>
  <si>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</si>
  <si>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</si>
  <si>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</si>
  <si>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</si>
  <si>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</si>
  <si>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</si>
  <si>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</si>
  <si>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</si>
  <si>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</si>
  <si>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</si>
  <si>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</si>
  <si>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</si>
  <si>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</si>
  <si>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</si>
  <si>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</si>
  <si>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</si>
  <si>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</si>
  <si>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</si>
  <si>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</si>
  <si>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</si>
  <si>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</si>
  <si>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</si>
  <si>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</si>
  <si>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</si>
  <si>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</si>
  <si>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</si>
  <si>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</si>
  <si>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</si>
  <si>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</si>
  <si>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</si>
  <si>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</si>
  <si>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</si>
  <si>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</si>
  <si>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</si>
  <si>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</si>
  <si>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</si>
  <si>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</si>
  <si>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</si>
  <si>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</si>
  <si>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</si>
  <si>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</si>
  <si>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</si>
  <si>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</si>
  <si>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</si>
  <si>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</si>
  <si>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</si>
  <si>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</si>
  <si>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</si>
  <si>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</si>
  <si>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</si>
  <si>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</si>
  <si>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</si>
  <si>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</si>
  <si>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</si>
  <si>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</si>
  <si>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</si>
  <si>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</si>
  <si>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</si>
  <si>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</si>
  <si>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</si>
  <si>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</si>
  <si>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</si>
  <si>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</si>
  <si>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</si>
  <si>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</si>
  <si>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</si>
  <si>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</si>
  <si>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</si>
  <si>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</si>
  <si>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</si>
  <si>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</si>
  <si>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</si>
  <si>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</si>
  <si>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</si>
  <si>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</si>
  <si>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</si>
  <si>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</si>
  <si>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</si>
  <si>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</si>
  <si>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</si>
  <si>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</si>
  <si>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</si>
  <si>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</si>
  <si>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</si>
  <si>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</si>
  <si>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</si>
  <si>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</si>
  <si>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</si>
  <si>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</si>
  <si>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</si>
  <si>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</si>
  <si>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</si>
  <si>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</si>
  <si>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</si>
  <si>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</si>
  <si>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</si>
  <si>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</si>
  <si>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</si>
  <si>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</si>
  <si>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</si>
  <si>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</si>
  <si>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</si>
  <si>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</si>
  <si>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</si>
  <si>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</si>
  <si>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</si>
  <si>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</si>
  <si>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</si>
  <si>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</si>
  <si>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</si>
  <si>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</si>
  <si>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</si>
  <si>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</si>
  <si>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</si>
  <si>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</si>
  <si>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</si>
  <si>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</si>
  <si>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</si>
  <si>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</si>
  <si>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</si>
  <si>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</si>
  <si>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</si>
  <si>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</si>
  <si>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</si>
  <si>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</si>
  <si>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</si>
  <si>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</si>
  <si>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</si>
  <si>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</si>
  <si>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</si>
  <si>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</si>
  <si>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</si>
  <si>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</si>
  <si>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</si>
  <si>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</si>
  <si>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</si>
  <si>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</si>
  <si>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</si>
  <si>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</si>
  <si>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</si>
  <si>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</si>
  <si>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</si>
  <si>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</si>
  <si>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</si>
  <si>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</si>
  <si>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</si>
  <si>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</si>
  <si>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</si>
  <si>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</si>
  <si>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</si>
  <si>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</si>
  <si>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</si>
  <si>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</si>
  <si>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</si>
  <si>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</si>
  <si>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</si>
  <si>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</si>
  <si>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</si>
  <si>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</si>
  <si>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</si>
  <si>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</si>
  <si>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</si>
  <si>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</si>
  <si>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</si>
  <si>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</si>
  <si>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</si>
  <si>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</si>
  <si>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</si>
  <si>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</si>
  <si>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</si>
  <si>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</si>
  <si>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</si>
  <si>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</si>
  <si>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</si>
  <si>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</si>
  <si>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</si>
  <si>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</si>
  <si>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</si>
  <si>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</si>
  <si>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</si>
  <si>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</si>
  <si>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</si>
  <si>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</si>
  <si>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</si>
  <si>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</si>
  <si>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</si>
  <si>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</si>
  <si>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</si>
  <si>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</si>
  <si>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</si>
  <si>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</si>
  <si>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</si>
  <si>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</si>
  <si>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</si>
  <si>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</si>
  <si>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</si>
  <si>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</si>
  <si>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</si>
  <si>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</si>
  <si>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</si>
  <si>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</si>
  <si>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</si>
  <si>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</si>
  <si>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</si>
  <si>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</si>
  <si>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</si>
  <si>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</si>
  <si>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</si>
  <si>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</si>
  <si>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</si>
  <si>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</si>
  <si>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</si>
  <si>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</si>
  <si>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</si>
  <si>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</si>
  <si>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</si>
  <si>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</si>
  <si>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</si>
  <si>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</si>
  <si>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</si>
  <si>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</si>
  <si>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</si>
  <si>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</si>
  <si>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</si>
  <si>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</si>
  <si>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</si>
  <si>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</si>
  <si>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</si>
  <si>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</si>
  <si>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</si>
  <si>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</si>
  <si>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</si>
  <si>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</si>
  <si>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</si>
  <si>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</si>
  <si>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</si>
  <si>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</si>
  <si>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</si>
  <si>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</si>
  <si>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</si>
  <si>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</si>
  <si>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</si>
  <si>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</si>
  <si>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</si>
  <si>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</si>
  <si>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</si>
  <si>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</si>
  <si>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</si>
  <si>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</si>
  <si>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</si>
  <si>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</si>
  <si>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</si>
  <si>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</si>
  <si>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</si>
  <si>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</si>
  <si>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</si>
  <si>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</si>
  <si>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</si>
  <si>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</si>
  <si>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</si>
  <si>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</si>
  <si>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</si>
  <si>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</si>
  <si>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</si>
  <si>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</si>
  <si>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</si>
  <si>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</si>
  <si>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</si>
  <si>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</si>
  <si>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</si>
  <si>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</si>
  <si>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</si>
  <si>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</si>
  <si>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</si>
  <si>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</si>
  <si>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</si>
  <si>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</si>
  <si>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</si>
  <si>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</si>
  <si>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</si>
  <si>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</si>
  <si>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</si>
  <si>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</si>
  <si>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</si>
  <si>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</si>
  <si>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</si>
  <si>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</si>
  <si>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</si>
  <si>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</si>
  <si>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</si>
  <si>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</si>
  <si>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</si>
  <si>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</si>
  <si>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</si>
  <si>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</si>
  <si>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</si>
  <si>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</si>
  <si>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</si>
  <si>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</si>
  <si>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</si>
  <si>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</si>
  <si>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</si>
  <si>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</si>
  <si>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</si>
  <si>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</si>
  <si>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</si>
  <si>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</si>
  <si>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</si>
  <si>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</si>
  <si>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</si>
  <si>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</si>
  <si>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</si>
  <si>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</si>
  <si>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</si>
  <si>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</si>
  <si>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</si>
  <si>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</si>
  <si>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</si>
  <si>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</si>
  <si>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</si>
  <si>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</si>
  <si>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</si>
  <si>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</si>
  <si>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</si>
  <si>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</si>
  <si>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</si>
  <si>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</si>
  <si>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</si>
  <si>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</si>
  <si>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</si>
  <si>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</si>
  <si>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</si>
  <si>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</si>
  <si>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</si>
  <si>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</si>
  <si>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</si>
  <si>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</si>
  <si>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</si>
  <si>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</si>
  <si>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</si>
  <si>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</si>
  <si>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</si>
  <si>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</si>
  <si>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</si>
  <si>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</si>
  <si>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</si>
  <si>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</si>
  <si>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</si>
  <si>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</si>
  <si>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</si>
  <si>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</si>
  <si>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</si>
  <si>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</si>
  <si>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</si>
  <si>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</si>
  <si>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</si>
  <si>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</si>
  <si>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</si>
  <si>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</si>
  <si>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</si>
  <si>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</si>
  <si>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</si>
  <si>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</si>
  <si>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</si>
  <si>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</si>
  <si>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</si>
  <si>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</si>
  <si>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</si>
  <si>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</si>
  <si>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</si>
  <si>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</si>
  <si>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</si>
  <si>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</si>
  <si>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</si>
  <si>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</si>
  <si>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</si>
  <si>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</si>
  <si>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</si>
  <si>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</si>
  <si>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</si>
  <si>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</si>
  <si>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</si>
  <si>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</si>
  <si>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</si>
  <si>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</si>
  <si>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</si>
  <si>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</si>
  <si>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</si>
  <si>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</si>
  <si>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</si>
  <si>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</si>
  <si>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</si>
  <si>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</si>
  <si>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</si>
  <si>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</si>
  <si>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</si>
  <si>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</si>
  <si>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</si>
  <si>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</si>
  <si>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</si>
  <si>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</si>
  <si>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</si>
  <si>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</si>
  <si>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</si>
  <si>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</si>
  <si>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</si>
  <si>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</si>
  <si>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</si>
  <si>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</si>
  <si>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</si>
  <si>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</si>
  <si>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</si>
  <si>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</si>
  <si>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</si>
  <si>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</si>
  <si>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</si>
  <si>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</si>
  <si>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</si>
  <si>
    <t>市场比较法</t>
  </si>
  <si>
    <t>办公</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</si>
</sst>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46266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403168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2664</v>
      </c>
      <c r="B1" s="2915" t="s">
        <v>2761</v>
      </c>
    </row>
    <row r="2" spans="1:55" s="2919" customFormat="1" ht="15" thickTop="1">
      <c r="A2" s="2917" t="s">
        <v>2668</v>
      </c>
      <c r="B2" s="2918" t="str">
        <f>'预评函-封皮'!B37</f>
        <v>出让国有建设用地使用权预评估</v>
      </c>
      <c r="AX2" s="2920"/>
      <c r="AZ2" s="2920"/>
      <c r="BA2" s="2921"/>
      <c r="BC2" s="2921"/>
    </row>
    <row r="3" spans="1:55" s="2922" customFormat="1">
      <c r="A3" s="2901" t="s">
        <v>2669</v>
      </c>
      <c r="B3" s="2904">
        <f>'预评函-封皮'!B40</f>
        <v>0</v>
      </c>
    </row>
    <row r="4" spans="1:55" s="2903" customFormat="1">
      <c r="A4" s="2901" t="s">
        <v>2670</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2671</v>
      </c>
      <c r="B5" s="2924" t="str">
        <f>'预评函-封皮'!B49</f>
        <v>康正预评字号</v>
      </c>
    </row>
    <row r="6" spans="1:55" s="2925" customFormat="1" ht="15" thickTop="1">
      <c r="A6" s="2917" t="s">
        <v>2713</v>
      </c>
      <c r="B6" s="2918" t="str">
        <f>'预评函-1'!A4</f>
        <v>受贵公司委托，我公司对出让国有建设用地使用权进行了预评估。</v>
      </c>
      <c r="AM6" s="2926"/>
    </row>
    <row r="7" spans="1:55" s="2900" customFormat="1">
      <c r="A7" s="2901" t="s">
        <v>2665</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2666</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2716</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2667</v>
      </c>
      <c r="B10" s="2902" t="str">
        <f>'预评函-1'!A11</f>
        <v>2018年1月4日（评估专业人员勘察现场之日）</v>
      </c>
    </row>
    <row r="11" spans="1:55" s="2900" customFormat="1">
      <c r="A11" s="2901" t="s">
        <v>2673</v>
      </c>
      <c r="B11" s="2902" t="str">
        <f>'预评函-1'!A14</f>
        <v>根据《国有土地使用证》[]，本次评估估价对象证载（地类）用途为。</v>
      </c>
    </row>
    <row r="12" spans="1:55" s="2900" customFormat="1">
      <c r="A12" s="2901" t="s">
        <v>2674</v>
      </c>
      <c r="B12" s="2902" t="str">
        <f>'预评函-1'!A15</f>
        <v>本次评估设定用途即为证载用途。</v>
      </c>
    </row>
    <row r="13" spans="1:55" s="2900" customFormat="1">
      <c r="A13" s="2901" t="s">
        <v>2675</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2676</v>
      </c>
      <c r="B14" s="2902" t="str">
        <f>'预评函-1'!A18</f>
        <v>。本次评估设定土地开发程度为红线外市政基础设施达“七通”、宗地红线内场地平整。</v>
      </c>
    </row>
    <row r="15" spans="1:55" s="2900" customFormat="1">
      <c r="A15" s="2901" t="s">
        <v>2672</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2677</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2678</v>
      </c>
      <c r="B17" s="2902" t="str">
        <f>'预评函-1'!A23</f>
        <v>本次评估设定估价对象剩余土地使用年限为。</v>
      </c>
    </row>
    <row r="18" spans="1:48" s="2900" customFormat="1">
      <c r="A18" s="2901" t="s">
        <v>2679</v>
      </c>
      <c r="B18" s="2902"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19" spans="1:48" s="2900" customFormat="1">
      <c r="A19" s="2901" t="s">
        <v>2680</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2681</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2682</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2683</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2684</v>
      </c>
      <c r="B23" s="2902" t="str">
        <f>'预评函-2'!K2</f>
        <v>估价期日：2018年1月4日</v>
      </c>
    </row>
    <row r="24" spans="1:48">
      <c r="A24" s="2901" t="s">
        <v>2685</v>
      </c>
      <c r="B24" s="2902" t="str">
        <f>'预评函-2'!R2</f>
        <v>估价期日的国有建设用地使用权性质：出让</v>
      </c>
    </row>
    <row r="25" spans="1:48">
      <c r="A25" s="2901" t="s">
        <v>2741</v>
      </c>
      <c r="B25" s="2902" t="str">
        <f>'预评函-2'!A3</f>
        <v>估价期日土地使用者</v>
      </c>
    </row>
    <row r="26" spans="1:48">
      <c r="A26" s="2901" t="s">
        <v>2717</v>
      </c>
      <c r="B26" s="2902" t="str">
        <f>'预评函-2'!A5</f>
        <v>中信开发</v>
      </c>
    </row>
    <row r="27" spans="1:48">
      <c r="A27" s="2901" t="s">
        <v>2742</v>
      </c>
      <c r="B27" s="2902" t="str">
        <f>'预评函-2'!B3</f>
        <v>宗地编号/不动产单元号</v>
      </c>
    </row>
    <row r="28" spans="1:48">
      <c r="A28" s="2901" t="s">
        <v>2718</v>
      </c>
      <c r="B28" s="2902" t="str">
        <f>'预评函-2'!B5</f>
        <v>11111111111</v>
      </c>
    </row>
    <row r="29" spans="1:48">
      <c r="A29" s="2901" t="s">
        <v>2744</v>
      </c>
      <c r="B29" s="2902">
        <f>'预评函-2'!C5</f>
        <v>22</v>
      </c>
    </row>
    <row r="30" spans="1:48">
      <c r="A30" s="2901" t="s">
        <v>2745</v>
      </c>
      <c r="B30" s="2902" t="str">
        <f>'预评函-2'!D3</f>
        <v>土地使用证编号/不动产权证书编号</v>
      </c>
    </row>
    <row r="31" spans="1:48">
      <c r="A31" s="2901" t="s">
        <v>2719</v>
      </c>
      <c r="B31" s="2902" t="str">
        <f>'预评函-2'!D5</f>
        <v>京国土字第111号</v>
      </c>
    </row>
    <row r="32" spans="1:48">
      <c r="A32" s="2901" t="s">
        <v>2720</v>
      </c>
      <c r="B32" s="2902">
        <f>'预评函-2'!E5</f>
        <v>0</v>
      </c>
      <c r="AV32" s="2906"/>
    </row>
    <row r="33" spans="1:2">
      <c r="A33" s="2901" t="s">
        <v>2721</v>
      </c>
      <c r="B33" s="2902">
        <f>'预评函-2'!F5</f>
        <v>258</v>
      </c>
    </row>
    <row r="34" spans="1:2">
      <c r="A34" s="2901" t="s">
        <v>2722</v>
      </c>
      <c r="B34" s="2902">
        <f>'预评函-2'!G5</f>
        <v>0</v>
      </c>
    </row>
    <row r="35" spans="1:2">
      <c r="A35" s="2901" t="s">
        <v>2723</v>
      </c>
      <c r="B35" s="2902">
        <f>'预评函-2'!H5</f>
        <v>1.5</v>
      </c>
    </row>
    <row r="36" spans="1:2">
      <c r="A36" s="2901" t="s">
        <v>2724</v>
      </c>
      <c r="B36" s="2902">
        <f>'预评函-2'!I5</f>
        <v>1.5</v>
      </c>
    </row>
    <row r="37" spans="1:2">
      <c r="A37" s="2901" t="s">
        <v>2725</v>
      </c>
      <c r="B37" s="2902">
        <f>'预评函-2'!J5</f>
        <v>1.5</v>
      </c>
    </row>
    <row r="38" spans="1:2">
      <c r="A38" s="2901" t="s">
        <v>2726</v>
      </c>
      <c r="B38" s="2902" t="str">
        <f>'预评函-2'!K5</f>
        <v>红线外七通、宗地红线内</v>
      </c>
    </row>
    <row r="39" spans="1:2">
      <c r="A39" s="2901" t="s">
        <v>2727</v>
      </c>
      <c r="B39" s="2902" t="str">
        <f>'预评函-2'!L5</f>
        <v>红线外七通、宗地红线内场地</v>
      </c>
    </row>
    <row r="40" spans="1:2">
      <c r="A40" s="2901" t="s">
        <v>2746</v>
      </c>
      <c r="B40" s="2902" t="str">
        <f>'预评函-2'!M3</f>
        <v>（剩余）土地使用年限/年</v>
      </c>
    </row>
    <row r="41" spans="1:2">
      <c r="A41" s="2901" t="s">
        <v>2728</v>
      </c>
      <c r="B41" s="2902">
        <f>'预评函-2'!M5</f>
        <v>0</v>
      </c>
    </row>
    <row r="42" spans="1:2">
      <c r="A42" s="2901" t="s">
        <v>2747</v>
      </c>
      <c r="B42" s="2902" t="str">
        <f>'预评函-2'!N3</f>
        <v>（分摊）出让国有建设用地使用权面积/㎡</v>
      </c>
    </row>
    <row r="43" spans="1:2">
      <c r="A43" s="2901" t="s">
        <v>2729</v>
      </c>
      <c r="B43" s="2902">
        <f>'预评函-2'!N5</f>
        <v>37378.1</v>
      </c>
    </row>
    <row r="44" spans="1:2">
      <c r="A44" s="2901" t="s">
        <v>2748</v>
      </c>
      <c r="B44" s="2902" t="str">
        <f>'预评函-2'!O3</f>
        <v>规划建筑面积/㎡</v>
      </c>
    </row>
    <row r="45" spans="1:2">
      <c r="A45" s="2901" t="s">
        <v>2730</v>
      </c>
      <c r="B45" s="2902">
        <f>'预评函-2'!O5</f>
        <v>136430.07</v>
      </c>
    </row>
    <row r="46" spans="1:2">
      <c r="A46" s="2901" t="s">
        <v>2731</v>
      </c>
      <c r="B46" s="2902">
        <f ca="1">'预评函-2'!P5</f>
        <v>73638</v>
      </c>
    </row>
    <row r="47" spans="1:2">
      <c r="A47" s="2901" t="s">
        <v>2732</v>
      </c>
      <c r="B47" s="2902">
        <f ca="1">'预评函-2'!Q5</f>
        <v>20175</v>
      </c>
    </row>
    <row r="48" spans="1:2">
      <c r="A48" s="2901" t="s">
        <v>2733</v>
      </c>
      <c r="B48" s="2902">
        <f ca="1">'预评函-2'!R5</f>
        <v>275243</v>
      </c>
    </row>
    <row r="49" spans="1:2">
      <c r="A49" s="2901" t="s">
        <v>2749</v>
      </c>
      <c r="B49" s="2902" t="str">
        <f>'预评函-2'!A6</f>
        <v>抵押价格</v>
      </c>
    </row>
    <row r="50" spans="1:2">
      <c r="A50" s="2901" t="s">
        <v>2734</v>
      </c>
      <c r="B50" s="2902" t="str">
        <f>'预评函-2'!R6</f>
        <v>——</v>
      </c>
    </row>
    <row r="51" spans="1:2">
      <c r="A51" s="2901" t="s">
        <v>2750</v>
      </c>
      <c r="B51" s="2902" t="str">
        <f>'预评函-2'!A7</f>
        <v>——</v>
      </c>
    </row>
    <row r="52" spans="1:2">
      <c r="A52" s="2901" t="s">
        <v>2735</v>
      </c>
      <c r="B52" s="2902" t="str">
        <f>'预评函-2'!R7</f>
        <v>——</v>
      </c>
    </row>
    <row r="53" spans="1:2">
      <c r="A53" s="2901" t="s">
        <v>2751</v>
      </c>
      <c r="B53" s="2902">
        <f>'预评函-2'!A8</f>
        <v>0</v>
      </c>
    </row>
    <row r="54" spans="1:2" s="2916" customFormat="1" ht="15" thickBot="1">
      <c r="A54" s="2923" t="s">
        <v>2736</v>
      </c>
      <c r="B54" s="2924" t="str">
        <f>'预评函-2'!R8</f>
        <v>——</v>
      </c>
    </row>
    <row r="55" spans="1:2" ht="15" thickTop="1">
      <c r="A55" s="2912" t="s">
        <v>2686</v>
      </c>
      <c r="B55" s="2913" t="str">
        <f>'预评函-3'!A2</f>
        <v>1.权利限制：根据估价对象《不动产权证书》原件、《国有土地使用权》复印件，截至估价期日，估价对象抵押权未见登记。未设定租赁等其他他项权利。</v>
      </c>
    </row>
    <row r="56" spans="1:2">
      <c r="A56" s="2901" t="s">
        <v>2687</v>
      </c>
      <c r="B56" s="2902" t="str">
        <f>'预评函-3'!A3</f>
        <v>2.基础设施条件：估价对象实际开发程度为红线外七通、宗地红线内；本次评估设定开发程度为红线外七通、宗地红线内场地。</v>
      </c>
    </row>
    <row r="57" spans="1:2">
      <c r="A57" s="2901" t="s">
        <v>2688</v>
      </c>
      <c r="B57" s="2902" t="str">
        <f>'预评函-3'!A4</f>
        <v>3.估价规划限制条件：详见《建设工程规划许可证》[]、《出让合同》[]。</v>
      </c>
    </row>
    <row r="58" spans="1:2" s="2916" customFormat="1" ht="15" thickBot="1">
      <c r="A58" s="2923" t="s">
        <v>2737</v>
      </c>
      <c r="B58" s="2924" t="str">
        <f>'预评函-3'!A5</f>
        <v>4.影响价格的其他限定条件：无。</v>
      </c>
    </row>
    <row r="59" spans="1:2" ht="15" thickTop="1">
      <c r="A59" s="2912" t="s">
        <v>2689</v>
      </c>
      <c r="B59" s="2913" t="str">
        <f>'预评函-3'!A8</f>
        <v>2.本《评估意见函》仅供金融机构进行内部审核使用，不做其他目的之用。</v>
      </c>
    </row>
    <row r="60" spans="1:2">
      <c r="A60" s="2901" t="s">
        <v>2690</v>
      </c>
      <c r="B60" s="2902" t="str">
        <f>'预评函-3'!A9</f>
        <v>3.抵押双方在办理抵押登记手续时，应使用本公司出具的正式《土地估价报告》，特提请报告使用者注意。</v>
      </c>
    </row>
    <row r="61" spans="1:2">
      <c r="A61" s="2901" t="s">
        <v>2692</v>
      </c>
      <c r="B61" s="2902" t="str">
        <f>'预评函-3'!A10</f>
        <v>4.估价师所知悉的法定优先受偿款情况为：</v>
      </c>
    </row>
    <row r="62" spans="1:2">
      <c r="A62" s="2901" t="s">
        <v>2691</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2693</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2694</v>
      </c>
      <c r="B64" s="2907" t="str">
        <f>'预评函-3'!A13</f>
        <v>（3）。</v>
      </c>
    </row>
    <row r="65" spans="1:2">
      <c r="A65" s="2901" t="s">
        <v>2695</v>
      </c>
      <c r="B65" s="2908" t="str">
        <f>'预评函-3'!A14</f>
        <v>综上，本次评估不存在估价师知悉的法定优先受偿款</v>
      </c>
    </row>
    <row r="66" spans="1:2">
      <c r="A66" s="2901" t="s">
        <v>2696</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2697</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2700</v>
      </c>
      <c r="B68" s="2927">
        <f>'预评函-3'!D30</f>
        <v>42558</v>
      </c>
    </row>
    <row r="69" spans="1:2" ht="15" thickTop="1">
      <c r="A69" s="2912" t="s">
        <v>2698</v>
      </c>
      <c r="B69" s="2913" t="str">
        <f>'预评函-3'!A20</f>
        <v>土地估价师</v>
      </c>
    </row>
    <row r="70" spans="1:2">
      <c r="A70" s="2901" t="s">
        <v>2698</v>
      </c>
      <c r="B70" s="2908">
        <f>'预评函-3'!B20</f>
        <v>0</v>
      </c>
    </row>
    <row r="71" spans="1:2">
      <c r="A71" s="2901" t="s">
        <v>2699</v>
      </c>
      <c r="B71" s="2902" t="str">
        <f>'预评函-3'!A21</f>
        <v>土地估价师</v>
      </c>
    </row>
    <row r="72" spans="1:2" s="2916" customFormat="1" ht="15" thickBot="1">
      <c r="A72" s="2923" t="s">
        <v>2699</v>
      </c>
      <c r="B72" s="2929">
        <f>'预评函-3'!B21</f>
        <v>0</v>
      </c>
    </row>
    <row r="73" spans="1:2" ht="15" thickTop="1">
      <c r="A73" s="2912" t="s">
        <v>2758</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2759</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2760</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2795</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232" t="str">
        <f>IF(B10="北京市","北京市",C10)&amp;F10&amp;B16&amp;"国有建设用地使用权"&amp;B9&amp;"预评估"</f>
        <v>出让国有建设用地使用权预评估</v>
      </c>
      <c r="C1" s="3233"/>
      <c r="D1" s="3233"/>
      <c r="E1" s="3233"/>
      <c r="F1" s="3233"/>
      <c r="G1" s="3233"/>
      <c r="H1" s="3233"/>
      <c r="I1" s="3234"/>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1941</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1942</v>
      </c>
      <c r="B3" s="1658">
        <v>43104</v>
      </c>
      <c r="C3" s="1659" t="s">
        <v>1998</v>
      </c>
      <c r="D3" s="1658">
        <v>43104</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2897</v>
      </c>
      <c r="C4" s="1842">
        <f>SUMIF(土地估价师,B4,估价师及机构信息!E3:E24)</f>
        <v>0</v>
      </c>
      <c r="D4" s="1839" t="s">
        <v>2897</v>
      </c>
      <c r="E4" s="1842">
        <f>SUMIF(土地估价师,D4,估价师及机构信息!E3:E24)</f>
        <v>0</v>
      </c>
      <c r="F4" s="1839" t="s">
        <v>952</v>
      </c>
      <c r="G4" s="1842">
        <f>SUMIF(土地估价师,F4,估价师及机构信息!E3:E24)</f>
        <v>0</v>
      </c>
      <c r="H4" s="1839" t="s">
        <v>952</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1944</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2714</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2715</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2983</v>
      </c>
      <c r="C8" s="1667"/>
      <c r="D8" s="3238" t="s">
        <v>1947</v>
      </c>
      <c r="E8" s="1840"/>
      <c r="F8" s="1668"/>
      <c r="G8" s="1656"/>
      <c r="H8" s="1656"/>
      <c r="I8" s="1703"/>
      <c r="J8" s="1690"/>
      <c r="K8" s="1770"/>
      <c r="L8" s="1719"/>
      <c r="M8" s="1719"/>
      <c r="N8" s="1690"/>
      <c r="O8" s="1691"/>
      <c r="P8" s="1690"/>
      <c r="Q8" s="1690"/>
      <c r="R8" s="1690"/>
      <c r="S8" s="1690"/>
      <c r="T8" s="1690"/>
      <c r="U8" s="1690"/>
    </row>
    <row r="9" spans="1:21" ht="15" thickBot="1">
      <c r="A9" s="1669" t="s">
        <v>1946</v>
      </c>
      <c r="B9" s="1670"/>
      <c r="C9" s="1671"/>
      <c r="D9" s="3239"/>
      <c r="E9" s="1670"/>
      <c r="F9" s="1743"/>
      <c r="G9" s="1738"/>
      <c r="H9" s="1738"/>
      <c r="I9" s="1739"/>
      <c r="J9" s="1690"/>
      <c r="K9" s="1770"/>
      <c r="L9" s="1719"/>
      <c r="M9" s="1719"/>
      <c r="N9" s="1690"/>
      <c r="O9" s="1691"/>
      <c r="P9" s="1690"/>
      <c r="Q9" s="1690"/>
      <c r="R9" s="1690"/>
      <c r="S9" s="1690"/>
      <c r="T9" s="1690"/>
      <c r="U9" s="1690"/>
    </row>
    <row r="10" spans="1:21" ht="15" thickTop="1">
      <c r="A10" s="1740" t="s">
        <v>2002</v>
      </c>
      <c r="B10" s="1715"/>
      <c r="C10" s="1672"/>
      <c r="D10" s="1663"/>
      <c r="E10" s="1673" t="s">
        <v>1949</v>
      </c>
      <c r="F10" s="1674"/>
      <c r="G10" s="1741"/>
      <c r="H10" s="1742"/>
      <c r="I10" s="1663"/>
      <c r="J10" s="1690"/>
      <c r="K10" s="1770"/>
      <c r="L10" s="1719"/>
      <c r="M10" s="1719"/>
      <c r="N10" s="1690"/>
      <c r="O10" s="1691"/>
      <c r="P10" s="1690"/>
      <c r="Q10" s="1690"/>
      <c r="R10" s="1690"/>
      <c r="S10" s="1690"/>
      <c r="T10" s="1690"/>
      <c r="U10" s="1690"/>
    </row>
    <row r="11" spans="1:21">
      <c r="A11" s="1693" t="s">
        <v>2003</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2061</v>
      </c>
      <c r="B12" s="3235"/>
      <c r="C12" s="3236"/>
      <c r="D12" s="3237"/>
      <c r="E12" s="1695" t="s">
        <v>2064</v>
      </c>
      <c r="F12" s="3253" t="s">
        <v>2898</v>
      </c>
      <c r="G12" s="3254"/>
      <c r="H12" s="3254"/>
      <c r="I12" s="3255"/>
      <c r="J12" s="1690"/>
      <c r="K12" s="1770"/>
      <c r="L12" s="1719"/>
      <c r="M12" s="1719"/>
      <c r="N12" s="1690"/>
      <c r="O12" s="1691"/>
      <c r="P12" s="1690"/>
      <c r="Q12" s="1690"/>
      <c r="R12" s="1690"/>
      <c r="S12" s="1690"/>
      <c r="T12" s="1690"/>
      <c r="U12" s="1690"/>
    </row>
    <row r="13" spans="1:21">
      <c r="A13" s="1683" t="s">
        <v>2062</v>
      </c>
      <c r="B13" s="3235"/>
      <c r="C13" s="3236"/>
      <c r="D13" s="3237"/>
      <c r="E13" s="1695" t="s">
        <v>2064</v>
      </c>
      <c r="F13" s="3253" t="s">
        <v>2899</v>
      </c>
      <c r="G13" s="3254"/>
      <c r="H13" s="3254"/>
      <c r="I13" s="3255"/>
      <c r="J13" s="1690"/>
      <c r="K13" s="1770"/>
      <c r="L13" s="1719"/>
      <c r="M13" s="1719"/>
      <c r="N13" s="1690"/>
      <c r="O13" s="1691"/>
      <c r="P13" s="1690"/>
      <c r="Q13" s="1690"/>
      <c r="R13" s="1690"/>
      <c r="S13" s="1690"/>
      <c r="T13" s="1690"/>
      <c r="U13" s="1690"/>
    </row>
    <row r="14" spans="1:21">
      <c r="A14" s="1657" t="s">
        <v>2065</v>
      </c>
      <c r="B14" s="1695"/>
      <c r="C14" s="1841" t="s">
        <v>2984</v>
      </c>
      <c r="D14" s="1729" t="str">
        <f>IF(C14="不一致","是否符合证载地类范围","")</f>
        <v/>
      </c>
      <c r="E14" s="1695"/>
      <c r="F14" s="1786" t="s">
        <v>2985</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2986</v>
      </c>
      <c r="C16" s="1695" t="s">
        <v>1951</v>
      </c>
      <c r="D16" s="2668" t="s">
        <v>1952</v>
      </c>
      <c r="E16" s="1718" t="s">
        <v>2987</v>
      </c>
      <c r="F16" s="1718"/>
      <c r="G16" s="1718"/>
      <c r="H16" s="1718"/>
      <c r="I16" s="1682" t="s">
        <v>1957</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1958</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1959</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69.900000000000006</v>
      </c>
      <c r="E19" s="1681">
        <f>IF(B16="出让",IF(E17="","",ROUNDDOWN(MIN((E17-$D$3)/365,E18),2)),E18)</f>
        <v>39.89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2063</v>
      </c>
      <c r="D20" s="3250"/>
      <c r="E20" s="3251"/>
      <c r="F20" s="3251"/>
      <c r="G20" s="3251"/>
      <c r="H20" s="3251"/>
      <c r="I20" s="3252"/>
      <c r="J20" s="1690"/>
      <c r="K20" s="1770"/>
      <c r="L20" s="1719"/>
      <c r="M20" s="1719"/>
      <c r="N20" s="1690"/>
      <c r="O20" s="1691"/>
      <c r="P20" s="1690"/>
      <c r="Q20" s="1690"/>
      <c r="R20" s="1690"/>
      <c r="S20" s="1690"/>
      <c r="T20" s="1690"/>
      <c r="U20" s="1690"/>
    </row>
    <row r="21" spans="1:21">
      <c r="A21" s="1759" t="s">
        <v>1961</v>
      </c>
      <c r="B21" s="1760" t="s">
        <v>1962</v>
      </c>
      <c r="C21" s="1755">
        <f>'数据-汇总表'!E3</f>
        <v>136430.07</v>
      </c>
      <c r="D21" s="1756" t="s">
        <v>1963</v>
      </c>
      <c r="E21" s="3240" t="s">
        <v>2001</v>
      </c>
      <c r="F21" s="3241"/>
      <c r="G21" s="3241"/>
      <c r="H21" s="3241"/>
      <c r="I21" s="3242"/>
      <c r="J21" s="1690"/>
      <c r="K21" s="1770"/>
      <c r="L21" s="1719"/>
      <c r="M21" s="1719"/>
      <c r="N21" s="1690"/>
      <c r="O21" s="1691"/>
      <c r="P21" s="1690"/>
      <c r="Q21" s="1690"/>
      <c r="R21" s="1690"/>
      <c r="S21" s="1690"/>
      <c r="T21" s="1690"/>
      <c r="U21" s="1690"/>
    </row>
    <row r="22" spans="1:21">
      <c r="A22" s="2659" t="s">
        <v>952</v>
      </c>
      <c r="B22" s="1657" t="s">
        <v>1964</v>
      </c>
      <c r="C22" s="1682">
        <f>'数据-汇总表'!D3</f>
        <v>37378.1</v>
      </c>
      <c r="D22" s="1683" t="s">
        <v>1963</v>
      </c>
      <c r="E22" s="3240" t="s">
        <v>2900</v>
      </c>
      <c r="F22" s="3241"/>
      <c r="G22" s="3241"/>
      <c r="H22" s="3241"/>
      <c r="I22" s="3242"/>
      <c r="J22" s="1690"/>
      <c r="K22" s="1770"/>
      <c r="L22" s="1719"/>
      <c r="M22" s="1719"/>
      <c r="N22" s="1690"/>
      <c r="O22" s="1691"/>
      <c r="P22" s="1690"/>
      <c r="Q22" s="1690"/>
      <c r="R22" s="1690"/>
      <c r="S22" s="1690"/>
      <c r="T22" s="1690"/>
      <c r="U22" s="1690"/>
    </row>
    <row r="23" spans="1:21" ht="29.25" thickBot="1">
      <c r="A23" s="1761" t="s">
        <v>1965</v>
      </c>
      <c r="B23" s="1697" t="s">
        <v>1966</v>
      </c>
      <c r="C23" s="1698"/>
      <c r="D23" s="1699" t="s">
        <v>1967</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43" t="s">
        <v>1969</v>
      </c>
      <c r="C24" s="3244"/>
      <c r="D24" s="3245" t="s">
        <v>1970</v>
      </c>
      <c r="E24" s="3246"/>
      <c r="F24" s="1704" t="s">
        <v>1971</v>
      </c>
      <c r="G24" s="1690"/>
      <c r="H24" s="1690"/>
      <c r="I24" s="1703"/>
      <c r="J24" s="1690"/>
      <c r="K24" s="3231"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2328</v>
      </c>
      <c r="C25" s="1705" t="s">
        <v>1973</v>
      </c>
      <c r="D25" s="1706"/>
      <c r="E25" s="1707" t="s">
        <v>952</v>
      </c>
      <c r="F25" s="1708"/>
      <c r="G25" s="1690"/>
      <c r="H25" s="1690"/>
      <c r="I25" s="1703"/>
      <c r="J25" s="1690"/>
      <c r="K25" s="323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1974</v>
      </c>
      <c r="C26" s="1705" t="s">
        <v>2329</v>
      </c>
      <c r="D26" s="1656"/>
      <c r="E26" s="1656"/>
      <c r="F26" s="1684"/>
      <c r="G26" s="1690"/>
      <c r="H26" s="1690"/>
      <c r="I26" s="1703"/>
      <c r="J26" s="1690"/>
      <c r="K26" s="323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1975</v>
      </c>
      <c r="B27" s="1749" t="s">
        <v>1976</v>
      </c>
      <c r="C27" s="1709"/>
      <c r="D27" s="2673" t="s">
        <v>1976</v>
      </c>
      <c r="E27" s="1710"/>
      <c r="F27" s="1684"/>
      <c r="G27" s="1690"/>
      <c r="H27" s="1690"/>
      <c r="I27" s="1703"/>
      <c r="J27" s="1690"/>
      <c r="K27" s="1770"/>
      <c r="L27" s="1719"/>
      <c r="M27" s="1719"/>
      <c r="N27" s="1690"/>
      <c r="O27" s="1691"/>
      <c r="P27" s="1690"/>
      <c r="Q27" s="1690"/>
      <c r="R27" s="1690"/>
      <c r="S27" s="1690"/>
      <c r="T27" s="1690"/>
      <c r="U27" s="1690"/>
    </row>
    <row r="28" spans="1:21">
      <c r="A28" s="1752"/>
      <c r="B28" s="1749" t="s">
        <v>1977</v>
      </c>
      <c r="C28" s="1711"/>
      <c r="D28" s="2674" t="s">
        <v>1977</v>
      </c>
      <c r="E28" s="1712"/>
      <c r="F28" s="1684"/>
      <c r="G28" s="1690"/>
      <c r="H28" s="1690"/>
      <c r="I28" s="1703"/>
      <c r="J28" s="1690"/>
      <c r="K28" s="1770"/>
      <c r="L28" s="1719"/>
      <c r="M28" s="1719"/>
      <c r="N28" s="1690"/>
      <c r="O28" s="1691"/>
      <c r="P28" s="1690"/>
      <c r="Q28" s="1690"/>
      <c r="R28" s="1690"/>
      <c r="S28" s="1690"/>
      <c r="T28" s="1690"/>
      <c r="U28" s="1690"/>
    </row>
    <row r="29" spans="1:21">
      <c r="A29" s="1752"/>
      <c r="B29" s="1749" t="s">
        <v>1978</v>
      </c>
      <c r="C29" s="1711"/>
      <c r="D29" s="2674" t="s">
        <v>1978</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1979</v>
      </c>
      <c r="C30" s="1713"/>
      <c r="D30" s="2675" t="s">
        <v>1979</v>
      </c>
      <c r="E30" s="1714"/>
      <c r="F30" s="1685"/>
      <c r="G30" s="1738"/>
      <c r="H30" s="1738"/>
      <c r="I30" s="1739"/>
      <c r="J30" s="1690"/>
      <c r="K30" s="1770"/>
      <c r="L30" s="1719"/>
      <c r="M30" s="1719"/>
      <c r="N30" s="1690"/>
      <c r="O30" s="1691"/>
      <c r="P30" s="1690"/>
      <c r="Q30" s="1690"/>
      <c r="R30" s="1690"/>
      <c r="S30" s="1690"/>
      <c r="T30" s="1690"/>
      <c r="U30" s="1690"/>
    </row>
    <row r="31" spans="1:21" ht="15" thickTop="1">
      <c r="A31" s="3258" t="s">
        <v>2004</v>
      </c>
      <c r="B31" s="1760" t="s">
        <v>2005</v>
      </c>
      <c r="C31" s="3256"/>
      <c r="D31" s="3257"/>
      <c r="E31" s="1690"/>
      <c r="F31" s="1690"/>
      <c r="G31" s="1690"/>
      <c r="H31" s="1690"/>
      <c r="I31" s="1703"/>
      <c r="J31" s="1690"/>
      <c r="K31" s="2479"/>
      <c r="L31" s="1690"/>
      <c r="M31" s="1690"/>
      <c r="N31" s="1690"/>
      <c r="O31" s="1690"/>
      <c r="P31" s="1690"/>
      <c r="Q31" s="1690"/>
      <c r="R31" s="1690"/>
      <c r="S31" s="1690"/>
      <c r="T31" s="1690"/>
      <c r="U31" s="1690"/>
    </row>
    <row r="32" spans="1:21">
      <c r="A32" s="3258"/>
      <c r="B32" s="1657" t="s">
        <v>2006</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58"/>
      <c r="B33" s="1657" t="s">
        <v>2007</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59"/>
      <c r="B34" s="1657" t="s">
        <v>2008</v>
      </c>
      <c r="C34" s="3260"/>
      <c r="D34" s="3261"/>
      <c r="E34" s="1690"/>
      <c r="F34" s="1690"/>
      <c r="G34" s="1690"/>
      <c r="H34" s="1690"/>
      <c r="I34" s="1703"/>
      <c r="J34" s="1690"/>
      <c r="K34" s="2479"/>
      <c r="L34" s="1690"/>
      <c r="M34" s="1690"/>
      <c r="N34" s="1690"/>
      <c r="O34" s="1690"/>
      <c r="P34" s="1690"/>
      <c r="Q34" s="1690"/>
      <c r="R34" s="1690"/>
      <c r="S34" s="1690"/>
      <c r="T34" s="1690"/>
      <c r="U34" s="1690"/>
    </row>
    <row r="35" spans="1:21">
      <c r="A35" s="3262" t="s">
        <v>847</v>
      </c>
      <c r="B35" s="1718"/>
      <c r="C35" s="1772" t="str">
        <f>IF(B35="场地平整","——","具体情况：")</f>
        <v>具体情况：</v>
      </c>
      <c r="D35" s="3264"/>
      <c r="E35" s="3265"/>
      <c r="F35" s="3265"/>
      <c r="G35" s="3265"/>
      <c r="H35" s="3265"/>
      <c r="I35" s="3266"/>
      <c r="J35" s="1690"/>
      <c r="K35" s="1771"/>
      <c r="L35" s="1719"/>
      <c r="M35" s="1719"/>
      <c r="N35" s="1690"/>
      <c r="O35" s="1691"/>
      <c r="P35" s="1690"/>
      <c r="Q35" s="1690"/>
      <c r="R35" s="1690"/>
      <c r="S35" s="1690"/>
      <c r="T35" s="1690"/>
      <c r="U35" s="1690"/>
    </row>
    <row r="36" spans="1:21">
      <c r="A36" s="3258"/>
      <c r="B36" s="3267" t="s">
        <v>2057</v>
      </c>
      <c r="C36" s="3268"/>
      <c r="D36" s="1788"/>
      <c r="E36" s="3269"/>
      <c r="F36" s="3269"/>
      <c r="G36" s="1683" t="str">
        <f>IF(B35="场地未平整","估价结果处理","")</f>
        <v/>
      </c>
      <c r="H36" s="3270"/>
      <c r="I36" s="3270"/>
      <c r="J36" s="1690"/>
      <c r="K36" s="1771"/>
      <c r="L36" s="1719"/>
      <c r="M36" s="1719"/>
      <c r="N36" s="1690"/>
      <c r="O36" s="1691"/>
      <c r="P36" s="1690"/>
      <c r="Q36" s="1690"/>
      <c r="R36" s="1690"/>
      <c r="S36" s="1690"/>
      <c r="T36" s="1690"/>
      <c r="U36" s="1690"/>
    </row>
    <row r="37" spans="1:21" ht="28.5">
      <c r="A37" s="3258"/>
      <c r="B37" s="3247"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8"/>
      <c r="B38" s="3248"/>
      <c r="C38" s="1665" t="s">
        <v>850</v>
      </c>
      <c r="D38" s="1787">
        <f>ROUNDDOWN(MIN(('数据-取费表'!$B$2-D37)/365,D34),1)</f>
        <v>118</v>
      </c>
      <c r="E38" s="1723" t="s">
        <v>851</v>
      </c>
      <c r="F38" s="1690"/>
      <c r="G38" s="1690"/>
      <c r="H38" s="1690"/>
      <c r="I38" s="1703"/>
      <c r="J38" s="1690"/>
      <c r="K38" s="1771"/>
      <c r="L38" s="1690"/>
      <c r="M38" s="1690"/>
      <c r="N38" s="1690"/>
      <c r="O38" s="1690"/>
      <c r="P38" s="1690"/>
      <c r="Q38" s="1690"/>
      <c r="R38" s="1690"/>
      <c r="S38" s="1690"/>
      <c r="T38" s="1690"/>
      <c r="U38" s="1690"/>
    </row>
    <row r="39" spans="1:21">
      <c r="A39" s="3259"/>
      <c r="B39" s="324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1980</v>
      </c>
      <c r="B40" s="1686"/>
      <c r="C40" s="1686"/>
      <c r="D40" s="1686"/>
      <c r="E40" s="1686"/>
      <c r="F40" s="1686"/>
      <c r="G40" s="1686"/>
      <c r="H40" s="1686"/>
      <c r="I40" s="1703"/>
      <c r="J40" s="1690"/>
      <c r="K40" s="1726">
        <f>COUNTIF(B40:H40,"——")</f>
        <v>0</v>
      </c>
      <c r="L40" s="1695" t="s">
        <v>1981</v>
      </c>
      <c r="M40" s="1692" t="s">
        <v>1982</v>
      </c>
      <c r="N40" s="1692" t="s">
        <v>1983</v>
      </c>
      <c r="O40" s="1692" t="s">
        <v>1984</v>
      </c>
      <c r="P40" s="1692" t="s">
        <v>1985</v>
      </c>
      <c r="Q40" s="1692" t="s">
        <v>1986</v>
      </c>
      <c r="R40" s="1692" t="s">
        <v>1987</v>
      </c>
      <c r="S40" s="3230" t="s">
        <v>1988</v>
      </c>
      <c r="T40" s="1727" t="str">
        <f>NUMBERSTRING(7-K40,1)&amp;"通"</f>
        <v>七通</v>
      </c>
      <c r="U40" s="1690"/>
    </row>
    <row r="41" spans="1:21">
      <c r="A41" s="1659"/>
      <c r="B41" s="3263" t="s">
        <v>1722</v>
      </c>
      <c r="C41" s="3263"/>
      <c r="D41" s="3263"/>
      <c r="E41" s="3263"/>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0"/>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2901</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2009</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2010</v>
      </c>
      <c r="B48" s="1682" t="s">
        <v>2011</v>
      </c>
      <c r="C48" s="1682" t="s">
        <v>2012</v>
      </c>
      <c r="D48" s="1682" t="s">
        <v>2013</v>
      </c>
      <c r="E48" s="1682" t="s">
        <v>2014</v>
      </c>
      <c r="F48" s="1682" t="s">
        <v>2015</v>
      </c>
      <c r="G48" s="1682" t="s">
        <v>2016</v>
      </c>
      <c r="H48" s="1682" t="s">
        <v>2017</v>
      </c>
      <c r="I48" s="1682" t="s">
        <v>2018</v>
      </c>
      <c r="J48" s="1768" t="s">
        <v>2019</v>
      </c>
      <c r="K48" s="1762" t="s">
        <v>2020</v>
      </c>
      <c r="L48" s="1762" t="s">
        <v>2021</v>
      </c>
      <c r="M48" s="1762" t="s">
        <v>2022</v>
      </c>
      <c r="N48" s="1682" t="s">
        <v>2023</v>
      </c>
      <c r="O48" s="1682" t="s">
        <v>2024</v>
      </c>
      <c r="P48" s="1682" t="s">
        <v>2025</v>
      </c>
      <c r="Q48" s="1695" t="s">
        <v>2026</v>
      </c>
      <c r="R48" s="1695" t="s">
        <v>2027</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 sqref="AN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57" t="s">
        <v>2336</v>
      </c>
      <c r="BA2" s="2358" t="s">
        <v>2335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1679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167</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168</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176</v>
      </c>
      <c r="AV7" s="41" t="s">
        <v>177</v>
      </c>
      <c r="AW7" s="42" t="s">
        <v>178</v>
      </c>
      <c r="AX7" s="41" t="s">
        <v>179</v>
      </c>
      <c r="AY7" s="98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7"/>
      <c r="K8" s="997"/>
      <c r="L8" s="997"/>
      <c r="M8" s="997"/>
      <c r="N8" s="997"/>
      <c r="O8" s="997"/>
      <c r="P8" s="997"/>
      <c r="Q8" s="997"/>
      <c r="R8" s="997"/>
      <c r="S8" s="997"/>
      <c r="T8" s="997"/>
      <c r="U8" s="997"/>
      <c r="V8" s="49"/>
      <c r="W8" s="997"/>
      <c r="X8" s="997"/>
      <c r="Y8" s="997"/>
      <c r="Z8" s="997"/>
      <c r="AA8" s="49"/>
      <c r="AB8" s="50"/>
      <c r="AC8" s="51" t="s">
        <v>183</v>
      </c>
      <c r="AD8" s="52"/>
      <c r="AE8" s="43"/>
      <c r="AF8" s="997"/>
      <c r="AG8" s="997"/>
      <c r="AH8" s="997"/>
      <c r="AI8" s="997"/>
      <c r="AJ8" s="997"/>
      <c r="AK8" s="997"/>
      <c r="AL8" s="997"/>
      <c r="AM8" s="997"/>
      <c r="AN8" s="997"/>
      <c r="AO8" s="997"/>
      <c r="AP8" s="997"/>
      <c r="AQ8" s="997"/>
      <c r="AR8" s="997"/>
      <c r="AS8" s="2294"/>
      <c r="AT8" s="2325" t="s">
        <v>855</v>
      </c>
      <c r="AU8" s="45" t="s">
        <v>184</v>
      </c>
      <c r="AV8" s="55"/>
      <c r="AW8" s="999"/>
      <c r="AX8" s="55"/>
      <c r="AY8" s="42" t="s">
        <v>185</v>
      </c>
      <c r="AZ8" s="996" t="s">
        <v>186</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187</v>
      </c>
      <c r="I9" s="3041" t="s">
        <v>2991</v>
      </c>
      <c r="J9" s="51"/>
      <c r="K9" s="3041" t="s">
        <v>2991</v>
      </c>
      <c r="L9" s="51"/>
      <c r="M9" s="3041" t="s">
        <v>2991</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26"/>
      <c r="AT9" s="45"/>
      <c r="AU9" s="45" t="s">
        <v>193</v>
      </c>
      <c r="AV9" s="55"/>
      <c r="AW9" s="999"/>
      <c r="AX9" s="55"/>
      <c r="AY9" s="62"/>
      <c r="AZ9" s="62" t="s">
        <v>194</v>
      </c>
      <c r="BA9" s="63" t="s">
        <v>195</v>
      </c>
      <c r="BB9" s="64"/>
      <c r="BC9" s="991"/>
      <c r="BD9" s="991"/>
      <c r="BE9" s="991"/>
      <c r="BF9" s="991"/>
      <c r="BG9" s="991"/>
      <c r="BH9" s="991"/>
      <c r="BI9" s="991"/>
      <c r="BJ9" s="991"/>
      <c r="BK9" s="65"/>
      <c r="BL9" s="26" t="s">
        <v>196</v>
      </c>
      <c r="BM9" s="997"/>
      <c r="BN9" s="48"/>
      <c r="BO9" s="997"/>
      <c r="BP9" s="997"/>
      <c r="BQ9" s="997"/>
      <c r="BR9" s="997"/>
      <c r="BS9" s="997"/>
      <c r="BT9" s="56"/>
    </row>
    <row r="10" spans="1:72" s="57" customFormat="1" ht="12.75">
      <c r="A10" s="45"/>
      <c r="B10" s="45"/>
      <c r="C10" s="45"/>
      <c r="D10" s="45"/>
      <c r="E10" s="45"/>
      <c r="F10" s="45"/>
      <c r="G10" s="55"/>
      <c r="H10" s="62"/>
      <c r="I10" s="3041" t="s">
        <v>923</v>
      </c>
      <c r="J10" s="51"/>
      <c r="K10" s="3043" t="s">
        <v>2987</v>
      </c>
      <c r="L10" s="51"/>
      <c r="M10" s="3043" t="s">
        <v>2987</v>
      </c>
      <c r="N10" s="51"/>
      <c r="O10" s="66"/>
      <c r="P10" s="51"/>
      <c r="Q10" s="66"/>
      <c r="R10" s="51"/>
      <c r="S10" s="66"/>
      <c r="T10" s="51"/>
      <c r="U10" s="66"/>
      <c r="V10" s="51"/>
      <c r="W10" s="66"/>
      <c r="X10" s="51"/>
      <c r="Y10" s="66"/>
      <c r="Z10" s="51"/>
      <c r="AA10" s="66"/>
      <c r="AB10" s="51"/>
      <c r="AC10" s="55"/>
      <c r="AD10" s="2311" t="s">
        <v>2320</v>
      </c>
      <c r="AE10" s="2333"/>
      <c r="AF10" s="2311" t="s">
        <v>2320</v>
      </c>
      <c r="AG10" s="2333"/>
      <c r="AH10" s="2311" t="s">
        <v>2321</v>
      </c>
      <c r="AI10" s="2333"/>
      <c r="AJ10" s="26" t="s">
        <v>2334</v>
      </c>
      <c r="AK10" s="2330"/>
      <c r="AL10" s="2311" t="s">
        <v>2322</v>
      </c>
      <c r="AM10" s="2312"/>
      <c r="AN10" s="26" t="s">
        <v>197</v>
      </c>
      <c r="AO10" s="61"/>
      <c r="AP10" s="1183" t="s">
        <v>198</v>
      </c>
      <c r="AQ10" s="1185"/>
      <c r="AR10" s="1183" t="s">
        <v>198</v>
      </c>
      <c r="AS10" s="1185"/>
      <c r="AT10" s="45"/>
      <c r="AU10" s="45"/>
      <c r="AV10" s="55"/>
      <c r="AW10" s="999"/>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2992</v>
      </c>
      <c r="J11" s="71"/>
      <c r="K11" s="3042" t="s">
        <v>2993</v>
      </c>
      <c r="L11" s="71"/>
      <c r="M11" s="70" t="s">
        <v>2994</v>
      </c>
      <c r="N11" s="71"/>
      <c r="O11" s="70"/>
      <c r="P11" s="71"/>
      <c r="Q11" s="70"/>
      <c r="R11" s="71"/>
      <c r="S11" s="70"/>
      <c r="T11" s="71"/>
      <c r="U11" s="70"/>
      <c r="V11" s="71"/>
      <c r="W11" s="70"/>
      <c r="X11" s="71"/>
      <c r="Y11" s="70"/>
      <c r="Z11" s="71"/>
      <c r="AA11" s="70"/>
      <c r="AB11" s="71"/>
      <c r="AC11" s="55"/>
      <c r="AD11" s="2331" t="s">
        <v>2333</v>
      </c>
      <c r="AE11" s="998"/>
      <c r="AF11" s="2331" t="s">
        <v>2333</v>
      </c>
      <c r="AG11" s="998"/>
      <c r="AH11" s="2331" t="s">
        <v>2332</v>
      </c>
      <c r="AI11" s="2332"/>
      <c r="AJ11" s="2331" t="s">
        <v>2332</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4" t="s">
        <v>200</v>
      </c>
      <c r="W12" s="17" t="s">
        <v>199</v>
      </c>
      <c r="X12" s="17" t="s">
        <v>200</v>
      </c>
      <c r="Y12" s="17" t="s">
        <v>199</v>
      </c>
      <c r="Z12" s="17" t="s">
        <v>200</v>
      </c>
      <c r="AA12" s="17" t="s">
        <v>199</v>
      </c>
      <c r="AB12" s="17" t="s">
        <v>200</v>
      </c>
      <c r="AC12" s="75"/>
      <c r="AD12" s="992"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2988</v>
      </c>
      <c r="D13" s="3037" t="s">
        <v>1679</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2989</v>
      </c>
      <c r="D14" s="3037" t="s">
        <v>1679</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2990</v>
      </c>
      <c r="D15" s="3037" t="s">
        <v>1679</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C35" sqref="C3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201</v>
      </c>
      <c r="B1" s="1981"/>
      <c r="C1" s="1981"/>
      <c r="D1" s="1981"/>
      <c r="E1" s="1981"/>
      <c r="F1" s="1981"/>
      <c r="G1" s="1981"/>
      <c r="H1" s="1981"/>
      <c r="I1" s="1981"/>
      <c r="J1" s="1981"/>
      <c r="K1" s="1981"/>
      <c r="L1" s="1981"/>
    </row>
    <row r="2" spans="1:16" ht="15">
      <c r="A2" s="3282" t="s">
        <v>202</v>
      </c>
      <c r="B2" s="3282"/>
      <c r="C2" s="3282"/>
      <c r="D2" s="1972" t="s">
        <v>203</v>
      </c>
      <c r="E2" s="106" t="s">
        <v>204</v>
      </c>
      <c r="F2" s="1981"/>
      <c r="G2" s="1194"/>
      <c r="H2" s="1195"/>
      <c r="I2" s="1196" t="s">
        <v>857</v>
      </c>
      <c r="J2" s="1981"/>
      <c r="K2" s="1981"/>
      <c r="L2" s="1981"/>
    </row>
    <row r="3" spans="1:16" ht="15.75" thickBot="1">
      <c r="A3" s="3283" t="s">
        <v>205</v>
      </c>
      <c r="B3" s="3283"/>
      <c r="C3" s="3283"/>
      <c r="D3" s="107">
        <f>'数据-基础表'!AY6</f>
        <v>37378.1</v>
      </c>
      <c r="E3" s="107">
        <f>'数据-基础表'!AZ5</f>
        <v>136430.07</v>
      </c>
      <c r="F3" s="1981"/>
      <c r="G3" s="279" t="s">
        <v>858</v>
      </c>
      <c r="H3" s="274" t="s">
        <v>859</v>
      </c>
      <c r="I3" s="1973">
        <f>ROUND('数据-基础表'!B3/'数据-基础表'!A3,2)</f>
        <v>3.65</v>
      </c>
      <c r="J3" s="1981"/>
      <c r="K3" s="1981"/>
      <c r="L3" s="1981"/>
    </row>
    <row r="4" spans="1:16" ht="15">
      <c r="A4" s="3284"/>
      <c r="B4" s="3285"/>
      <c r="C4" s="3286"/>
      <c r="D4" s="108" t="s">
        <v>203</v>
      </c>
      <c r="E4" s="109" t="s">
        <v>204</v>
      </c>
      <c r="F4" s="1981"/>
      <c r="G4" s="1197"/>
      <c r="H4" s="274" t="s">
        <v>860</v>
      </c>
      <c r="I4" s="1973">
        <f>ROUND(SUMIF('数据-基础表'!I9:AS9,"地上",'数据-基础表'!I5:AS5)/'数据-基础表'!A3,2)</f>
        <v>3.65</v>
      </c>
      <c r="J4" s="1981"/>
      <c r="K4" s="1981"/>
      <c r="L4" s="1981"/>
    </row>
    <row r="5" spans="1:16">
      <c r="A5" s="110" t="s">
        <v>206</v>
      </c>
      <c r="B5" s="3287" t="s">
        <v>229</v>
      </c>
      <c r="C5" s="3287"/>
      <c r="D5" s="111">
        <f>ROUND($D$3*E5/$E$3,2)</f>
        <v>28237.200000000001</v>
      </c>
      <c r="E5" s="112">
        <f>SUMIF('数据-基础表'!$11:$11,"住宅",'数据-基础表'!$5:$5)</f>
        <v>103065.77</v>
      </c>
      <c r="F5" s="1981"/>
      <c r="G5" s="279" t="s">
        <v>861</v>
      </c>
      <c r="H5" s="274" t="s">
        <v>859</v>
      </c>
      <c r="I5" s="1973">
        <f>ROUND(E31/D31,2)</f>
        <v>3.65</v>
      </c>
      <c r="J5" s="1981"/>
      <c r="K5" s="1981"/>
      <c r="L5" s="1981"/>
    </row>
    <row r="6" spans="1:16" ht="15" thickBot="1">
      <c r="A6" s="113"/>
      <c r="B6" s="3287" t="s">
        <v>207</v>
      </c>
      <c r="C6" s="3287"/>
      <c r="D6" s="111">
        <f>ROUND($D$3*E6/$E$3,2)</f>
        <v>9140.9</v>
      </c>
      <c r="E6" s="112">
        <f>E3-E5</f>
        <v>33364.300000000003</v>
      </c>
      <c r="F6" s="1981"/>
      <c r="G6" s="1197"/>
      <c r="H6" s="274" t="s">
        <v>860</v>
      </c>
      <c r="I6" s="1973">
        <f>ROUND(F31/D31,2)</f>
        <v>3.65</v>
      </c>
      <c r="J6" s="1981"/>
      <c r="K6" s="1981"/>
      <c r="L6" s="1981"/>
    </row>
    <row r="7" spans="1:16" ht="15">
      <c r="A7" s="3279"/>
      <c r="B7" s="3280"/>
      <c r="C7" s="3281"/>
      <c r="D7" s="108" t="s">
        <v>203</v>
      </c>
      <c r="E7" s="114" t="s">
        <v>230</v>
      </c>
      <c r="F7" s="1981"/>
      <c r="G7" s="1152" t="s">
        <v>1646</v>
      </c>
      <c r="H7" s="1153"/>
      <c r="I7" s="1843">
        <f>I6</f>
        <v>3.65</v>
      </c>
      <c r="J7" s="1981"/>
      <c r="K7" s="1981"/>
      <c r="L7" s="1981"/>
    </row>
    <row r="8" spans="1:16">
      <c r="A8" s="110" t="s">
        <v>208</v>
      </c>
      <c r="B8" s="115" t="s">
        <v>209</v>
      </c>
      <c r="C8" s="111" t="s">
        <v>210</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211</v>
      </c>
      <c r="D9" s="111">
        <f t="shared" si="0"/>
        <v>0</v>
      </c>
      <c r="E9" s="119">
        <v>0</v>
      </c>
      <c r="F9" s="1981"/>
      <c r="G9" s="1983"/>
      <c r="H9" s="1983"/>
      <c r="I9" s="1981"/>
      <c r="J9" s="1981"/>
      <c r="K9" s="1981"/>
      <c r="L9" s="1981"/>
    </row>
    <row r="10" spans="1:16">
      <c r="A10" s="117"/>
      <c r="B10" s="118"/>
      <c r="C10" s="111" t="s">
        <v>212</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2330</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213</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2337</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231</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232</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214</v>
      </c>
      <c r="D16" s="115">
        <f>SUM(D8:D15)</f>
        <v>37004.32</v>
      </c>
      <c r="E16" s="120">
        <f>SUM(E8:E15)</f>
        <v>135065.77000000002</v>
      </c>
      <c r="F16" s="1981"/>
      <c r="G16" s="1983"/>
      <c r="H16" s="964" t="s">
        <v>218</v>
      </c>
      <c r="I16" s="965"/>
      <c r="J16" s="1981"/>
      <c r="K16" s="3273" t="s">
        <v>2572</v>
      </c>
      <c r="L16" s="3274"/>
      <c r="M16" s="3274"/>
      <c r="N16" s="3274"/>
      <c r="O16" s="3274"/>
      <c r="P16" s="3275"/>
    </row>
    <row r="17" spans="1:19" ht="15">
      <c r="A17" s="121" t="s">
        <v>215</v>
      </c>
      <c r="B17" s="122" t="s">
        <v>216</v>
      </c>
      <c r="C17" s="2295" t="s">
        <v>2316</v>
      </c>
      <c r="D17" s="108" t="s">
        <v>203</v>
      </c>
      <c r="E17" s="124" t="s">
        <v>204</v>
      </c>
      <c r="F17" s="125"/>
      <c r="G17" s="1362"/>
      <c r="H17" s="966" t="s">
        <v>217</v>
      </c>
      <c r="I17" s="967" t="s">
        <v>2315</v>
      </c>
      <c r="J17" s="1981"/>
      <c r="K17" s="3276" t="s">
        <v>2573</v>
      </c>
      <c r="L17" s="3277"/>
      <c r="M17" s="3278"/>
      <c r="N17" s="3276" t="s">
        <v>2574</v>
      </c>
      <c r="O17" s="3277"/>
      <c r="P17" s="3278"/>
      <c r="R17" s="2296" t="s">
        <v>2314</v>
      </c>
      <c r="S17" s="144"/>
    </row>
    <row r="18" spans="1:19" ht="15">
      <c r="A18" s="117"/>
      <c r="B18" s="128"/>
      <c r="C18" s="129"/>
      <c r="D18" s="2664"/>
      <c r="E18" s="130" t="s">
        <v>219</v>
      </c>
      <c r="F18" s="131" t="s">
        <v>220</v>
      </c>
      <c r="G18" s="1363" t="s">
        <v>221</v>
      </c>
      <c r="H18" s="968" t="s">
        <v>222</v>
      </c>
      <c r="I18" s="969" t="s">
        <v>223</v>
      </c>
      <c r="J18" s="1981"/>
      <c r="K18" s="2626" t="s">
        <v>2575</v>
      </c>
      <c r="L18" s="2627" t="s">
        <v>2576</v>
      </c>
      <c r="M18" s="2628" t="s">
        <v>2577</v>
      </c>
      <c r="N18" s="2626" t="s">
        <v>2575</v>
      </c>
      <c r="O18" s="2627" t="s">
        <v>2576</v>
      </c>
      <c r="P18" s="2628" t="s">
        <v>2577</v>
      </c>
      <c r="R18" s="2297" t="s">
        <v>2312</v>
      </c>
      <c r="S18" s="2297" t="s">
        <v>2313</v>
      </c>
    </row>
    <row r="19" spans="1:19">
      <c r="A19" s="133"/>
      <c r="B19" s="115" t="s">
        <v>224</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225</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225</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225</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225</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225</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225</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225</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214</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226</v>
      </c>
      <c r="C28" s="136" t="s">
        <v>227</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226</v>
      </c>
      <c r="C29" s="2310" t="s">
        <v>2323</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214</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228</v>
      </c>
      <c r="C31" s="2327" t="s">
        <v>2325</v>
      </c>
      <c r="D31" s="1368">
        <f>D27+D30</f>
        <v>37378.1</v>
      </c>
      <c r="E31" s="1368">
        <f>E27+E30</f>
        <v>136430.07</v>
      </c>
      <c r="F31" s="1369">
        <f>F27+F30</f>
        <v>136430.07</v>
      </c>
      <c r="G31" s="1370">
        <f>G27+G30</f>
        <v>0</v>
      </c>
      <c r="H31" s="1981"/>
      <c r="I31" s="1981"/>
      <c r="J31" s="1981"/>
      <c r="K31" s="1981"/>
      <c r="L31" s="1981"/>
    </row>
    <row r="32" spans="1:19">
      <c r="A32" s="1981"/>
      <c r="B32" s="2360" t="s">
        <v>2324</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233</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234</v>
      </c>
      <c r="B2" s="2335">
        <f>项目基本情况!D3</f>
        <v>43104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2327</v>
      </c>
      <c r="B5" s="156" t="s">
        <v>235</v>
      </c>
      <c r="C5" s="157" t="s">
        <v>236</v>
      </c>
      <c r="D5" s="158" t="s">
        <v>237</v>
      </c>
      <c r="E5" s="159" t="s">
        <v>238</v>
      </c>
      <c r="F5" s="160" t="s">
        <v>239</v>
      </c>
      <c r="G5" s="159" t="s">
        <v>240</v>
      </c>
      <c r="H5" s="159" t="s">
        <v>862</v>
      </c>
      <c r="I5" s="159" t="s">
        <v>863</v>
      </c>
      <c r="J5" s="161" t="s">
        <v>241</v>
      </c>
      <c r="K5" s="162" t="s">
        <v>242</v>
      </c>
      <c r="L5" s="163" t="s">
        <v>243</v>
      </c>
      <c r="M5" s="164" t="s">
        <v>244</v>
      </c>
      <c r="N5" s="1215" t="s">
        <v>2836</v>
      </c>
      <c r="O5" s="163" t="s">
        <v>245</v>
      </c>
      <c r="P5" s="165" t="s">
        <v>246</v>
      </c>
      <c r="Q5" s="166" t="s">
        <v>247</v>
      </c>
      <c r="R5" s="167" t="s">
        <v>248</v>
      </c>
      <c r="S5" s="2642" t="s">
        <v>2578</v>
      </c>
      <c r="T5" s="168" t="s">
        <v>249</v>
      </c>
      <c r="U5" s="169" t="s">
        <v>250</v>
      </c>
      <c r="V5" s="159" t="s">
        <v>251</v>
      </c>
      <c r="W5" s="159" t="s">
        <v>252</v>
      </c>
      <c r="X5" s="1815"/>
      <c r="Y5" s="170" t="s">
        <v>253</v>
      </c>
      <c r="Z5" s="171" t="s">
        <v>254</v>
      </c>
      <c r="AA5" s="159" t="s">
        <v>251</v>
      </c>
      <c r="AB5" s="159" t="s">
        <v>252</v>
      </c>
      <c r="AC5" s="1816"/>
      <c r="AD5" s="172" t="s">
        <v>253</v>
      </c>
      <c r="AE5" s="1" t="s">
        <v>870</v>
      </c>
      <c r="AF5" s="159" t="s">
        <v>255</v>
      </c>
      <c r="AG5" s="170" t="s">
        <v>256</v>
      </c>
      <c r="AH5" s="1816" t="s">
        <v>2326</v>
      </c>
      <c r="AI5" s="171" t="s">
        <v>2295</v>
      </c>
      <c r="AJ5" s="171" t="s">
        <v>257</v>
      </c>
      <c r="AK5" s="159" t="s">
        <v>258</v>
      </c>
      <c r="AL5" s="159" t="s">
        <v>259</v>
      </c>
      <c r="AM5" s="172" t="s">
        <v>260</v>
      </c>
      <c r="AN5" s="2412" t="s">
        <v>2377</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68621</v>
      </c>
      <c r="F6" s="174">
        <f>SUMIF(项目基本情况!D$15:I$15,C6,项目基本情况!D$19:I$19)</f>
        <v>69.900000000000006</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2987</v>
      </c>
      <c r="D7" s="2305">
        <f>SUMIF(项目基本情况!D$15:I$15,C7,项目基本情况!D$18:I$18)</f>
        <v>40</v>
      </c>
      <c r="E7" s="2306">
        <f>IF(B7="","",SUMIF(项目基本情况!D$15:I$15,C7,项目基本情况!D$17:I$17))</f>
        <v>57664</v>
      </c>
      <c r="F7" s="174">
        <f>SUMIF(项目基本情况!D$15:I$15,C7,项目基本情况!D$19:I$19)</f>
        <v>39.89</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37.89</v>
      </c>
      <c r="AF7" s="141"/>
      <c r="AG7" s="1209">
        <f t="shared" ref="AG7:AG13" si="7">IF(AF7="",0,AE7-AF7)</f>
        <v>0</v>
      </c>
      <c r="AH7" s="3178">
        <f>K7</f>
        <v>7000</v>
      </c>
      <c r="AI7" s="187">
        <v>365</v>
      </c>
      <c r="AJ7" s="188"/>
      <c r="AK7" s="189">
        <v>0.02</v>
      </c>
      <c r="AL7" s="190">
        <v>1.5E-3</v>
      </c>
      <c r="AM7" s="2411">
        <v>0.02</v>
      </c>
      <c r="AN7" s="2413" t="s">
        <v>3035</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2987</v>
      </c>
      <c r="D8" s="2305">
        <f>SUMIF(项目基本情况!D$15:I$15,C8,项目基本情况!D$18:I$18)</f>
        <v>40</v>
      </c>
      <c r="E8" s="2306">
        <f>IF(B8="","",SUMIF(项目基本情况!D$15:I$15,C8,项目基本情况!D$17:I$17))</f>
        <v>57664</v>
      </c>
      <c r="F8" s="174">
        <f>SUMIF(项目基本情况!D$15:I$15,C8,项目基本情况!D$19:I$19)</f>
        <v>39.89</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2317</v>
      </c>
      <c r="B14" s="2303" t="s">
        <v>1680</v>
      </c>
      <c r="C14" s="2304" t="s">
        <v>2317</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2319</v>
      </c>
      <c r="B15" s="2303" t="s">
        <v>1680</v>
      </c>
      <c r="C15" s="2304" t="s">
        <v>2318</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261</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3058</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262</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263</v>
      </c>
      <c r="B19" s="218">
        <v>0</v>
      </c>
      <c r="C19" s="2361" t="s">
        <v>2339</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264</v>
      </c>
      <c r="B20" s="220">
        <v>2</v>
      </c>
      <c r="C20" s="2361" t="s">
        <v>2338</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265</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266</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267</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268</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269</v>
      </c>
      <c r="B26" s="225" t="s">
        <v>270</v>
      </c>
      <c r="C26" s="1992" t="s">
        <v>271</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2341</v>
      </c>
      <c r="B27" s="227">
        <v>105</v>
      </c>
      <c r="C27" s="2364" t="s">
        <v>2345</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2342</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2340</v>
      </c>
      <c r="B29" s="232">
        <v>0</v>
      </c>
      <c r="C29" s="1549" t="s">
        <v>2343</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272</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273</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274</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277</v>
      </c>
      <c r="B33" s="1375">
        <v>0.03</v>
      </c>
      <c r="C33" s="2362" t="s">
        <v>2902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278</v>
      </c>
      <c r="B34" s="233">
        <v>0.05</v>
      </c>
      <c r="C34" s="2362" t="s">
        <v>2903</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275</v>
      </c>
      <c r="B35" s="229">
        <v>200</v>
      </c>
      <c r="C35" s="2362" t="s">
        <v>2904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276</v>
      </c>
      <c r="B36" s="234">
        <v>1.4999999999999999E-2</v>
      </c>
      <c r="C36" s="2362" t="s">
        <v>2905</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279</v>
      </c>
      <c r="B37" s="236">
        <v>1.4999999999999999E-2</v>
      </c>
      <c r="C37" s="2362" t="s">
        <v>2906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280</v>
      </c>
      <c r="B38" s="233">
        <v>0.02</v>
      </c>
      <c r="C38" s="2362" t="s">
        <v>2906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2461</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2462</v>
      </c>
      <c r="B40" s="2502">
        <f ca="1">存贷款利率!E2</f>
        <v>4.7500000000000001E-2</v>
      </c>
      <c r="C40" s="2362" t="s">
        <v>2344</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281</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282</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283</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284</v>
      </c>
      <c r="B44" s="242">
        <v>7.0000000000000007E-2</v>
      </c>
      <c r="C44" s="2362" t="s">
        <v>2907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285</v>
      </c>
      <c r="B45" s="240">
        <v>0.03</v>
      </c>
      <c r="C45" s="2364" t="s">
        <v>2908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286</v>
      </c>
      <c r="B46" s="240">
        <v>0.02</v>
      </c>
      <c r="C46" s="2364" t="s">
        <v>2909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287</v>
      </c>
      <c r="B47" s="244">
        <v>0</v>
      </c>
      <c r="C47" s="3097" t="s">
        <v>2910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288</v>
      </c>
      <c r="B48" s="246">
        <v>0.03</v>
      </c>
      <c r="C48" s="3098" t="s">
        <v>2911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289</v>
      </c>
      <c r="B49" s="240">
        <v>5.0000000000000001E-4</v>
      </c>
      <c r="C49" s="3098" t="s">
        <v>2912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290</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291</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292</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293</v>
      </c>
      <c r="B53" s="3164" t="s">
        <v>2995</v>
      </c>
      <c r="C53" s="3099" t="s">
        <v>2913</v>
      </c>
      <c r="D53" s="3100" t="s">
        <v>2914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2915</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2916</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2917</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2918</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2919</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2920</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2924</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1664</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1665</v>
      </c>
      <c r="D2" s="1220"/>
      <c r="E2" s="1221"/>
      <c r="F2" s="1222"/>
      <c r="G2" s="1219" t="s">
        <v>1666</v>
      </c>
      <c r="H2" s="2005"/>
      <c r="I2" s="2005"/>
      <c r="J2" s="2005"/>
      <c r="K2" s="2005"/>
      <c r="L2" s="2005"/>
      <c r="M2" s="2005"/>
      <c r="N2" s="2005"/>
      <c r="O2" s="2005"/>
      <c r="P2" s="2005"/>
      <c r="Q2" s="2005"/>
      <c r="R2" s="2005"/>
    </row>
    <row r="3" spans="1:18" ht="54">
      <c r="A3" s="1223" t="s">
        <v>1667</v>
      </c>
      <c r="B3" s="1224" t="s">
        <v>1654</v>
      </c>
      <c r="C3" s="3104" t="s">
        <v>2931</v>
      </c>
      <c r="D3" s="2006"/>
      <c r="E3" s="1225" t="s">
        <v>1667</v>
      </c>
      <c r="F3" s="1226" t="s">
        <v>1655</v>
      </c>
      <c r="G3" s="3108" t="s">
        <v>2930</v>
      </c>
      <c r="H3" s="2005"/>
      <c r="I3" s="2005"/>
      <c r="J3" s="2005"/>
      <c r="K3" s="2005"/>
      <c r="L3" s="2005"/>
      <c r="M3" s="2005"/>
      <c r="N3" s="2005"/>
      <c r="O3" s="2005"/>
      <c r="P3" s="2005"/>
      <c r="Q3" s="2005"/>
      <c r="R3" s="2005"/>
    </row>
    <row r="4" spans="1:18" ht="41.25">
      <c r="A4" s="1225"/>
      <c r="B4" s="1227" t="s">
        <v>1668</v>
      </c>
      <c r="C4" s="3105" t="s">
        <v>2932</v>
      </c>
      <c r="D4" s="2006"/>
      <c r="E4" s="1228"/>
      <c r="F4" s="1229" t="s">
        <v>1669</v>
      </c>
      <c r="G4" s="3106" t="s">
        <v>2927</v>
      </c>
      <c r="H4" s="2005"/>
      <c r="I4" s="2005"/>
      <c r="J4" s="2005"/>
      <c r="K4" s="2005"/>
      <c r="L4" s="2005"/>
      <c r="M4" s="2005"/>
      <c r="N4" s="2005"/>
      <c r="O4" s="2005"/>
      <c r="P4" s="2005"/>
      <c r="Q4" s="2005"/>
      <c r="R4" s="2005"/>
    </row>
    <row r="5" spans="1:18" ht="41.25">
      <c r="A5" s="1225"/>
      <c r="B5" s="1227" t="s">
        <v>1670</v>
      </c>
      <c r="C5" s="3105" t="s">
        <v>2933</v>
      </c>
      <c r="D5" s="2006"/>
      <c r="E5" s="1228"/>
      <c r="F5" s="1227" t="s">
        <v>2552</v>
      </c>
      <c r="G5" s="3106" t="s">
        <v>2928</v>
      </c>
      <c r="H5" s="2005"/>
      <c r="I5" s="2005"/>
      <c r="J5" s="2005"/>
      <c r="K5" s="2005"/>
      <c r="L5" s="2005"/>
      <c r="M5" s="2005"/>
      <c r="N5" s="2005"/>
      <c r="O5" s="2005"/>
      <c r="P5" s="2005"/>
      <c r="Q5" s="2005"/>
      <c r="R5" s="2005"/>
    </row>
    <row r="6" spans="1:18" ht="54">
      <c r="A6" s="1225"/>
      <c r="B6" s="1227" t="s">
        <v>1656</v>
      </c>
      <c r="C6" s="3106" t="s">
        <v>2927</v>
      </c>
      <c r="D6" s="2006"/>
      <c r="E6" s="1228"/>
      <c r="F6" s="1227" t="s">
        <v>2553</v>
      </c>
      <c r="G6" s="3106" t="s">
        <v>2925</v>
      </c>
      <c r="H6" s="2005"/>
      <c r="I6" s="2005"/>
      <c r="J6" s="2005"/>
      <c r="K6" s="2005"/>
      <c r="L6" s="2005"/>
      <c r="M6" s="2005"/>
      <c r="N6" s="2005"/>
      <c r="O6" s="2005"/>
      <c r="P6" s="2005"/>
      <c r="Q6" s="2005"/>
      <c r="R6" s="2005"/>
    </row>
    <row r="7" spans="1:18" ht="41.25" thickBot="1">
      <c r="A7" s="1225"/>
      <c r="B7" s="1227" t="s">
        <v>2552</v>
      </c>
      <c r="C7" s="3106" t="s">
        <v>2928</v>
      </c>
      <c r="D7" s="2007"/>
      <c r="E7" s="1230"/>
      <c r="F7" s="1231" t="s">
        <v>1671</v>
      </c>
      <c r="G7" s="3109" t="s">
        <v>2929</v>
      </c>
      <c r="H7" s="2005"/>
      <c r="I7" s="2005"/>
      <c r="J7" s="2005"/>
      <c r="K7" s="2005"/>
      <c r="L7" s="2005"/>
      <c r="M7" s="2005"/>
      <c r="N7" s="2005"/>
      <c r="O7" s="2005"/>
      <c r="P7" s="2005"/>
      <c r="Q7" s="2005"/>
      <c r="R7" s="2005"/>
    </row>
    <row r="8" spans="1:18" ht="27">
      <c r="A8" s="1225"/>
      <c r="B8" s="1227" t="s">
        <v>2553</v>
      </c>
      <c r="C8" s="3106" t="s">
        <v>2925</v>
      </c>
      <c r="D8" s="2007"/>
      <c r="E8" s="2007"/>
      <c r="F8" s="1550"/>
      <c r="G8" s="1550"/>
      <c r="H8" s="2005"/>
      <c r="I8" s="2005"/>
      <c r="J8" s="2005"/>
      <c r="K8" s="2005"/>
      <c r="L8" s="2005"/>
      <c r="M8" s="2005"/>
      <c r="N8" s="2005"/>
      <c r="O8" s="2005"/>
      <c r="P8" s="2005"/>
      <c r="Q8" s="2005"/>
      <c r="R8" s="2005"/>
    </row>
    <row r="9" spans="1:18" ht="40.5">
      <c r="A9" s="1225"/>
      <c r="B9" s="1227" t="s">
        <v>1657</v>
      </c>
      <c r="C9" s="3105" t="s">
        <v>2926</v>
      </c>
      <c r="D9" s="2006"/>
      <c r="E9" s="2007"/>
      <c r="F9" s="1550"/>
      <c r="G9" s="1550"/>
      <c r="H9" s="2005"/>
      <c r="I9" s="2005"/>
      <c r="J9" s="2005"/>
      <c r="K9" s="2005"/>
      <c r="L9" s="2005"/>
      <c r="M9" s="2005"/>
      <c r="N9" s="2005"/>
      <c r="O9" s="2005"/>
      <c r="P9" s="2005"/>
      <c r="Q9" s="2005"/>
      <c r="R9" s="2005"/>
    </row>
    <row r="10" spans="1:18" s="2013" customFormat="1" ht="15" thickBot="1">
      <c r="A10" s="1232"/>
      <c r="B10" s="1233" t="s">
        <v>1672</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0"/>
      <c r="E13" s="2599"/>
      <c r="F13" s="2599"/>
      <c r="G13" s="2599"/>
    </row>
    <row r="14" spans="1:18" ht="14.25" thickBot="1">
      <c r="A14" s="1234"/>
      <c r="B14" s="1235"/>
      <c r="C14" s="1236" t="s">
        <v>1665</v>
      </c>
      <c r="D14" s="2006"/>
      <c r="E14" s="1237"/>
      <c r="F14" s="1237"/>
      <c r="G14" s="1219" t="s">
        <v>1666</v>
      </c>
    </row>
    <row r="15" spans="1:18" ht="54">
      <c r="A15" s="2609" t="s">
        <v>1658</v>
      </c>
      <c r="B15" s="1238" t="s">
        <v>1654</v>
      </c>
      <c r="C15" s="1239" t="str">
        <f>C3</f>
        <v>估价对象周边居住用地比例、居住小区规模和社区发展完善程度，综合评价居住社区成熟度一般</v>
      </c>
      <c r="D15" s="2006"/>
      <c r="E15" s="2606" t="s">
        <v>1659</v>
      </c>
      <c r="F15" s="1238" t="s">
        <v>1674</v>
      </c>
      <c r="G15" s="1240" t="str">
        <f>G3</f>
        <v>估价对象位于XX开发区，园区建设成熟度XX，产业集聚程度XX</v>
      </c>
    </row>
    <row r="16" spans="1:18" ht="40.5">
      <c r="A16" s="2610"/>
      <c r="B16" s="1241" t="s">
        <v>1668</v>
      </c>
      <c r="C16" s="1242" t="str">
        <f>C4</f>
        <v>估价对象位于XX商圈，周边商业氛围成熟，人流量大，商业繁华度好</v>
      </c>
      <c r="D16" s="2006"/>
      <c r="E16" s="2607"/>
      <c r="F16" s="1243" t="s">
        <v>1669</v>
      </c>
      <c r="G16" s="1001" t="str">
        <f>G4</f>
        <v>估价对象周边道路状况、公共交通通达情况、停车便捷程度，综合评价交通便捷度较好</v>
      </c>
    </row>
    <row r="17" spans="1:7" ht="40.5">
      <c r="A17" s="2610"/>
      <c r="B17" s="1241" t="s">
        <v>1670</v>
      </c>
      <c r="C17" s="1242" t="str">
        <f>C5</f>
        <v>估价对象位于XX商圈，周边办公楼项目较多，入驻率高，办公集聚程度较好</v>
      </c>
      <c r="D17" s="2007"/>
      <c r="E17" s="2607"/>
      <c r="F17" s="1243" t="s">
        <v>1675</v>
      </c>
      <c r="G17" s="2817"/>
    </row>
    <row r="18" spans="1:7" ht="54">
      <c r="A18" s="2610"/>
      <c r="B18" s="1243" t="s">
        <v>1656</v>
      </c>
      <c r="C18" s="1001" t="str">
        <f>C6</f>
        <v>估价对象周边道路状况、公共交通通达情况、停车便捷程度，综合评价交通便捷度较好</v>
      </c>
      <c r="D18" s="2007"/>
      <c r="E18" s="2607"/>
      <c r="F18" s="1243" t="s">
        <v>1671</v>
      </c>
      <c r="G18" s="1001" t="str">
        <f>G7</f>
        <v>该园区内是否有污染型企业，绿化情况，卫生条件，整体环境状况判断</v>
      </c>
    </row>
    <row r="19" spans="1:7" ht="27">
      <c r="A19" s="2610"/>
      <c r="B19" s="1243" t="s">
        <v>1660</v>
      </c>
      <c r="C19" s="2817"/>
      <c r="D19" s="2006"/>
      <c r="E19" s="2607"/>
      <c r="F19" s="1227" t="s">
        <v>2552</v>
      </c>
      <c r="G19" s="1001" t="str">
        <f>G5</f>
        <v>估价对象所在区域公共配套设施齐备情况</v>
      </c>
    </row>
    <row r="20" spans="1:7" ht="40.5">
      <c r="A20" s="2610"/>
      <c r="B20" s="1243" t="s">
        <v>1661</v>
      </c>
      <c r="C20" s="1242" t="str">
        <f>C9</f>
        <v>区域自然环境：；人文环境；综合评价环境状况一般</v>
      </c>
      <c r="D20" s="2007"/>
      <c r="E20" s="2607"/>
      <c r="F20" s="1227" t="s">
        <v>2553</v>
      </c>
      <c r="G20" s="1001" t="str">
        <f>G6</f>
        <v>估价对象所在区域基础设施水平</v>
      </c>
    </row>
    <row r="21" spans="1:7" ht="27">
      <c r="A21" s="2610"/>
      <c r="B21" s="1227" t="s">
        <v>2552</v>
      </c>
      <c r="C21" s="1001" t="str">
        <f>C7</f>
        <v>估价对象所在区域公共配套设施齐备情况</v>
      </c>
      <c r="D21" s="2006"/>
      <c r="E21" s="2607"/>
      <c r="F21" s="1243" t="s">
        <v>1662</v>
      </c>
      <c r="G21" s="3110"/>
    </row>
    <row r="22" spans="1:7" ht="27">
      <c r="A22" s="2610"/>
      <c r="B22" s="1227" t="s">
        <v>2553</v>
      </c>
      <c r="C22" s="1001" t="str">
        <f>C8</f>
        <v>估价对象所在区域基础设施水平</v>
      </c>
      <c r="D22" s="2006"/>
      <c r="E22" s="2607"/>
      <c r="F22" s="1243" t="s">
        <v>1672</v>
      </c>
      <c r="G22" s="2817"/>
    </row>
    <row r="23" spans="1:7" ht="15" thickBot="1">
      <c r="A23" s="2610"/>
      <c r="B23" s="1243" t="s">
        <v>1662</v>
      </c>
      <c r="C23" s="3110"/>
      <c r="E23" s="2608"/>
      <c r="F23" s="1244" t="s">
        <v>1676</v>
      </c>
      <c r="G23" s="3111"/>
    </row>
    <row r="24" spans="1:7" ht="14.25" thickBot="1">
      <c r="A24" s="2611"/>
      <c r="B24" s="1244" t="s">
        <v>1663</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2852</v>
      </c>
      <c r="B1" s="3068">
        <f>SUM(B14:B23)</f>
        <v>136430.07</v>
      </c>
      <c r="C1" s="3069"/>
      <c r="D1" s="3069"/>
      <c r="E1" s="3069"/>
      <c r="F1" s="3069"/>
    </row>
    <row r="2" spans="1:9" ht="16.5">
      <c r="A2" s="3068" t="s">
        <v>2853</v>
      </c>
      <c r="B2" s="3068">
        <f>SUM(C14:C23)</f>
        <v>37378.1</v>
      </c>
      <c r="C2" s="3069"/>
      <c r="D2" s="3069"/>
      <c r="E2" s="3069"/>
      <c r="F2" s="3069"/>
    </row>
    <row r="3" spans="1:9" ht="16.5">
      <c r="A3" s="3068" t="s">
        <v>2854</v>
      </c>
      <c r="B3" s="3070">
        <f>项目基本情况!D3</f>
        <v>43104</v>
      </c>
      <c r="C3" s="3069"/>
      <c r="D3" s="3069"/>
      <c r="E3" s="3069"/>
      <c r="F3" s="3069"/>
    </row>
    <row r="4" spans="1:9" ht="33">
      <c r="A4" s="3068" t="s">
        <v>2855</v>
      </c>
      <c r="B4" s="3068" t="s">
        <v>2856</v>
      </c>
      <c r="C4" s="3068" t="s">
        <v>2857</v>
      </c>
      <c r="D4" s="3068" t="s">
        <v>2858</v>
      </c>
      <c r="E4" s="3069"/>
      <c r="F4" s="3069"/>
    </row>
    <row r="5" spans="1:9" ht="16.5">
      <c r="A5" s="3068" t="s">
        <v>2859</v>
      </c>
      <c r="B5" s="3068">
        <f ca="1">SUM(D14:D23)</f>
        <v>275243</v>
      </c>
      <c r="C5" s="3068">
        <f ca="1">ROUND(B5*10000/$B$1,0)</f>
        <v>20175</v>
      </c>
      <c r="D5" s="3068">
        <f ca="1">ROUND(B5*10000/$B$2,0)</f>
        <v>73638</v>
      </c>
      <c r="E5" s="3069"/>
      <c r="F5" s="3069"/>
    </row>
    <row r="6" spans="1:9" ht="16.5">
      <c r="A6" s="3068" t="s">
        <v>2860</v>
      </c>
      <c r="B6" s="3068">
        <f>SUM(G14:G23)</f>
        <v>0</v>
      </c>
      <c r="C6" s="3068">
        <f t="shared" ref="C6:C8" si="0">ROUND(B6*10000/$B$1,0)</f>
        <v>0</v>
      </c>
      <c r="D6" s="3068">
        <f t="shared" ref="D6:D8" si="1">ROUND(B6*10000/$B$2,0)</f>
        <v>0</v>
      </c>
      <c r="E6" s="3069"/>
      <c r="F6" s="3069"/>
    </row>
    <row r="7" spans="1:9" ht="16.5">
      <c r="A7" s="3068" t="s">
        <v>2861</v>
      </c>
      <c r="B7" s="3068">
        <f>SUM(H14:H23)</f>
        <v>0</v>
      </c>
      <c r="C7" s="3068">
        <f t="shared" si="0"/>
        <v>0</v>
      </c>
      <c r="D7" s="3068">
        <f t="shared" si="1"/>
        <v>0</v>
      </c>
      <c r="E7" s="3069"/>
      <c r="F7" s="3069"/>
    </row>
    <row r="8" spans="1:9" ht="16.5">
      <c r="A8" s="3068" t="s">
        <v>2862</v>
      </c>
      <c r="B8" s="3068">
        <f>SUM(I14:I23)</f>
        <v>0</v>
      </c>
      <c r="C8" s="3068">
        <f t="shared" si="0"/>
        <v>0</v>
      </c>
      <c r="D8" s="3068">
        <f t="shared" si="1"/>
        <v>0</v>
      </c>
      <c r="E8" s="3069"/>
      <c r="F8" s="3069"/>
    </row>
    <row r="9" spans="1:9" ht="16.5">
      <c r="A9" s="3068" t="s">
        <v>2863</v>
      </c>
      <c r="B9" s="3071"/>
      <c r="C9" s="3069"/>
      <c r="D9" s="3069"/>
      <c r="E9" s="3069"/>
      <c r="F9" s="3069"/>
    </row>
    <row r="10" spans="1:9" ht="16.5">
      <c r="A10" s="3068" t="s">
        <v>2864</v>
      </c>
      <c r="B10" s="3071"/>
      <c r="C10" s="3069"/>
      <c r="D10" s="3069"/>
      <c r="E10" s="3069"/>
      <c r="F10" s="3069"/>
    </row>
    <row r="11" spans="1:9" ht="16.5">
      <c r="A11" s="3068" t="s">
        <v>2881</v>
      </c>
      <c r="B11" s="3071"/>
      <c r="C11" s="3069"/>
      <c r="D11" s="3069"/>
      <c r="E11" s="3069"/>
      <c r="F11" s="3069"/>
    </row>
    <row r="12" spans="1:9" ht="16.5">
      <c r="A12" s="3069"/>
      <c r="B12" s="3069"/>
      <c r="C12" s="3069"/>
      <c r="D12" s="3069"/>
      <c r="E12" s="3069"/>
      <c r="F12" s="3069"/>
    </row>
    <row r="13" spans="1:9" ht="33">
      <c r="A13" s="3074" t="s">
        <v>2880</v>
      </c>
      <c r="B13" s="3072" t="s">
        <v>2852</v>
      </c>
      <c r="C13" s="3072" t="s">
        <v>2853</v>
      </c>
      <c r="D13" s="3072" t="s">
        <v>2865</v>
      </c>
      <c r="E13" s="3068" t="s">
        <v>2879</v>
      </c>
      <c r="F13" s="3068" t="s">
        <v>2858</v>
      </c>
      <c r="G13" s="3072" t="s">
        <v>2866</v>
      </c>
      <c r="H13" s="3072" t="s">
        <v>2867</v>
      </c>
      <c r="I13" s="3072" t="s">
        <v>2868</v>
      </c>
    </row>
    <row r="14" spans="1:9" ht="16.5">
      <c r="A14" s="3075" t="s">
        <v>2878</v>
      </c>
      <c r="B14" s="3072">
        <f>结果表!L38</f>
        <v>136430.07</v>
      </c>
      <c r="C14" s="3072">
        <f>结果表!K38</f>
        <v>37378.1</v>
      </c>
      <c r="D14" s="3072">
        <f ca="1">结果表!C42</f>
        <v>275243</v>
      </c>
      <c r="E14" s="3072">
        <f ca="1">ROUND(D14*10000/B14,0)</f>
        <v>20175</v>
      </c>
      <c r="F14" s="3072">
        <f ca="1">ROUND(D14*10000/C14,0)</f>
        <v>73638</v>
      </c>
      <c r="G14" s="3072" t="str">
        <f>结果表!C44</f>
        <v>——</v>
      </c>
      <c r="H14" s="3072" t="str">
        <f>结果表!C45</f>
        <v>——</v>
      </c>
      <c r="I14" s="3072" t="str">
        <f>结果表!C46</f>
        <v>——</v>
      </c>
    </row>
    <row r="15" spans="1:9" ht="16.5">
      <c r="A15" s="3075" t="s">
        <v>2869</v>
      </c>
      <c r="B15" s="3076"/>
      <c r="C15" s="3076"/>
      <c r="D15" s="3076"/>
      <c r="E15" s="3072" t="e">
        <f t="shared" ref="E15:E23" si="2">ROUND(D15*10000/B15,0)</f>
        <v>#DIV/0!</v>
      </c>
      <c r="F15" s="3072" t="e">
        <f t="shared" ref="F15:F23" si="3">ROUND(D15*10000/C15,0)</f>
        <v>#DIV/0!</v>
      </c>
      <c r="G15" s="3073"/>
      <c r="H15" s="3073"/>
      <c r="I15" s="3076"/>
    </row>
    <row r="16" spans="1:9" ht="16.5">
      <c r="A16" s="3075" t="s">
        <v>2870</v>
      </c>
      <c r="B16" s="3076"/>
      <c r="C16" s="3076"/>
      <c r="D16" s="3076"/>
      <c r="E16" s="3072" t="e">
        <f t="shared" si="2"/>
        <v>#DIV/0!</v>
      </c>
      <c r="F16" s="3072" t="e">
        <f t="shared" si="3"/>
        <v>#DIV/0!</v>
      </c>
      <c r="G16" s="3073"/>
      <c r="H16" s="3073"/>
      <c r="I16" s="3076"/>
    </row>
    <row r="17" spans="1:9" ht="16.5">
      <c r="A17" s="3075" t="s">
        <v>2871</v>
      </c>
      <c r="B17" s="3076"/>
      <c r="C17" s="3076"/>
      <c r="D17" s="3076"/>
      <c r="E17" s="3072" t="e">
        <f t="shared" si="2"/>
        <v>#DIV/0!</v>
      </c>
      <c r="F17" s="3072" t="e">
        <f t="shared" si="3"/>
        <v>#DIV/0!</v>
      </c>
      <c r="G17" s="3073"/>
      <c r="H17" s="3073"/>
      <c r="I17" s="3076"/>
    </row>
    <row r="18" spans="1:9" ht="16.5">
      <c r="A18" s="3075" t="s">
        <v>2872</v>
      </c>
      <c r="B18" s="3076"/>
      <c r="C18" s="3076"/>
      <c r="D18" s="3076"/>
      <c r="E18" s="3072" t="e">
        <f t="shared" si="2"/>
        <v>#DIV/0!</v>
      </c>
      <c r="F18" s="3072" t="e">
        <f t="shared" si="3"/>
        <v>#DIV/0!</v>
      </c>
      <c r="G18" s="3076"/>
      <c r="H18" s="3076"/>
      <c r="I18" s="3076"/>
    </row>
    <row r="19" spans="1:9" ht="16.5">
      <c r="A19" s="3075" t="s">
        <v>2873</v>
      </c>
      <c r="B19" s="3076"/>
      <c r="C19" s="3076"/>
      <c r="D19" s="3076"/>
      <c r="E19" s="3072" t="e">
        <f t="shared" si="2"/>
        <v>#DIV/0!</v>
      </c>
      <c r="F19" s="3072" t="e">
        <f t="shared" si="3"/>
        <v>#DIV/0!</v>
      </c>
      <c r="G19" s="3076"/>
      <c r="H19" s="3076"/>
      <c r="I19" s="3076"/>
    </row>
    <row r="20" spans="1:9" ht="16.5">
      <c r="A20" s="3075" t="s">
        <v>2874</v>
      </c>
      <c r="B20" s="3076"/>
      <c r="C20" s="3076"/>
      <c r="D20" s="3076"/>
      <c r="E20" s="3072" t="e">
        <f t="shared" si="2"/>
        <v>#DIV/0!</v>
      </c>
      <c r="F20" s="3072" t="e">
        <f t="shared" si="3"/>
        <v>#DIV/0!</v>
      </c>
      <c r="G20" s="3076"/>
      <c r="H20" s="3076"/>
      <c r="I20" s="3076"/>
    </row>
    <row r="21" spans="1:9" ht="16.5">
      <c r="A21" s="3075" t="s">
        <v>2875</v>
      </c>
      <c r="B21" s="3076"/>
      <c r="C21" s="3076"/>
      <c r="D21" s="3076"/>
      <c r="E21" s="3072" t="e">
        <f t="shared" si="2"/>
        <v>#DIV/0!</v>
      </c>
      <c r="F21" s="3072" t="e">
        <f t="shared" si="3"/>
        <v>#DIV/0!</v>
      </c>
      <c r="G21" s="3076"/>
      <c r="H21" s="3076"/>
      <c r="I21" s="3076"/>
    </row>
    <row r="22" spans="1:9" ht="16.5">
      <c r="A22" s="3075" t="s">
        <v>2876</v>
      </c>
      <c r="B22" s="3076"/>
      <c r="C22" s="3076"/>
      <c r="D22" s="3076"/>
      <c r="E22" s="3072" t="e">
        <f t="shared" si="2"/>
        <v>#DIV/0!</v>
      </c>
      <c r="F22" s="3072" t="e">
        <f t="shared" si="3"/>
        <v>#DIV/0!</v>
      </c>
      <c r="G22" s="3076"/>
      <c r="H22" s="3076"/>
      <c r="I22" s="3076"/>
    </row>
    <row r="23" spans="1:9" ht="16.5">
      <c r="A23" s="3075" t="s">
        <v>2877</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2058</v>
      </c>
      <c r="B1" s="1774"/>
      <c r="C1" s="1802" t="s">
        <v>2059</v>
      </c>
      <c r="D1" s="1803" t="s">
        <v>2996</v>
      </c>
      <c r="E1" s="1802" t="s">
        <v>2060</v>
      </c>
      <c r="F1" s="1804" t="s">
        <v>2997</v>
      </c>
      <c r="G1" s="310"/>
      <c r="H1" s="310"/>
      <c r="I1" s="310"/>
      <c r="J1" s="2026"/>
      <c r="K1" s="2026"/>
      <c r="L1" s="2026"/>
      <c r="M1" s="2026"/>
      <c r="N1" s="2026"/>
      <c r="O1" s="2026"/>
      <c r="P1" s="2026"/>
      <c r="Q1" s="2026"/>
      <c r="R1" s="2026"/>
      <c r="S1" s="2026"/>
      <c r="T1" s="2026"/>
      <c r="U1" s="2026"/>
      <c r="V1" s="2026"/>
    </row>
    <row r="2" spans="1:22" ht="21.75" customHeight="1" thickBot="1">
      <c r="A2" s="3335" t="str">
        <f>项目基本情况!K2</f>
        <v>出让国有建设用地使用权</v>
      </c>
      <c r="B2" s="3336"/>
      <c r="C2" s="3337"/>
      <c r="D2" s="3337"/>
      <c r="E2" s="3337"/>
      <c r="F2" s="3337"/>
      <c r="G2" s="3336"/>
      <c r="H2" s="3336"/>
      <c r="I2" s="3338"/>
      <c r="J2" s="2027"/>
      <c r="K2" s="2026"/>
      <c r="L2" s="2026"/>
      <c r="M2" s="2026"/>
      <c r="N2" s="2026"/>
      <c r="O2" s="2026"/>
      <c r="P2" s="2026"/>
      <c r="Q2" s="2026"/>
      <c r="R2" s="2026"/>
      <c r="S2" s="2026"/>
      <c r="T2" s="2026"/>
      <c r="U2" s="2026"/>
      <c r="V2" s="2026"/>
    </row>
    <row r="3" spans="1:22" ht="14.25">
      <c r="A3" s="3346" t="s">
        <v>297</v>
      </c>
      <c r="B3" s="3347"/>
      <c r="C3" s="3347"/>
      <c r="D3" s="3347"/>
      <c r="E3" s="3347"/>
      <c r="F3" s="3347"/>
      <c r="G3" s="3347"/>
      <c r="H3" s="3347"/>
      <c r="I3" s="3347"/>
      <c r="J3" s="2027"/>
      <c r="K3" s="2026"/>
      <c r="L3" s="2026"/>
      <c r="M3" s="2026"/>
      <c r="N3" s="2026"/>
      <c r="O3" s="2026"/>
      <c r="P3" s="2026"/>
      <c r="Q3" s="2026"/>
      <c r="R3" s="2026"/>
      <c r="S3" s="2026"/>
      <c r="T3" s="2026"/>
      <c r="U3" s="2026"/>
      <c r="V3" s="2026"/>
    </row>
    <row r="4" spans="1:22" ht="14.25">
      <c r="A4" s="257" t="s">
        <v>298</v>
      </c>
      <c r="B4" s="258" t="s">
        <v>299</v>
      </c>
      <c r="C4" s="259" t="s">
        <v>3067</v>
      </c>
      <c r="D4" s="259" t="s">
        <v>3000</v>
      </c>
      <c r="E4" s="3310" t="s">
        <v>300</v>
      </c>
      <c r="F4" s="3352"/>
      <c r="G4" s="3352"/>
      <c r="H4" s="3352"/>
      <c r="I4" s="331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9" t="s">
        <v>301</v>
      </c>
      <c r="B5" s="3340">
        <v>25</v>
      </c>
      <c r="C5" s="3348"/>
      <c r="D5" s="3351"/>
      <c r="E5" s="260" t="s">
        <v>302</v>
      </c>
      <c r="F5" s="261"/>
      <c r="G5" s="261"/>
      <c r="H5" s="261"/>
      <c r="I5" s="262"/>
      <c r="J5" s="2027"/>
      <c r="K5" s="2026"/>
      <c r="L5" s="2026"/>
      <c r="M5" s="2026"/>
      <c r="N5" s="2026"/>
      <c r="O5" s="2026"/>
      <c r="P5" s="2026"/>
      <c r="Q5" s="2026"/>
      <c r="R5" s="2026"/>
      <c r="S5" s="2026"/>
      <c r="T5" s="2026"/>
      <c r="U5" s="2026"/>
      <c r="V5" s="2026"/>
    </row>
    <row r="6" spans="1:22" ht="14.25">
      <c r="A6" s="3339"/>
      <c r="B6" s="3340"/>
      <c r="C6" s="3349"/>
      <c r="D6" s="3351"/>
      <c r="E6" s="260" t="s">
        <v>303</v>
      </c>
      <c r="F6" s="261"/>
      <c r="G6" s="261"/>
      <c r="H6" s="261"/>
      <c r="I6" s="262"/>
      <c r="J6" s="2027"/>
      <c r="K6" s="2026"/>
      <c r="L6" s="2026"/>
      <c r="M6" s="2026"/>
      <c r="N6" s="2026"/>
      <c r="O6" s="2026"/>
      <c r="P6" s="2026"/>
      <c r="Q6" s="2026"/>
      <c r="R6" s="2026"/>
      <c r="S6" s="2026"/>
      <c r="T6" s="2026"/>
      <c r="U6" s="2026"/>
      <c r="V6" s="2026"/>
    </row>
    <row r="7" spans="1:22" ht="14.25">
      <c r="A7" s="3339"/>
      <c r="B7" s="3340"/>
      <c r="C7" s="3350"/>
      <c r="D7" s="3351"/>
      <c r="E7" s="260" t="s">
        <v>304</v>
      </c>
      <c r="F7" s="261"/>
      <c r="G7" s="261"/>
      <c r="H7" s="261"/>
      <c r="I7" s="262"/>
      <c r="J7" s="2027"/>
      <c r="K7" s="2026"/>
      <c r="L7" s="2026"/>
      <c r="M7" s="2026"/>
      <c r="N7" s="2026"/>
      <c r="O7" s="2026"/>
      <c r="P7" s="2026"/>
      <c r="Q7" s="2026"/>
      <c r="R7" s="2026"/>
      <c r="S7" s="2026"/>
      <c r="T7" s="2026"/>
      <c r="U7" s="2026"/>
      <c r="V7" s="2026"/>
    </row>
    <row r="8" spans="1:22" ht="14.25">
      <c r="A8" s="3339" t="s">
        <v>305</v>
      </c>
      <c r="B8" s="3340">
        <v>15</v>
      </c>
      <c r="C8" s="3348"/>
      <c r="D8" s="3351"/>
      <c r="E8" s="260" t="s">
        <v>306</v>
      </c>
      <c r="F8" s="261"/>
      <c r="G8" s="261"/>
      <c r="H8" s="261"/>
      <c r="I8" s="262"/>
      <c r="J8" s="2027"/>
      <c r="K8" s="2026"/>
      <c r="L8" s="2026"/>
      <c r="M8" s="2026"/>
      <c r="N8" s="2026"/>
      <c r="O8" s="2026"/>
      <c r="P8" s="2026"/>
      <c r="Q8" s="2026"/>
      <c r="R8" s="2026"/>
      <c r="S8" s="2026"/>
      <c r="T8" s="2026"/>
      <c r="U8" s="2026"/>
      <c r="V8" s="2026"/>
    </row>
    <row r="9" spans="1:22" ht="14.25">
      <c r="A9" s="3339"/>
      <c r="B9" s="3340"/>
      <c r="C9" s="3350"/>
      <c r="D9" s="3351"/>
      <c r="E9" s="260" t="s">
        <v>307</v>
      </c>
      <c r="F9" s="261"/>
      <c r="G9" s="261"/>
      <c r="H9" s="261"/>
      <c r="I9" s="262"/>
      <c r="J9" s="2027"/>
      <c r="K9" s="2026"/>
      <c r="L9" s="2026"/>
      <c r="M9" s="2026"/>
      <c r="N9" s="2026"/>
      <c r="O9" s="2026"/>
      <c r="P9" s="2026"/>
      <c r="Q9" s="2026"/>
      <c r="R9" s="2026"/>
      <c r="S9" s="2026"/>
      <c r="T9" s="2026"/>
      <c r="U9" s="2026"/>
      <c r="V9" s="2026"/>
    </row>
    <row r="10" spans="1:22" ht="14.25">
      <c r="A10" s="3339" t="s">
        <v>308</v>
      </c>
      <c r="B10" s="3340">
        <v>15</v>
      </c>
      <c r="C10" s="3348"/>
      <c r="D10" s="3351"/>
      <c r="E10" s="260" t="s">
        <v>309</v>
      </c>
      <c r="F10" s="261"/>
      <c r="G10" s="261"/>
      <c r="H10" s="261"/>
      <c r="I10" s="262"/>
      <c r="J10" s="2027"/>
      <c r="K10" s="2026"/>
      <c r="L10" s="2026"/>
      <c r="M10" s="2026"/>
      <c r="N10" s="2026"/>
      <c r="O10" s="2026"/>
      <c r="P10" s="2026"/>
      <c r="Q10" s="2026"/>
      <c r="R10" s="2026"/>
      <c r="S10" s="2026"/>
      <c r="T10" s="2026"/>
      <c r="U10" s="2026"/>
      <c r="V10" s="2026"/>
    </row>
    <row r="11" spans="1:22" ht="14.25">
      <c r="A11" s="3339"/>
      <c r="B11" s="3340"/>
      <c r="C11" s="3350"/>
      <c r="D11" s="3351"/>
      <c r="E11" s="260" t="s">
        <v>310</v>
      </c>
      <c r="F11" s="261"/>
      <c r="G11" s="261"/>
      <c r="H11" s="261"/>
      <c r="I11" s="262"/>
      <c r="J11" s="2027"/>
      <c r="K11" s="2026"/>
      <c r="L11" s="2026"/>
      <c r="M11" s="2026"/>
      <c r="N11" s="2026"/>
      <c r="O11" s="2026"/>
      <c r="P11" s="2026"/>
      <c r="Q11" s="2026"/>
      <c r="R11" s="2026"/>
      <c r="S11" s="2026"/>
      <c r="T11" s="2026"/>
      <c r="U11" s="2026"/>
      <c r="V11" s="2026"/>
    </row>
    <row r="12" spans="1:22" ht="14.25">
      <c r="A12" s="3339" t="s">
        <v>311</v>
      </c>
      <c r="B12" s="3340">
        <v>15</v>
      </c>
      <c r="C12" s="3348"/>
      <c r="D12" s="3351"/>
      <c r="E12" s="260" t="s">
        <v>312</v>
      </c>
      <c r="F12" s="261"/>
      <c r="G12" s="261"/>
      <c r="H12" s="261"/>
      <c r="I12" s="262"/>
      <c r="J12" s="2027"/>
      <c r="K12" s="2026"/>
      <c r="L12" s="2026"/>
      <c r="M12" s="2026"/>
      <c r="N12" s="2026"/>
      <c r="O12" s="2026"/>
      <c r="P12" s="2026"/>
      <c r="Q12" s="2026"/>
      <c r="R12" s="2026"/>
      <c r="S12" s="2026"/>
      <c r="T12" s="2026"/>
      <c r="U12" s="2026"/>
      <c r="V12" s="2026"/>
    </row>
    <row r="13" spans="1:22" ht="14.25">
      <c r="A13" s="3339"/>
      <c r="B13" s="3340"/>
      <c r="C13" s="3350"/>
      <c r="D13" s="3351"/>
      <c r="E13" s="260" t="s">
        <v>313</v>
      </c>
      <c r="F13" s="261"/>
      <c r="G13" s="261"/>
      <c r="H13" s="261"/>
      <c r="I13" s="262"/>
      <c r="J13" s="2027"/>
      <c r="K13" s="2026"/>
      <c r="L13" s="2026"/>
      <c r="M13" s="2026"/>
      <c r="N13" s="2026"/>
      <c r="O13" s="2026"/>
      <c r="P13" s="2026"/>
      <c r="Q13" s="2026"/>
      <c r="R13" s="2026"/>
      <c r="S13" s="2026"/>
      <c r="T13" s="2026"/>
      <c r="U13" s="2026"/>
      <c r="V13" s="2026"/>
    </row>
    <row r="14" spans="1:22" ht="14.25">
      <c r="A14" s="3339" t="s">
        <v>314</v>
      </c>
      <c r="B14" s="3340">
        <v>30</v>
      </c>
      <c r="C14" s="3348">
        <v>6</v>
      </c>
      <c r="D14" s="3351">
        <v>4</v>
      </c>
      <c r="E14" s="260" t="s">
        <v>315</v>
      </c>
      <c r="F14" s="261"/>
      <c r="G14" s="261"/>
      <c r="H14" s="261"/>
      <c r="I14" s="262"/>
      <c r="J14" s="2027"/>
      <c r="K14" s="2026"/>
      <c r="L14" s="2026"/>
      <c r="M14" s="2026"/>
      <c r="N14" s="2026"/>
      <c r="O14" s="2026"/>
      <c r="P14" s="2026"/>
      <c r="Q14" s="2026"/>
      <c r="R14" s="2026"/>
      <c r="S14" s="2026"/>
      <c r="T14" s="2026"/>
      <c r="U14" s="2026"/>
      <c r="V14" s="2026"/>
    </row>
    <row r="15" spans="1:22" ht="14.25">
      <c r="A15" s="3339"/>
      <c r="B15" s="3340"/>
      <c r="C15" s="3349"/>
      <c r="D15" s="3351"/>
      <c r="E15" s="260" t="s">
        <v>316</v>
      </c>
      <c r="F15" s="261"/>
      <c r="G15" s="261"/>
      <c r="H15" s="261"/>
      <c r="I15" s="262"/>
      <c r="J15" s="2027"/>
      <c r="K15" s="2026"/>
      <c r="L15" s="2026"/>
      <c r="M15" s="2026"/>
      <c r="N15" s="2026"/>
      <c r="O15" s="2026"/>
      <c r="P15" s="2026"/>
      <c r="Q15" s="2026"/>
      <c r="R15" s="2026"/>
      <c r="S15" s="2026"/>
      <c r="T15" s="2026"/>
      <c r="U15" s="2026"/>
      <c r="V15" s="2026"/>
    </row>
    <row r="16" spans="1:22" ht="14.25">
      <c r="A16" s="3339"/>
      <c r="B16" s="3340"/>
      <c r="C16" s="3350"/>
      <c r="D16" s="3351"/>
      <c r="E16" s="260" t="s">
        <v>317</v>
      </c>
      <c r="F16" s="261"/>
      <c r="G16" s="261"/>
      <c r="H16" s="261"/>
      <c r="I16" s="262"/>
      <c r="J16" s="2027"/>
      <c r="K16" s="2026"/>
      <c r="L16" s="2026"/>
      <c r="M16" s="2026"/>
      <c r="N16" s="2026"/>
      <c r="O16" s="2026"/>
      <c r="P16" s="2026"/>
      <c r="Q16" s="2026"/>
      <c r="R16" s="2026"/>
      <c r="S16" s="2026"/>
      <c r="T16" s="2026"/>
      <c r="U16" s="2026"/>
      <c r="V16" s="2026"/>
    </row>
    <row r="17" spans="1:26" ht="15">
      <c r="A17" s="263" t="s">
        <v>318</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319</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320</v>
      </c>
      <c r="B19" s="268" t="s">
        <v>321</v>
      </c>
      <c r="C19" s="269">
        <f ca="1">SUMIF(INDIRECT("'"&amp;C4&amp;"'"&amp;"!A:A"),结果表!B19,INDIRECT("'"&amp;C4&amp;"'"&amp;"!B:B"))</f>
        <v>309827</v>
      </c>
      <c r="D19" s="270">
        <f ca="1">SUMIF(INDIRECT("'"&amp;D4&amp;"'"&amp;"!A:A"),结果表!B19,INDIRECT("'"&amp;D4&amp;"'"&amp;"!B:B"))</f>
        <v>223366</v>
      </c>
      <c r="E19" s="267" t="s">
        <v>322</v>
      </c>
      <c r="F19" s="268" t="s">
        <v>321</v>
      </c>
      <c r="G19" s="271">
        <f ca="1">ROUND(C19*$C$18+D19*$D$18,0)</f>
        <v>275243</v>
      </c>
      <c r="H19" s="272" t="s">
        <v>323</v>
      </c>
      <c r="I19" s="310"/>
      <c r="J19" s="2026"/>
      <c r="K19" s="2026"/>
      <c r="L19" s="2026"/>
      <c r="M19" s="2026"/>
      <c r="N19" s="2026"/>
      <c r="O19" s="2026"/>
      <c r="P19" s="2026"/>
      <c r="Q19" s="2026"/>
      <c r="R19" s="2026"/>
      <c r="S19" s="2026"/>
      <c r="T19" s="2026"/>
      <c r="U19" s="2026"/>
      <c r="V19" s="2026"/>
    </row>
    <row r="20" spans="1:26" ht="15">
      <c r="A20" s="273"/>
      <c r="B20" s="274" t="s">
        <v>324</v>
      </c>
      <c r="C20" s="275">
        <f ca="1">SUMIF(INDIRECT("'"&amp;C4&amp;"'"&amp;"!A:A"),结果表!B20,INDIRECT("'"&amp;C4&amp;"'"&amp;"!B:B"))</f>
        <v>22710</v>
      </c>
      <c r="D20" s="276">
        <f ca="1">SUMIF(INDIRECT("'"&amp;D4&amp;"'"&amp;"!A:A"),结果表!B20,INDIRECT("'"&amp;D4&amp;"'"&amp;"!B:B"))</f>
        <v>16372</v>
      </c>
      <c r="E20" s="273"/>
      <c r="F20" s="274" t="s">
        <v>324</v>
      </c>
      <c r="G20" s="277">
        <f ca="1">ROUND(C20*$C$18+D20*$D$18,0)</f>
        <v>20175</v>
      </c>
      <c r="H20" s="278" t="s">
        <v>325</v>
      </c>
      <c r="I20" s="310"/>
      <c r="J20" s="2026"/>
      <c r="K20" s="2026"/>
      <c r="L20" s="2026"/>
      <c r="M20" s="2026"/>
      <c r="N20" s="2026"/>
      <c r="O20" s="2026"/>
      <c r="P20" s="2026"/>
      <c r="Q20" s="2026"/>
      <c r="R20" s="2026"/>
      <c r="S20" s="2026"/>
      <c r="T20" s="2026"/>
      <c r="U20" s="2026"/>
      <c r="V20" s="2026"/>
    </row>
    <row r="21" spans="1:26" ht="15" customHeight="1">
      <c r="A21" s="273"/>
      <c r="B21" s="279" t="s">
        <v>326</v>
      </c>
      <c r="C21" s="280">
        <f ca="1">SUMIF(INDIRECT("'"&amp;C4&amp;"'"&amp;"!A:A"),结果表!B21,INDIRECT("'"&amp;C4&amp;"'"&amp;"!B:B"))</f>
        <v>82890</v>
      </c>
      <c r="D21" s="151">
        <f ca="1">SUMIF(INDIRECT("'"&amp;D4&amp;"'"&amp;"!A:A"),结果表!B21,INDIRECT("'"&amp;D4&amp;"'"&amp;"!B:B"))</f>
        <v>59759</v>
      </c>
      <c r="E21" s="273"/>
      <c r="F21" s="279" t="s">
        <v>326</v>
      </c>
      <c r="G21" s="281">
        <f ca="1">ROUND(C21*$C$18+D21*$D$18,0)</f>
        <v>73638</v>
      </c>
      <c r="H21" s="1247" t="s">
        <v>325</v>
      </c>
      <c r="I21" s="310"/>
      <c r="J21" s="2026"/>
      <c r="K21" s="2026"/>
      <c r="L21" s="2026"/>
      <c r="M21" s="2026"/>
      <c r="N21" s="2026"/>
      <c r="O21" s="2026"/>
      <c r="P21" s="2026"/>
      <c r="Q21" s="2026"/>
      <c r="R21" s="2026"/>
      <c r="S21" s="2026"/>
      <c r="T21" s="2026"/>
      <c r="U21" s="2026"/>
      <c r="V21" s="2026"/>
    </row>
    <row r="22" spans="1:26" ht="15.75" thickBot="1">
      <c r="A22" s="126" t="s">
        <v>327</v>
      </c>
      <c r="B22" s="1248"/>
      <c r="C22" s="1249"/>
      <c r="D22" s="282">
        <f ca="1">IF(C19&lt;D19,D19/C19-1,C19/D19-1)</f>
        <v>0.38708218797847471</v>
      </c>
      <c r="E22" s="283"/>
      <c r="F22" s="284"/>
      <c r="G22" s="285">
        <f ca="1">ROUND(G19/('数据-汇总表'!D3/666.67),0)</f>
        <v>4909</v>
      </c>
      <c r="H22" s="286" t="s">
        <v>328</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2" t="s">
        <v>329</v>
      </c>
      <c r="B24" s="268" t="s">
        <v>321</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4"/>
      <c r="B25" s="1317" t="s">
        <v>330</v>
      </c>
      <c r="C25" s="289">
        <f>IF(B30=0,0,C30)</f>
        <v>0</v>
      </c>
      <c r="D25" s="290"/>
      <c r="E25" s="310"/>
      <c r="F25" s="310"/>
      <c r="G25" s="310"/>
      <c r="H25" s="310"/>
      <c r="I25" s="310"/>
      <c r="J25" s="2026"/>
      <c r="K25" s="1251" t="str">
        <f ca="1">项目基本情况!B16&amp;"国有建设用地使用权价格："&amp;O38&amp;"万元"</f>
        <v>出让国有建设用地使用权价格：275243万元</v>
      </c>
      <c r="L25" s="1252"/>
      <c r="M25" s="1252"/>
      <c r="N25" s="1252"/>
      <c r="O25" s="1253"/>
      <c r="P25" s="2026"/>
      <c r="Q25" s="2026"/>
      <c r="R25" s="2026"/>
      <c r="S25" s="2026"/>
      <c r="T25" s="2026"/>
      <c r="U25" s="2026"/>
      <c r="V25" s="2026"/>
    </row>
    <row r="26" spans="1:26" s="1250" customFormat="1" ht="18">
      <c r="A26" s="292" t="s">
        <v>331</v>
      </c>
      <c r="B26" s="293" t="s">
        <v>332</v>
      </c>
      <c r="C26" s="293" t="s">
        <v>333</v>
      </c>
      <c r="D26" s="294" t="s">
        <v>334</v>
      </c>
      <c r="E26" s="310"/>
      <c r="F26" s="310"/>
      <c r="G26" s="310"/>
      <c r="H26" s="310"/>
      <c r="I26" s="310"/>
      <c r="J26" s="2026"/>
      <c r="K26" s="1254" t="str">
        <f ca="1">"大写金额：人民币"&amp;NUMBERSTRING(INT(O38*10000),2)&amp;"元整"</f>
        <v>大写金额：人民币贰拾柒亿伍仟贰佰肆拾叁万元整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单位面积地价：73638元/平方米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楼面地价：20175元/平方米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335</v>
      </c>
      <c r="B30" s="308"/>
      <c r="C30" s="308"/>
      <c r="D30" s="309"/>
      <c r="E30" s="3163" t="s">
        <v>2982</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336</v>
      </c>
      <c r="B32" s="1378" t="s">
        <v>1689</v>
      </c>
      <c r="C32" s="1379">
        <f ca="1">G19-C24</f>
        <v>275243</v>
      </c>
      <c r="D32" s="1380" t="s">
        <v>1690</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339</v>
      </c>
      <c r="B33" s="1381" t="s">
        <v>1691</v>
      </c>
      <c r="C33" s="263">
        <f ca="1">ROUND(C32*10000/'数据-汇总表'!E3,0)</f>
        <v>20175</v>
      </c>
      <c r="D33" s="1382" t="s">
        <v>1692</v>
      </c>
      <c r="E33" s="3312" t="s">
        <v>337</v>
      </c>
      <c r="F33" s="295" t="s">
        <v>338</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1693</v>
      </c>
      <c r="C34" s="263">
        <f ca="1">ROUND(C32*10000/'数据-汇总表'!D3,0)</f>
        <v>73638</v>
      </c>
      <c r="D34" s="1384" t="s">
        <v>1692</v>
      </c>
      <c r="E34" s="3313"/>
      <c r="F34" s="127" t="s">
        <v>340</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4909</v>
      </c>
      <c r="D35" s="1387" t="s">
        <v>1694</v>
      </c>
      <c r="E35" s="3314"/>
      <c r="F35" s="300" t="s">
        <v>341</v>
      </c>
      <c r="G35" s="978"/>
      <c r="H35" s="977" t="s">
        <v>342</v>
      </c>
      <c r="I35" s="310"/>
      <c r="J35" s="2026"/>
      <c r="K35" s="3318" t="s">
        <v>349</v>
      </c>
      <c r="L35" s="3318" t="s">
        <v>350</v>
      </c>
      <c r="M35" s="1260" t="s">
        <v>351</v>
      </c>
      <c r="N35" s="3318" t="s">
        <v>352</v>
      </c>
      <c r="O35" s="3318" t="s">
        <v>353</v>
      </c>
      <c r="P35" s="2026"/>
      <c r="V35" s="2026"/>
    </row>
    <row r="36" spans="1:26" ht="16.5" customHeight="1">
      <c r="A36" s="302" t="s">
        <v>343</v>
      </c>
      <c r="B36" s="303" t="s">
        <v>332</v>
      </c>
      <c r="C36" s="304" t="s">
        <v>344</v>
      </c>
      <c r="D36" s="304" t="s">
        <v>345</v>
      </c>
      <c r="E36" s="305" t="s">
        <v>346</v>
      </c>
      <c r="F36" s="310"/>
      <c r="G36" s="310"/>
      <c r="H36" s="310"/>
      <c r="I36" s="310"/>
      <c r="J36" s="2028"/>
      <c r="K36" s="3319"/>
      <c r="L36" s="3319"/>
      <c r="M36" s="1262" t="s">
        <v>354</v>
      </c>
      <c r="N36" s="3319"/>
      <c r="O36" s="3319"/>
      <c r="P36" s="2026"/>
      <c r="V36" s="2026"/>
    </row>
    <row r="37" spans="1:26" ht="16.5" customHeight="1" thickBot="1">
      <c r="A37" s="1256" t="s">
        <v>347</v>
      </c>
      <c r="B37" s="306"/>
      <c r="C37" s="293"/>
      <c r="D37" s="293"/>
      <c r="E37" s="294"/>
      <c r="F37" s="310"/>
      <c r="G37" s="310"/>
      <c r="H37" s="310"/>
      <c r="I37" s="310"/>
      <c r="J37" s="2028"/>
      <c r="K37" s="3320"/>
      <c r="L37" s="3320"/>
      <c r="M37" s="1263"/>
      <c r="N37" s="3320"/>
      <c r="O37" s="3320"/>
      <c r="P37" s="2026"/>
      <c r="V37" s="2026"/>
    </row>
    <row r="38" spans="1:26" ht="16.5" customHeight="1" thickBot="1">
      <c r="A38" s="1256" t="s">
        <v>348</v>
      </c>
      <c r="B38" s="306"/>
      <c r="C38" s="293"/>
      <c r="D38" s="293"/>
      <c r="E38" s="294"/>
      <c r="F38" s="310"/>
      <c r="G38" s="310"/>
      <c r="H38" s="310"/>
      <c r="I38" s="310"/>
      <c r="J38" s="2028"/>
      <c r="K38" s="1264">
        <f>'数据-汇总表'!D3</f>
        <v>37378.1</v>
      </c>
      <c r="L38" s="1265">
        <f>'数据-汇总表'!E3</f>
        <v>136430.07</v>
      </c>
      <c r="M38" s="1265">
        <f ca="1">C34</f>
        <v>73638</v>
      </c>
      <c r="N38" s="1265">
        <f ca="1">C33</f>
        <v>20175</v>
      </c>
      <c r="O38" s="1266">
        <f ca="1">C32</f>
        <v>275243</v>
      </c>
      <c r="P38" s="2026"/>
      <c r="V38" s="2026"/>
    </row>
    <row r="39" spans="1:26" ht="16.5" customHeight="1" thickBot="1">
      <c r="A39" s="1261"/>
      <c r="B39" s="307"/>
      <c r="C39" s="308"/>
      <c r="D39" s="308"/>
      <c r="E39" s="309"/>
      <c r="F39" s="310"/>
      <c r="G39" s="310"/>
      <c r="H39" s="310"/>
      <c r="I39" s="310"/>
      <c r="J39" s="2028"/>
      <c r="K39" s="3295" t="str">
        <f>MID(A44,3,LEN(A44)-2)</f>
        <v/>
      </c>
      <c r="L39" s="3296"/>
      <c r="M39" s="3296"/>
      <c r="N39" s="3297"/>
      <c r="O39" s="1389" t="str">
        <f>C44</f>
        <v>——</v>
      </c>
      <c r="P39" s="2026"/>
      <c r="V39" s="2026"/>
    </row>
    <row r="40" spans="1:26" ht="19.5" thickBot="1">
      <c r="A40" s="104" t="s">
        <v>873</v>
      </c>
      <c r="B40" s="310"/>
      <c r="C40" s="310"/>
      <c r="D40" s="310"/>
      <c r="E40" s="310"/>
      <c r="F40" s="310"/>
      <c r="G40" s="310"/>
      <c r="H40" s="310"/>
      <c r="I40" s="310"/>
      <c r="J40" s="2028"/>
      <c r="K40" s="3295" t="str">
        <f t="shared" ref="K40:K41" si="0">MID(A45,3,LEN(A45)-2)</f>
        <v/>
      </c>
      <c r="L40" s="3296"/>
      <c r="M40" s="3296"/>
      <c r="N40" s="3297"/>
      <c r="O40" s="1389" t="str">
        <f>C45</f>
        <v>——</v>
      </c>
      <c r="P40" s="2026"/>
      <c r="V40" s="2026"/>
    </row>
    <row r="41" spans="1:26" ht="16.5" thickBot="1">
      <c r="A41" s="311" t="s">
        <v>355</v>
      </c>
      <c r="B41" s="312"/>
      <c r="C41" s="313" t="s">
        <v>356</v>
      </c>
      <c r="D41" s="314" t="s">
        <v>357</v>
      </c>
      <c r="E41" s="314" t="s">
        <v>358</v>
      </c>
      <c r="F41" s="315" t="s">
        <v>359</v>
      </c>
      <c r="G41" s="310"/>
      <c r="H41" s="310"/>
      <c r="I41" s="310"/>
      <c r="J41" s="2028"/>
      <c r="K41" s="3295" t="str">
        <f t="shared" si="0"/>
        <v/>
      </c>
      <c r="L41" s="3296"/>
      <c r="M41" s="3296"/>
      <c r="N41" s="3297"/>
      <c r="O41" s="1389" t="str">
        <f>C46</f>
        <v>——</v>
      </c>
      <c r="P41" s="2026"/>
      <c r="V41" s="2026"/>
    </row>
    <row r="42" spans="1:26" ht="29.25">
      <c r="A42" s="3355" t="s">
        <v>2070</v>
      </c>
      <c r="B42" s="3356"/>
      <c r="C42" s="263">
        <f ca="1">C32</f>
        <v>275243</v>
      </c>
      <c r="D42" s="316">
        <f ca="1">C33</f>
        <v>20175</v>
      </c>
      <c r="E42" s="316">
        <f ca="1">C34</f>
        <v>73638</v>
      </c>
      <c r="F42" s="317">
        <f ca="1">C35</f>
        <v>4909</v>
      </c>
      <c r="G42" s="310"/>
      <c r="H42" s="310"/>
      <c r="I42" s="318"/>
      <c r="J42" s="2028"/>
      <c r="K42" s="1267" t="s">
        <v>360</v>
      </c>
      <c r="L42" s="2045" t="s">
        <v>361</v>
      </c>
      <c r="M42" s="1268" t="s">
        <v>362</v>
      </c>
      <c r="N42" s="2046" t="s">
        <v>363</v>
      </c>
      <c r="O42" s="2047" t="s">
        <v>364</v>
      </c>
      <c r="P42" s="2026"/>
      <c r="V42" s="2026"/>
    </row>
    <row r="43" spans="1:26" ht="30">
      <c r="A43" s="3365" t="s">
        <v>2738</v>
      </c>
      <c r="B43" s="3366"/>
      <c r="C43" s="263">
        <f>IF(H33="正常操作",G33+G34+G35,G34+G35)</f>
        <v>0</v>
      </c>
      <c r="D43" s="316" t="s">
        <v>43</v>
      </c>
      <c r="E43" s="316" t="s">
        <v>44</v>
      </c>
      <c r="F43" s="317" t="s">
        <v>44</v>
      </c>
      <c r="G43" s="2890" t="s">
        <v>952</v>
      </c>
      <c r="H43" s="310"/>
      <c r="I43" s="318"/>
      <c r="J43" s="2028"/>
      <c r="K43" s="1269" t="str">
        <f>C4</f>
        <v>市场比较法</v>
      </c>
      <c r="L43" s="1270">
        <f ca="1">IF(L42="估价结果/万元",C19,C20)</f>
        <v>309827</v>
      </c>
      <c r="M43" s="1271">
        <f>C18</f>
        <v>0.6</v>
      </c>
      <c r="N43" s="1272">
        <f ca="1">IF(N42="测算结果/万元",G19,G20)</f>
        <v>275243</v>
      </c>
      <c r="O43" s="1273">
        <f ca="1">IF(O42="最终结果/万元",C32,C33)</f>
        <v>275243</v>
      </c>
      <c r="P43" s="2026"/>
      <c r="V43" s="2026"/>
    </row>
    <row r="44" spans="1:26" ht="30.75" thickBot="1">
      <c r="A44" s="3355" t="str">
        <f>IF(OR(项目基本情况!E8="抵押价格",项目基本情况!E8="已注销及未注销"),"3.抵押价格","——")</f>
        <v>——</v>
      </c>
      <c r="B44" s="3356"/>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223366</v>
      </c>
      <c r="M44" s="1276">
        <f>D18</f>
        <v>0.4</v>
      </c>
      <c r="N44" s="1277"/>
      <c r="O44" s="1278"/>
      <c r="P44" s="2026"/>
      <c r="V44" s="2026"/>
    </row>
    <row r="45" spans="1:26" ht="15">
      <c r="A45" s="3360" t="str">
        <f>IF(项目基本情况!E8="已注销及未注销","4.抵押担保权已注销时的抵押价格",IF(项目基本情况!E8="已注销","3.抵押担保权已注销时的抵押价格","——"))</f>
        <v>——</v>
      </c>
      <c r="B45" s="3361"/>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7" t="str">
        <f>IF(项目基本情况!E9="抵押净值",IF(A45="——","4.抵押净值","5.抵押净值"),"——")</f>
        <v>——</v>
      </c>
      <c r="B46" s="335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365</v>
      </c>
      <c r="B47" s="1279"/>
      <c r="C47" s="321" t="s">
        <v>366</v>
      </c>
      <c r="D47" s="322"/>
      <c r="E47" s="322"/>
      <c r="F47" s="3196" t="s">
        <v>3063</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3054</v>
      </c>
      <c r="C48" s="327">
        <f>6817620000/((37378.1+36257.9+62872)*3.65)</f>
        <v>13683.015617329467</v>
      </c>
      <c r="D48" s="322"/>
      <c r="E48" s="322" t="s">
        <v>3059</v>
      </c>
      <c r="F48" s="322">
        <f ca="1">G19</f>
        <v>275243</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3060</v>
      </c>
      <c r="F49" s="322">
        <f>[1]结果表!$G$19</f>
        <v>46266</v>
      </c>
      <c r="G49" s="322"/>
      <c r="H49" s="328"/>
      <c r="I49" s="329"/>
      <c r="J49" s="2029"/>
      <c r="K49" s="2026"/>
      <c r="L49" s="2026"/>
      <c r="M49" s="2026"/>
      <c r="N49" s="2026"/>
      <c r="O49" s="2026"/>
      <c r="P49" s="2026"/>
      <c r="Q49" s="2026"/>
      <c r="R49" s="2026"/>
      <c r="S49" s="2026"/>
      <c r="T49" s="2026"/>
      <c r="U49" s="2026"/>
      <c r="V49" s="2026"/>
    </row>
    <row r="50" spans="1:22" ht="12.75">
      <c r="A50" s="326">
        <v>3</v>
      </c>
      <c r="B50" s="3186" t="s">
        <v>3066</v>
      </c>
      <c r="C50" s="327">
        <f ca="1">ROUND(F51/((37378.1+36257.9+62872)*3.65)*10000,0)</f>
        <v>14544</v>
      </c>
      <c r="D50" s="322"/>
      <c r="E50" s="322" t="s">
        <v>3061</v>
      </c>
      <c r="F50" s="322">
        <f>[2]结果表!$G$19</f>
        <v>403168</v>
      </c>
      <c r="G50" s="3196" t="s">
        <v>3065</v>
      </c>
      <c r="H50" s="3200">
        <v>681762</v>
      </c>
      <c r="I50" s="3201">
        <f ca="1">F51-H50</f>
        <v>42915</v>
      </c>
      <c r="J50" s="2029"/>
      <c r="K50" s="2026"/>
      <c r="L50" s="2026"/>
      <c r="M50" s="2026"/>
      <c r="N50" s="2026"/>
      <c r="O50" s="2026"/>
      <c r="P50" s="2026"/>
      <c r="Q50" s="2026"/>
      <c r="R50" s="2026"/>
      <c r="S50" s="2026"/>
      <c r="T50" s="2026"/>
      <c r="U50" s="2026"/>
      <c r="V50" s="2026"/>
    </row>
    <row r="51" spans="1:22" ht="12.75">
      <c r="A51" s="330"/>
      <c r="B51" s="331"/>
      <c r="C51" s="331"/>
      <c r="D51" s="332"/>
      <c r="E51" s="3195" t="s">
        <v>3062</v>
      </c>
      <c r="F51" s="3197">
        <f ca="1">SUM(F48:F50)</f>
        <v>724677</v>
      </c>
      <c r="G51" s="3195" t="s">
        <v>3064</v>
      </c>
      <c r="H51" s="3198">
        <v>729244.84710000001</v>
      </c>
      <c r="I51" s="3199">
        <f ca="1">F51-H51</f>
        <v>-4567.8471000000136</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367</v>
      </c>
      <c r="G53" s="334"/>
      <c r="H53" s="334"/>
      <c r="I53" s="335" t="s">
        <v>368</v>
      </c>
      <c r="J53" s="2029"/>
      <c r="K53" s="2026"/>
      <c r="L53" s="2026"/>
      <c r="M53" s="2026"/>
      <c r="N53" s="2026"/>
      <c r="O53" s="2026"/>
      <c r="P53" s="2026"/>
      <c r="Q53" s="2026"/>
      <c r="R53" s="2026"/>
      <c r="S53" s="2026"/>
      <c r="T53" s="2026"/>
      <c r="U53" s="2026"/>
      <c r="V53" s="2026"/>
    </row>
    <row r="54" spans="1:22" ht="12.75">
      <c r="A54" s="256"/>
      <c r="B54" s="336" t="s">
        <v>369</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3053</v>
      </c>
      <c r="C55" s="256"/>
      <c r="D55" s="256" t="s">
        <v>3055</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3056</v>
      </c>
      <c r="C56" s="334"/>
      <c r="D56" s="334"/>
      <c r="E56" s="334"/>
      <c r="F56" s="334"/>
      <c r="G56" s="334"/>
      <c r="H56" s="334"/>
      <c r="I56" s="335" t="s">
        <v>370</v>
      </c>
      <c r="J56" s="2029"/>
      <c r="K56" s="2026"/>
      <c r="L56" s="2026"/>
      <c r="M56" s="2026"/>
      <c r="N56" s="2026"/>
      <c r="O56" s="2026"/>
      <c r="P56" s="2026"/>
      <c r="Q56" s="2026"/>
      <c r="R56" s="2026"/>
      <c r="S56" s="2026"/>
      <c r="T56" s="2026"/>
      <c r="U56" s="2026"/>
      <c r="V56" s="2026"/>
    </row>
    <row r="57" spans="1:22" ht="12.75">
      <c r="A57" s="256"/>
      <c r="B57" s="336" t="s">
        <v>371</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370</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372</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23" t="s">
        <v>373</v>
      </c>
      <c r="B63" s="3324"/>
      <c r="C63" s="3325"/>
      <c r="D63" s="338">
        <f ca="1">ROUND(C42*F63,0)</f>
        <v>165146</v>
      </c>
      <c r="E63" s="301" t="s">
        <v>374</v>
      </c>
      <c r="F63" s="339">
        <v>0.6</v>
      </c>
      <c r="G63" s="340" t="s">
        <v>375</v>
      </c>
      <c r="H63" s="310"/>
      <c r="I63" s="310"/>
      <c r="J63" s="2026"/>
      <c r="K63" s="2026"/>
      <c r="L63" s="2026"/>
      <c r="M63" s="2026"/>
      <c r="N63" s="2026"/>
      <c r="O63" s="2026"/>
      <c r="P63" s="310"/>
      <c r="Q63" s="2026"/>
      <c r="R63" s="2026"/>
      <c r="S63" s="2026"/>
      <c r="T63" s="2026"/>
      <c r="U63" s="2026"/>
      <c r="V63" s="2026"/>
    </row>
    <row r="64" spans="1:22" ht="14.25" customHeight="1">
      <c r="A64" s="3362" t="s">
        <v>377</v>
      </c>
      <c r="B64" s="3363"/>
      <c r="C64" s="3363"/>
      <c r="D64" s="3363"/>
      <c r="E64" s="3363"/>
      <c r="F64" s="3363"/>
      <c r="G64" s="3364"/>
      <c r="H64" s="1284"/>
      <c r="I64" s="944"/>
      <c r="J64" s="1988"/>
      <c r="K64" s="1558" t="s">
        <v>376</v>
      </c>
      <c r="L64" s="11"/>
      <c r="M64" s="11"/>
      <c r="N64" s="11"/>
      <c r="O64" s="11"/>
      <c r="P64" s="310"/>
      <c r="Q64" s="2026"/>
      <c r="R64" s="2026"/>
      <c r="S64" s="2026"/>
      <c r="T64" s="2026"/>
      <c r="U64" s="2026"/>
      <c r="V64" s="2026"/>
    </row>
    <row r="65" spans="1:22" ht="12" customHeight="1">
      <c r="A65" s="341" t="s">
        <v>379</v>
      </c>
      <c r="B65" s="342"/>
      <c r="C65" s="343"/>
      <c r="D65" s="344" t="s">
        <v>380</v>
      </c>
      <c r="E65" s="53" t="s">
        <v>381</v>
      </c>
      <c r="F65" s="345" t="s">
        <v>382</v>
      </c>
      <c r="G65" s="346" t="s">
        <v>383</v>
      </c>
      <c r="H65" s="1284"/>
      <c r="I65" s="944"/>
      <c r="J65" s="1988"/>
      <c r="K65" s="1285"/>
      <c r="L65" s="1286"/>
      <c r="M65" s="1286"/>
      <c r="N65" s="1318" t="s">
        <v>378</v>
      </c>
      <c r="O65" s="1319"/>
      <c r="P65" s="1320"/>
      <c r="Q65" s="2026"/>
      <c r="R65" s="2026"/>
      <c r="S65" s="2026"/>
      <c r="T65" s="2026"/>
      <c r="U65" s="2026"/>
      <c r="V65" s="2026"/>
    </row>
    <row r="66" spans="1:22" ht="25.5">
      <c r="A66" s="3359" t="s">
        <v>385</v>
      </c>
      <c r="B66" s="3330"/>
      <c r="C66" s="3330"/>
      <c r="D66" s="260">
        <f ca="1">IF(H66="情况1",0,IF(H66="情况2",D70,IF(H66="情况3",D71,IF(H66="情况4",D72))))</f>
        <v>8808</v>
      </c>
      <c r="E66" s="989" t="str">
        <f>IF(H66="情况4","(销售额-原购置价)×税（费）率","销售额×税（费）率")</f>
        <v>销售额×税（费）率</v>
      </c>
      <c r="F66" s="347">
        <f>IF(H66="情况1","免征",'数据-取费表'!B41)</f>
        <v>5.6000000000000001E-2</v>
      </c>
      <c r="G66" s="348" t="s">
        <v>386</v>
      </c>
      <c r="H66" s="191" t="s">
        <v>387</v>
      </c>
      <c r="I66" s="1284"/>
      <c r="J66" s="2032"/>
      <c r="K66" s="1287">
        <v>1</v>
      </c>
      <c r="L66" s="3299" t="s">
        <v>384</v>
      </c>
      <c r="M66" s="3300"/>
      <c r="N66" s="2480"/>
      <c r="O66" s="2481"/>
      <c r="P66" s="2482"/>
      <c r="Q66" s="2026"/>
      <c r="R66" s="2026"/>
      <c r="S66" s="2026"/>
      <c r="T66" s="2026"/>
      <c r="U66" s="2026"/>
      <c r="V66" s="2026"/>
    </row>
    <row r="67" spans="1:22" ht="25.5" customHeight="1">
      <c r="A67" s="349" t="s">
        <v>389</v>
      </c>
      <c r="B67" s="3342" t="s">
        <v>390</v>
      </c>
      <c r="C67" s="3342"/>
      <c r="D67" s="350">
        <v>0</v>
      </c>
      <c r="E67" s="41" t="s">
        <v>391</v>
      </c>
      <c r="F67" s="62" t="s">
        <v>21</v>
      </c>
      <c r="G67" s="3326"/>
      <c r="H67" s="310"/>
      <c r="I67" s="1288"/>
      <c r="J67" s="2033"/>
      <c r="K67" s="1974">
        <v>2</v>
      </c>
      <c r="L67" s="3298" t="s">
        <v>388</v>
      </c>
      <c r="M67" s="3298"/>
      <c r="N67" s="1321">
        <f>'数据-取费表'!B2</f>
        <v>43104</v>
      </c>
      <c r="O67" s="1321"/>
      <c r="P67" s="1321"/>
      <c r="Q67" s="2026"/>
      <c r="R67" s="2026"/>
      <c r="S67" s="2026"/>
      <c r="T67" s="2026"/>
      <c r="U67" s="2026"/>
      <c r="V67" s="2026"/>
    </row>
    <row r="68" spans="1:22" ht="25.5" customHeight="1">
      <c r="A68" s="351"/>
      <c r="B68" s="3342" t="s">
        <v>393</v>
      </c>
      <c r="C68" s="3342"/>
      <c r="D68" s="352"/>
      <c r="E68" s="77"/>
      <c r="F68" s="353"/>
      <c r="G68" s="3327"/>
      <c r="H68" s="310"/>
      <c r="I68" s="1288"/>
      <c r="J68" s="2033"/>
      <c r="K68" s="1974">
        <v>3</v>
      </c>
      <c r="L68" s="3298" t="s">
        <v>392</v>
      </c>
      <c r="M68" s="3298"/>
      <c r="N68" s="1289">
        <f ca="1">C42</f>
        <v>275243</v>
      </c>
      <c r="O68" s="1289"/>
      <c r="P68" s="1289"/>
      <c r="Q68" s="2026"/>
      <c r="R68" s="2026"/>
      <c r="S68" s="2026"/>
      <c r="T68" s="2026"/>
      <c r="U68" s="2026"/>
      <c r="V68" s="2026"/>
    </row>
    <row r="69" spans="1:22" ht="12" customHeight="1">
      <c r="A69" s="354"/>
      <c r="B69" s="3342" t="s">
        <v>394</v>
      </c>
      <c r="C69" s="3342"/>
      <c r="D69" s="355"/>
      <c r="E69" s="73"/>
      <c r="F69" s="353"/>
      <c r="G69" s="3328"/>
      <c r="H69" s="310"/>
      <c r="I69" s="1288"/>
      <c r="J69" s="2033"/>
      <c r="K69" s="1290">
        <v>4</v>
      </c>
      <c r="L69" s="3304" t="s">
        <v>2891</v>
      </c>
      <c r="M69" s="3305"/>
      <c r="N69" s="1291" t="str">
        <f>C44</f>
        <v>——</v>
      </c>
      <c r="O69" s="1291"/>
      <c r="P69" s="1291"/>
      <c r="Q69" s="2026"/>
      <c r="R69" s="2026"/>
      <c r="S69" s="2026"/>
      <c r="T69" s="2026"/>
      <c r="U69" s="2026"/>
      <c r="V69" s="2026"/>
    </row>
    <row r="70" spans="1:22" ht="24" customHeight="1">
      <c r="A70" s="356" t="s">
        <v>395</v>
      </c>
      <c r="B70" s="3342" t="s">
        <v>396</v>
      </c>
      <c r="C70" s="3342"/>
      <c r="D70" s="355">
        <f ca="1">ROUND(D63*'数据-取费表'!B41/(1+'数据-取费表'!C42),0)</f>
        <v>8808</v>
      </c>
      <c r="E70" s="17" t="s">
        <v>397</v>
      </c>
      <c r="F70" s="357">
        <f>'数据-取费表'!B41</f>
        <v>5.6000000000000001E-2</v>
      </c>
      <c r="G70" s="358"/>
      <c r="H70" s="310"/>
      <c r="I70" s="1288"/>
      <c r="J70" s="2033"/>
      <c r="K70" s="3085"/>
      <c r="L70" s="3086"/>
      <c r="M70" s="3086"/>
      <c r="N70" s="3087" t="s">
        <v>2896</v>
      </c>
      <c r="O70" s="3086"/>
      <c r="P70" s="3088"/>
      <c r="Q70" s="2026"/>
      <c r="R70" s="2026"/>
      <c r="S70" s="2026"/>
      <c r="T70" s="2026"/>
      <c r="U70" s="2026"/>
      <c r="V70" s="2026"/>
    </row>
    <row r="71" spans="1:22" ht="12" customHeight="1">
      <c r="A71" s="356" t="s">
        <v>403</v>
      </c>
      <c r="B71" s="3341" t="s">
        <v>404</v>
      </c>
      <c r="C71" s="3353"/>
      <c r="D71" s="355">
        <f ca="1">ROUND(D63*'数据-取费表'!B41/(1+'数据-取费表'!C42),0)</f>
        <v>8808</v>
      </c>
      <c r="E71" s="17" t="s">
        <v>397</v>
      </c>
      <c r="F71" s="357">
        <f>'数据-取费表'!B41</f>
        <v>5.6000000000000001E-2</v>
      </c>
      <c r="G71" s="358"/>
      <c r="H71" s="310"/>
      <c r="I71" s="1288"/>
      <c r="J71" s="2033"/>
      <c r="K71" s="3084" t="s">
        <v>398</v>
      </c>
      <c r="L71" s="3306" t="s">
        <v>399</v>
      </c>
      <c r="M71" s="3306"/>
      <c r="N71" s="3084" t="s">
        <v>400</v>
      </c>
      <c r="O71" s="3084" t="s">
        <v>401</v>
      </c>
      <c r="P71" s="3084" t="s">
        <v>402</v>
      </c>
      <c r="Q71" s="2026"/>
      <c r="R71" s="2026"/>
      <c r="S71" s="2026"/>
      <c r="T71" s="2026"/>
      <c r="U71" s="2026"/>
      <c r="V71" s="2026"/>
    </row>
    <row r="72" spans="1:22" ht="12" customHeight="1">
      <c r="A72" s="356" t="s">
        <v>406</v>
      </c>
      <c r="B72" s="3341" t="s">
        <v>407</v>
      </c>
      <c r="C72" s="3353"/>
      <c r="D72" s="355">
        <f ca="1">C86</f>
        <v>8696</v>
      </c>
      <c r="E72" s="73" t="s">
        <v>408</v>
      </c>
      <c r="F72" s="357">
        <f>'数据-取费表'!B41</f>
        <v>5.6000000000000001E-2</v>
      </c>
      <c r="G72" s="358"/>
      <c r="H72" s="1294"/>
      <c r="I72" s="1288"/>
      <c r="J72" s="2033"/>
      <c r="K72" s="1974">
        <v>1</v>
      </c>
      <c r="L72" s="3303" t="s">
        <v>405</v>
      </c>
      <c r="M72" s="3303"/>
      <c r="N72" s="1292">
        <f ca="1">D66</f>
        <v>8808</v>
      </c>
      <c r="O72" s="1857" t="str">
        <f>E66</f>
        <v>销售额×税（费）率</v>
      </c>
      <c r="P72" s="1293">
        <f>F66</f>
        <v>5.6000000000000001E-2</v>
      </c>
      <c r="Q72" s="2026"/>
      <c r="R72" s="2026"/>
      <c r="S72" s="2026"/>
      <c r="T72" s="2026"/>
      <c r="U72" s="2026"/>
      <c r="V72" s="2026"/>
    </row>
    <row r="73" spans="1:22" ht="24" customHeight="1">
      <c r="A73" s="3329" t="s">
        <v>410</v>
      </c>
      <c r="B73" s="3330"/>
      <c r="C73" s="3330"/>
      <c r="D73" s="359">
        <f>IF(H73="个人住宅",0,ROUND(D63*I73,0))</f>
        <v>0</v>
      </c>
      <c r="E73" s="17" t="s">
        <v>411</v>
      </c>
      <c r="F73" s="357" t="str">
        <f>IF(H73="正常",I73,"免征")</f>
        <v>免征</v>
      </c>
      <c r="G73" s="358"/>
      <c r="H73" s="191" t="s">
        <v>2460</v>
      </c>
      <c r="I73" s="357">
        <f>'数据-取费表'!B49</f>
        <v>5.0000000000000001E-4</v>
      </c>
      <c r="J73" s="2033"/>
      <c r="K73" s="1974">
        <v>2</v>
      </c>
      <c r="L73" s="3303" t="s">
        <v>409</v>
      </c>
      <c r="M73" s="3303"/>
      <c r="N73" s="1292">
        <f t="shared" ref="N73:P74" si="1">D73</f>
        <v>0</v>
      </c>
      <c r="O73" s="1857" t="str">
        <f t="shared" si="1"/>
        <v>销售额×税（费）率</v>
      </c>
      <c r="P73" s="1293" t="str">
        <f t="shared" si="1"/>
        <v>免征</v>
      </c>
      <c r="Q73" s="2026"/>
      <c r="R73" s="2026"/>
      <c r="S73" s="2026"/>
      <c r="T73" s="2026"/>
      <c r="U73" s="2026"/>
      <c r="V73" s="2026"/>
    </row>
    <row r="74" spans="1:22" ht="24.75">
      <c r="A74" s="3329" t="s">
        <v>414</v>
      </c>
      <c r="B74" s="3330"/>
      <c r="C74" s="3330"/>
      <c r="D74" s="359">
        <f ca="1">IF(H74="个人住宅",D75,D76)</f>
        <v>92817</v>
      </c>
      <c r="E74" s="17" t="s">
        <v>415</v>
      </c>
      <c r="F74" s="357" t="str">
        <f>IF(H74="正常",F76,"免征")</f>
        <v>——</v>
      </c>
      <c r="G74" s="979" t="s">
        <v>416</v>
      </c>
      <c r="H74" s="360" t="s">
        <v>412</v>
      </c>
      <c r="I74" s="42"/>
      <c r="J74" s="2033"/>
      <c r="K74" s="1974">
        <v>3</v>
      </c>
      <c r="L74" s="3303" t="s">
        <v>413</v>
      </c>
      <c r="M74" s="3303"/>
      <c r="N74" s="1292">
        <f t="shared" ca="1" si="1"/>
        <v>92817</v>
      </c>
      <c r="O74" s="1857" t="str">
        <f t="shared" si="1"/>
        <v>增值额×税（费）率</v>
      </c>
      <c r="P74" s="1295" t="str">
        <f t="shared" si="1"/>
        <v>——</v>
      </c>
      <c r="Q74" s="2026"/>
      <c r="R74" s="2026"/>
      <c r="S74" s="2026"/>
      <c r="T74" s="2026"/>
      <c r="U74" s="2026"/>
      <c r="V74" s="2026"/>
    </row>
    <row r="75" spans="1:22" ht="24">
      <c r="A75" s="356" t="s">
        <v>417</v>
      </c>
      <c r="B75" s="3310" t="s">
        <v>418</v>
      </c>
      <c r="C75" s="3311"/>
      <c r="D75" s="361">
        <v>0</v>
      </c>
      <c r="E75" s="41" t="s">
        <v>419</v>
      </c>
      <c r="F75" s="362"/>
      <c r="G75" s="358"/>
      <c r="H75" s="42"/>
      <c r="I75" s="42"/>
      <c r="J75" s="2033"/>
      <c r="K75" s="3077">
        <f>IF(H77="非个人房产","",4)</f>
        <v>4</v>
      </c>
      <c r="L75" s="3303" t="str">
        <f>IF(H77="非个人房产","——","个人所得税")</f>
        <v>个人所得税</v>
      </c>
      <c r="M75" s="3303"/>
      <c r="N75" s="1296">
        <f ca="1">D77</f>
        <v>1651</v>
      </c>
      <c r="O75" s="1870" t="str">
        <f>E77</f>
        <v>销售额×税（费）率</v>
      </c>
      <c r="P75" s="1297">
        <f>F77</f>
        <v>0.01</v>
      </c>
      <c r="Q75" s="2026"/>
      <c r="R75" s="2026"/>
      <c r="S75" s="2026"/>
      <c r="T75" s="2026"/>
      <c r="U75" s="2026"/>
      <c r="V75" s="2026"/>
    </row>
    <row r="76" spans="1:22" ht="24.75">
      <c r="A76" s="356" t="s">
        <v>395</v>
      </c>
      <c r="B76" s="3310" t="s">
        <v>421</v>
      </c>
      <c r="C76" s="3352"/>
      <c r="D76" s="359">
        <f ca="1">IF(H76="转让取得",C99,C115)</f>
        <v>92817</v>
      </c>
      <c r="E76" s="17" t="s">
        <v>422</v>
      </c>
      <c r="F76" s="53" t="s">
        <v>21</v>
      </c>
      <c r="G76" s="358"/>
      <c r="H76" s="360" t="s">
        <v>423</v>
      </c>
      <c r="I76" s="42"/>
      <c r="J76" s="2033"/>
      <c r="K76" s="3077" t="str">
        <f>IF(项目基本情况!K6="上海银行",IF(K75="",4,K75+1),"")</f>
        <v/>
      </c>
      <c r="L76" s="3291" t="str">
        <f>IF(项目基本情况!K6="上海银行","其他处置费用","")</f>
        <v/>
      </c>
      <c r="M76" s="3292"/>
      <c r="N76" s="1292" t="str">
        <f>IF(项目基本情况!K6="上海银行",N89,"")</f>
        <v/>
      </c>
      <c r="O76" s="3293" t="str">
        <f>IF(项目基本情况!K6="上海银行","包含处置中涉及的律师、诉讼、拍卖、评估等费用","")</f>
        <v/>
      </c>
      <c r="P76" s="3294"/>
      <c r="Q76" s="2026"/>
      <c r="R76" s="2026"/>
      <c r="S76" s="2026"/>
      <c r="T76" s="2026"/>
      <c r="U76" s="2026"/>
      <c r="V76" s="2026"/>
    </row>
    <row r="77" spans="1:22" ht="26.25" thickBot="1">
      <c r="A77" s="3321" t="s">
        <v>425</v>
      </c>
      <c r="B77" s="3322"/>
      <c r="C77" s="3322"/>
      <c r="D77" s="363">
        <f ca="1">IF(H77="非个人房产","——",IF(H77="个人住宅",0,ROUND(D63*I77,0)))</f>
        <v>1651</v>
      </c>
      <c r="E77" s="364" t="str">
        <f>IF(H77="非个人房产","——","销售额×税（费）率")</f>
        <v>销售额×税（费）率</v>
      </c>
      <c r="F77" s="365">
        <f>IF(H77="非个人房产","——",IF(H77="个人住宅","免征",I77))</f>
        <v>0.01</v>
      </c>
      <c r="G77" s="980" t="s">
        <v>416</v>
      </c>
      <c r="H77" s="360" t="s">
        <v>2892</v>
      </c>
      <c r="I77" s="366">
        <v>0.01</v>
      </c>
      <c r="J77" s="2033"/>
      <c r="K77" s="3317">
        <f>IF(AND(K75="",K76=""),4,IF(项目基本情况!K6="上海银行",K76+1,K75+1))</f>
        <v>5</v>
      </c>
      <c r="L77" s="3303" t="s">
        <v>2893</v>
      </c>
      <c r="M77" s="3083" t="s">
        <v>420</v>
      </c>
      <c r="N77" s="1298"/>
      <c r="O77" s="1299">
        <f ca="1">SUMIF(N72:N76,"&lt;9e307")</f>
        <v>103276</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17"/>
      <c r="L78" s="3303"/>
      <c r="M78" s="3083" t="s">
        <v>424</v>
      </c>
      <c r="N78" s="1298"/>
      <c r="O78" s="1299" t="str">
        <f ca="1">NUMBERSTRING(INT(O77*10000),2)&amp;"元整"</f>
        <v>壹拾亿叁仟贰佰柒拾陆万元整</v>
      </c>
      <c r="P78" s="1300"/>
      <c r="Q78" s="2026"/>
      <c r="R78" s="2026"/>
      <c r="S78" s="2026"/>
      <c r="T78" s="2026"/>
      <c r="U78" s="2026"/>
      <c r="V78" s="2026"/>
    </row>
    <row r="79" spans="1:22" ht="13.5" thickBot="1">
      <c r="A79" s="3307" t="s">
        <v>426</v>
      </c>
      <c r="B79" s="3307"/>
      <c r="C79" s="3307"/>
      <c r="D79" s="3307"/>
      <c r="E79" s="3307"/>
      <c r="F79" s="42"/>
      <c r="G79" s="42"/>
      <c r="H79" s="999"/>
      <c r="I79" s="310"/>
      <c r="J79" s="2033"/>
      <c r="K79" s="3301">
        <f>K77+1</f>
        <v>6</v>
      </c>
      <c r="L79" s="3303" t="s">
        <v>2894</v>
      </c>
      <c r="M79" s="3083" t="s">
        <v>420</v>
      </c>
      <c r="N79" s="1298"/>
      <c r="O79" s="1299" t="e">
        <f ca="1">N69-O77</f>
        <v>#VALUE!</v>
      </c>
      <c r="P79" s="1300"/>
      <c r="Q79" s="2026"/>
      <c r="R79" s="2026"/>
      <c r="S79" s="2026"/>
      <c r="T79" s="2026"/>
      <c r="U79" s="2026"/>
      <c r="V79" s="2026"/>
    </row>
    <row r="80" spans="1:22" ht="12.75">
      <c r="A80" s="3308" t="s">
        <v>427</v>
      </c>
      <c r="B80" s="3309"/>
      <c r="C80" s="990"/>
      <c r="D80" s="990" t="s">
        <v>428</v>
      </c>
      <c r="E80" s="367" t="s">
        <v>429</v>
      </c>
      <c r="F80" s="42"/>
      <c r="G80" s="42"/>
      <c r="H80" s="999"/>
      <c r="I80" s="310"/>
      <c r="J80" s="2026"/>
      <c r="K80" s="3302"/>
      <c r="L80" s="3303"/>
      <c r="M80" s="3083" t="s">
        <v>424</v>
      </c>
      <c r="N80" s="1298"/>
      <c r="O80" s="1299" t="e">
        <f ca="1">NUMBERSTRING(INT(O79*10000),2)&amp;"元整"</f>
        <v>#VALUE!</v>
      </c>
      <c r="P80" s="1300"/>
      <c r="Q80" s="2026"/>
      <c r="R80" s="2026"/>
      <c r="S80" s="2026"/>
      <c r="T80" s="2026"/>
      <c r="U80" s="2026"/>
      <c r="V80" s="2026"/>
    </row>
    <row r="81" spans="1:26" ht="13.5" thickBot="1">
      <c r="A81" s="378" t="s">
        <v>1824</v>
      </c>
      <c r="B81" s="368" t="s">
        <v>430</v>
      </c>
      <c r="C81" s="369">
        <f ca="1">ROUND((C82+C83)/(1+'数据-取费表'!C42),0)</f>
        <v>157282</v>
      </c>
      <c r="D81" s="370"/>
      <c r="E81" s="371"/>
      <c r="F81" s="42"/>
      <c r="G81" s="42"/>
      <c r="H81" s="999"/>
      <c r="I81" s="310"/>
      <c r="J81" s="2026"/>
      <c r="K81" s="3077">
        <f>K79+1</f>
        <v>7</v>
      </c>
      <c r="L81" s="3315" t="s">
        <v>2895</v>
      </c>
      <c r="M81" s="3316"/>
      <c r="N81" s="1302"/>
      <c r="O81" s="1303" t="e">
        <f ca="1">ROUND(O79*10000/'数据-汇总表'!E3,0)</f>
        <v>#VALUE!</v>
      </c>
      <c r="P81" s="1304"/>
      <c r="Q81" s="2026"/>
      <c r="R81" s="2026"/>
      <c r="S81" s="2026"/>
      <c r="T81" s="2026"/>
      <c r="U81" s="2026"/>
      <c r="V81" s="2026"/>
    </row>
    <row r="82" spans="1:26" ht="13.5" thickTop="1">
      <c r="A82" s="372" t="s">
        <v>1825</v>
      </c>
      <c r="B82" s="373" t="s">
        <v>431</v>
      </c>
      <c r="C82" s="374">
        <f ca="1">D63</f>
        <v>165146</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1826</v>
      </c>
      <c r="B83" s="373" t="s">
        <v>432</v>
      </c>
      <c r="C83" s="377">
        <v>0</v>
      </c>
      <c r="D83" s="375"/>
      <c r="E83" s="376"/>
      <c r="F83" s="42"/>
      <c r="G83" s="42"/>
      <c r="H83" s="999"/>
      <c r="I83" s="310"/>
      <c r="J83" s="2026"/>
      <c r="K83" s="3290" t="s">
        <v>2882</v>
      </c>
      <c r="L83" s="3089" t="s">
        <v>2883</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1827</v>
      </c>
      <c r="B84" s="379" t="s">
        <v>433</v>
      </c>
      <c r="C84" s="380">
        <v>2000</v>
      </c>
      <c r="D84" s="381" t="s">
        <v>19</v>
      </c>
      <c r="E84" s="3124" t="s">
        <v>2952</v>
      </c>
      <c r="F84" s="42"/>
      <c r="G84" s="42"/>
      <c r="H84" s="999"/>
      <c r="I84" s="310"/>
      <c r="J84" s="2026"/>
      <c r="K84" s="3290"/>
      <c r="L84" s="3089" t="s">
        <v>2884</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2885</v>
      </c>
      <c r="P84" s="2026"/>
      <c r="Q84" s="2026"/>
      <c r="R84" s="2026"/>
      <c r="S84" s="2026"/>
      <c r="T84" s="2026"/>
      <c r="U84" s="2026"/>
      <c r="V84" s="2026"/>
    </row>
    <row r="85" spans="1:26" ht="12.75">
      <c r="A85" s="378" t="s">
        <v>1828</v>
      </c>
      <c r="B85" s="379" t="s">
        <v>434</v>
      </c>
      <c r="C85" s="382">
        <f ca="1">C81-C84</f>
        <v>155282</v>
      </c>
      <c r="D85" s="375" t="s">
        <v>19</v>
      </c>
      <c r="E85" s="376"/>
      <c r="F85" s="42"/>
      <c r="G85" s="42"/>
      <c r="H85" s="999"/>
      <c r="I85" s="310"/>
      <c r="J85" s="2026"/>
      <c r="K85" s="3290"/>
      <c r="L85" s="3089" t="s">
        <v>2886</v>
      </c>
      <c r="M85" s="3079" t="e">
        <f>IF(N69&gt;1000,N69*0.1%,IF(AND(N69&gt;500,N69&lt;=1000),N69*0.5%,IF(AND(N69&gt;50,N69&lt;=500),N69*1%,IF(AND(N69&gt;1,N69&lt;=50),N69*1.5%))))</f>
        <v>#VALUE!</v>
      </c>
      <c r="N85" s="53" t="e">
        <f t="shared" si="2"/>
        <v>#VALUE!</v>
      </c>
      <c r="O85" s="2026" t="s">
        <v>2885</v>
      </c>
      <c r="P85" s="2026"/>
      <c r="Q85" s="2026"/>
      <c r="R85" s="2026"/>
      <c r="S85" s="2026"/>
      <c r="T85" s="2026"/>
      <c r="U85" s="2026"/>
      <c r="V85" s="2026"/>
    </row>
    <row r="86" spans="1:26" ht="13.5" thickBot="1">
      <c r="A86" s="383" t="s">
        <v>1829</v>
      </c>
      <c r="B86" s="384" t="s">
        <v>435</v>
      </c>
      <c r="C86" s="385">
        <f ca="1">IF(C85&lt;=0,0,ROUND(C85*D86,0))</f>
        <v>8696</v>
      </c>
      <c r="D86" s="386">
        <f>'数据-取费表'!B41</f>
        <v>5.6000000000000001E-2</v>
      </c>
      <c r="E86" s="387"/>
      <c r="F86" s="42"/>
      <c r="G86" s="42"/>
      <c r="H86" s="999"/>
      <c r="I86" s="310"/>
      <c r="J86" s="2026"/>
      <c r="K86" s="3290"/>
      <c r="L86" s="3089" t="s">
        <v>2887</v>
      </c>
      <c r="M86" s="3079" t="e">
        <f>N69*0.5%</f>
        <v>#VALUE!</v>
      </c>
      <c r="N86" s="53" t="e">
        <f>IF(M86&gt;0.5,0.5,ROUND(M86,0))</f>
        <v>#VALUE!</v>
      </c>
      <c r="O86" s="2026" t="s">
        <v>2888</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290"/>
      <c r="L87" s="3089" t="s">
        <v>2889</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44" t="s">
        <v>436</v>
      </c>
      <c r="B88" s="3345"/>
      <c r="C88" s="3345"/>
      <c r="D88" s="3345"/>
      <c r="E88" s="3345"/>
      <c r="F88" s="3345"/>
      <c r="G88" s="3345"/>
      <c r="H88" s="3345"/>
      <c r="I88" s="1311"/>
      <c r="J88" s="2034"/>
      <c r="K88" s="3290"/>
      <c r="L88" s="3089" t="s">
        <v>2890</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08" t="s">
        <v>427</v>
      </c>
      <c r="B89" s="3309"/>
      <c r="C89" s="990"/>
      <c r="D89" s="990" t="s">
        <v>428</v>
      </c>
      <c r="E89" s="388" t="s">
        <v>437</v>
      </c>
      <c r="F89" s="389"/>
      <c r="G89" s="389"/>
      <c r="H89" s="390"/>
      <c r="I89" s="1312"/>
      <c r="J89" s="2036"/>
      <c r="K89" s="3290"/>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1824</v>
      </c>
      <c r="B90" s="379" t="s">
        <v>438</v>
      </c>
      <c r="C90" s="382">
        <f ca="1">ROUND(D63/(1+'数据-取费表'!C42),0)</f>
        <v>157282</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1830</v>
      </c>
      <c r="B91" s="345" t="s">
        <v>439</v>
      </c>
      <c r="C91" s="382">
        <f ca="1">C92+C96</f>
        <v>3505</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1831</v>
      </c>
      <c r="B92" s="373" t="s">
        <v>440</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1832</v>
      </c>
      <c r="B93" s="373" t="s">
        <v>441</v>
      </c>
      <c r="C93" s="393">
        <v>2000</v>
      </c>
      <c r="D93" s="375" t="s">
        <v>19</v>
      </c>
      <c r="E93" s="394" t="s">
        <v>442</v>
      </c>
      <c r="F93" s="395" t="s">
        <v>443</v>
      </c>
      <c r="G93" s="394" t="s">
        <v>444</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1833</v>
      </c>
      <c r="B94" s="397" t="s">
        <v>445</v>
      </c>
      <c r="C94" s="375">
        <f>IF(F93="购房发票",ROUND(C93*H93*5%,0),0)</f>
        <v>500</v>
      </c>
      <c r="D94" s="398">
        <v>0.05</v>
      </c>
      <c r="E94" s="3341" t="s">
        <v>446</v>
      </c>
      <c r="F94" s="3342"/>
      <c r="G94" s="3342"/>
      <c r="H94" s="3343"/>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1834</v>
      </c>
      <c r="B95" s="373" t="s">
        <v>447</v>
      </c>
      <c r="C95" s="375">
        <f>ROUND(IF(G95="个人买卖住房",0,IF(G95="2016年5月1日前购买",C93*D95,C93*D95/(1+'数据-取费表'!C42))),0)</f>
        <v>61</v>
      </c>
      <c r="D95" s="399">
        <f>'数据-取费表'!B48+'数据-取费表'!B49</f>
        <v>3.0499999999999999E-2</v>
      </c>
      <c r="E95" s="26" t="s">
        <v>448</v>
      </c>
      <c r="F95" s="400"/>
      <c r="G95" s="401" t="s">
        <v>2433</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1835</v>
      </c>
      <c r="B96" s="373" t="s">
        <v>449</v>
      </c>
      <c r="C96" s="402">
        <f ca="1">ROUND(D63*D96/(1+'数据-取费表'!C42),0)</f>
        <v>944</v>
      </c>
      <c r="D96" s="403">
        <f>'数据-取费表'!B43</f>
        <v>6.000000000000001E-3</v>
      </c>
      <c r="E96" s="3331" t="s">
        <v>2432</v>
      </c>
      <c r="F96" s="3332"/>
      <c r="G96" s="3332"/>
      <c r="H96" s="3333"/>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1836</v>
      </c>
      <c r="B97" s="379" t="s">
        <v>450</v>
      </c>
      <c r="C97" s="382">
        <f ca="1">C90-C91</f>
        <v>153777</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1837</v>
      </c>
      <c r="B98" s="379" t="s">
        <v>451</v>
      </c>
      <c r="C98" s="404">
        <f ca="1">IF(C97&lt;=0,0,C97/C91)</f>
        <v>43.873609129814554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1838</v>
      </c>
      <c r="B99" s="384" t="s">
        <v>452</v>
      </c>
      <c r="C99" s="405">
        <f ca="1">ROUND(IF(C97&lt;=0,0,IF(C98&gt;=200%,C97*60%-C91*35%,IF(C98&gt;=100%,C97*50%-C91*15%,IF(C98&gt;=50%,C97*40%-C91*5%,IF(C98&lt;50%,C97*30%,0))))),0)</f>
        <v>91039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44" t="s">
        <v>453</v>
      </c>
      <c r="B101" s="3345"/>
      <c r="C101" s="3345"/>
      <c r="D101" s="3345"/>
      <c r="E101" s="3345"/>
      <c r="F101" s="3345"/>
      <c r="G101" s="3345"/>
      <c r="H101" s="3345"/>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08" t="s">
        <v>427</v>
      </c>
      <c r="B102" s="3309"/>
      <c r="C102" s="990"/>
      <c r="D102" s="990" t="s">
        <v>428</v>
      </c>
      <c r="E102" s="388" t="s">
        <v>437</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1824</v>
      </c>
      <c r="B103" s="379" t="s">
        <v>438</v>
      </c>
      <c r="C103" s="382">
        <f ca="1">ROUND(D63/(1+'数据-取费表'!C42),0)</f>
        <v>157282</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1830</v>
      </c>
      <c r="B104" s="345" t="s">
        <v>439</v>
      </c>
      <c r="C104" s="382">
        <f ca="1">IF(H106="仅含出让金",C105+C108+C109+C110+C111+C112,C105+C109+C110+C111+C112)</f>
        <v>1634</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1831</v>
      </c>
      <c r="B105" s="373" t="s">
        <v>454</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1832</v>
      </c>
      <c r="B106" s="373" t="s">
        <v>455</v>
      </c>
      <c r="C106" s="413">
        <v>555</v>
      </c>
      <c r="D106" s="403"/>
      <c r="E106" s="414" t="s">
        <v>456</v>
      </c>
      <c r="F106" s="982"/>
      <c r="G106" s="415" t="s">
        <v>457</v>
      </c>
      <c r="H106" s="416" t="s">
        <v>2443</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1833</v>
      </c>
      <c r="B107" s="373" t="s">
        <v>447</v>
      </c>
      <c r="C107" s="402">
        <f>ROUND(C106*D107,0)</f>
        <v>17</v>
      </c>
      <c r="D107" s="403">
        <f>'数据-取费表'!B48+'数据-取费表'!B49</f>
        <v>3.0499999999999999E-2</v>
      </c>
      <c r="E107" s="414" t="s">
        <v>458</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1835</v>
      </c>
      <c r="B108" s="373" t="s">
        <v>459</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1839</v>
      </c>
      <c r="B109" s="373" t="s">
        <v>460</v>
      </c>
      <c r="C109" s="402">
        <f>IF(H109="——",IF(F1="现房",'剩余法-现房'!C18,'剩余法-待开发'!C18),I109)</f>
        <v>55</v>
      </c>
      <c r="D109" s="403"/>
      <c r="E109" s="3334" t="s">
        <v>461</v>
      </c>
      <c r="F109" s="3332"/>
      <c r="G109" s="3332"/>
      <c r="H109" s="1939" t="s">
        <v>2282</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1840</v>
      </c>
      <c r="B110" s="373" t="s">
        <v>462</v>
      </c>
      <c r="C110" s="402">
        <f>ROUND((C105+C108+C109)*D110,0)</f>
        <v>63</v>
      </c>
      <c r="D110" s="403">
        <v>0.1</v>
      </c>
      <c r="E110" s="3334" t="s">
        <v>463</v>
      </c>
      <c r="F110" s="3332"/>
      <c r="G110" s="3332"/>
      <c r="H110" s="3333"/>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1841</v>
      </c>
      <c r="B111" s="373" t="s">
        <v>449</v>
      </c>
      <c r="C111" s="402">
        <f ca="1">ROUND(D63*D111/(1+'数据-取费表'!C42),0)</f>
        <v>944</v>
      </c>
      <c r="D111" s="403">
        <f>'数据-取费表'!B43</f>
        <v>6.000000000000001E-3</v>
      </c>
      <c r="E111" s="3331" t="s">
        <v>2432</v>
      </c>
      <c r="F111" s="3332"/>
      <c r="G111" s="3332"/>
      <c r="H111" s="3333"/>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1842</v>
      </c>
      <c r="B112" s="373" t="s">
        <v>464</v>
      </c>
      <c r="C112" s="402">
        <f>ROUND(C108*D112,0)</f>
        <v>0</v>
      </c>
      <c r="D112" s="403">
        <v>0.2</v>
      </c>
      <c r="E112" s="3334" t="s">
        <v>2457</v>
      </c>
      <c r="F112" s="3332"/>
      <c r="G112" s="3332"/>
      <c r="H112" s="3333"/>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1836</v>
      </c>
      <c r="B113" s="379" t="s">
        <v>450</v>
      </c>
      <c r="C113" s="382">
        <f ca="1">ROUND(C103-C104,0)</f>
        <v>155648</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1837</v>
      </c>
      <c r="B114" s="379" t="s">
        <v>451</v>
      </c>
      <c r="C114" s="404">
        <f ca="1">IF(C113&lt;=0,0,C113/C104)</f>
        <v>95.255813953488371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1838</v>
      </c>
      <c r="B115" s="384" t="s">
        <v>452</v>
      </c>
      <c r="C115" s="405">
        <f ca="1">ROUND(IF(C113&lt;=0,0,IF(C114&gt;=200%,C113*60%-C104*35%,IF(C114&gt;=100%,C113*50%-C104*15%,IF(C114&gt;=50%,C113*40%-C104*5%,IF(C114&lt;50%,C113*30%,0))))),0)</f>
        <v>92817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 zoomScale="80" zoomScaleNormal="95" zoomScaleSheetLayoutView="8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466</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1685</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520</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468</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521</v>
      </c>
      <c r="B6" s="510"/>
      <c r="C6" s="3389" t="s">
        <v>522</v>
      </c>
      <c r="D6" s="3390"/>
      <c r="E6" s="3389" t="s">
        <v>523</v>
      </c>
      <c r="F6" s="3390"/>
      <c r="G6" s="3389" t="s">
        <v>524</v>
      </c>
      <c r="H6" s="3390"/>
      <c r="I6" s="3389" t="s">
        <v>525</v>
      </c>
      <c r="J6" s="3390"/>
      <c r="K6" s="511" t="s">
        <v>526</v>
      </c>
      <c r="L6" s="2131"/>
      <c r="M6" s="2130"/>
      <c r="N6" s="2130"/>
      <c r="O6" s="2132"/>
      <c r="P6" s="3391" t="s">
        <v>527</v>
      </c>
      <c r="Q6" s="3392"/>
      <c r="R6" s="3377" t="s">
        <v>523</v>
      </c>
      <c r="S6" s="3378"/>
      <c r="T6" s="3377" t="s">
        <v>524</v>
      </c>
      <c r="U6" s="3378"/>
      <c r="V6" s="3397" t="s">
        <v>525</v>
      </c>
      <c r="W6" s="3397"/>
      <c r="X6" s="1564"/>
      <c r="Y6" s="3377" t="s">
        <v>527</v>
      </c>
      <c r="Z6" s="3378"/>
      <c r="AA6" s="3372" t="s">
        <v>523</v>
      </c>
      <c r="AB6" s="3373" t="s">
        <v>524</v>
      </c>
      <c r="AC6" s="3372" t="s">
        <v>525</v>
      </c>
    </row>
    <row r="7" spans="1:30" ht="20.25">
      <c r="A7" s="512"/>
      <c r="B7" s="513"/>
      <c r="C7" s="3400" t="s">
        <v>2939</v>
      </c>
      <c r="D7" s="3401"/>
      <c r="E7" s="3400" t="s">
        <v>2940</v>
      </c>
      <c r="F7" s="3401"/>
      <c r="G7" s="3400" t="s">
        <v>2941</v>
      </c>
      <c r="H7" s="3401"/>
      <c r="I7" s="3400" t="s">
        <v>2942</v>
      </c>
      <c r="J7" s="3401"/>
      <c r="K7" s="511"/>
      <c r="L7" s="2131"/>
      <c r="M7" s="2130"/>
      <c r="N7" s="2130"/>
      <c r="O7" s="2132"/>
      <c r="P7" s="3393"/>
      <c r="Q7" s="3394"/>
      <c r="R7" s="3379"/>
      <c r="S7" s="3380"/>
      <c r="T7" s="3379"/>
      <c r="U7" s="3380"/>
      <c r="V7" s="3397"/>
      <c r="W7" s="3397"/>
      <c r="X7" s="1564"/>
      <c r="Y7" s="3379"/>
      <c r="Z7" s="3380"/>
      <c r="AA7" s="3373"/>
      <c r="AB7" s="3373"/>
      <c r="AC7" s="3373"/>
    </row>
    <row r="8" spans="1:30" ht="42.75" customHeight="1" thickBot="1">
      <c r="A8" s="512"/>
      <c r="B8" s="513"/>
      <c r="C8" s="3402" t="s">
        <v>2943</v>
      </c>
      <c r="D8" s="3403"/>
      <c r="E8" s="3404" t="s">
        <v>3001</v>
      </c>
      <c r="F8" s="3403"/>
      <c r="G8" s="3398" t="s">
        <v>3016</v>
      </c>
      <c r="H8" s="3399"/>
      <c r="I8" s="3398" t="s">
        <v>3017</v>
      </c>
      <c r="J8" s="3399"/>
      <c r="K8" s="511" t="s">
        <v>528</v>
      </c>
      <c r="L8" s="2131"/>
      <c r="M8" s="2130"/>
      <c r="N8" s="2130"/>
      <c r="O8" s="2132"/>
      <c r="P8" s="3395"/>
      <c r="Q8" s="3396"/>
      <c r="R8" s="3379"/>
      <c r="S8" s="3380"/>
      <c r="T8" s="3381"/>
      <c r="U8" s="3382"/>
      <c r="V8" s="3397"/>
      <c r="W8" s="3397"/>
      <c r="X8" s="1564"/>
      <c r="Y8" s="3381"/>
      <c r="Z8" s="3382"/>
      <c r="AA8" s="3374"/>
      <c r="AB8" s="3374"/>
      <c r="AC8" s="3374"/>
    </row>
    <row r="9" spans="1:30" s="1216" customFormat="1" ht="21" thickBot="1">
      <c r="A9" s="2935"/>
      <c r="B9" s="2942" t="s">
        <v>529</v>
      </c>
      <c r="C9" s="2934">
        <f>'数据-取费表'!B2</f>
        <v>43104</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375" t="s">
        <v>530</v>
      </c>
      <c r="Q9" s="3384"/>
      <c r="R9" s="1565" t="s">
        <v>8</v>
      </c>
      <c r="S9" s="1566">
        <f t="shared" ref="S9:S17" si="0">F9</f>
        <v>94</v>
      </c>
      <c r="T9" s="1565" t="s">
        <v>8</v>
      </c>
      <c r="U9" s="1566">
        <f t="shared" ref="U9:U17" si="1">H9</f>
        <v>93</v>
      </c>
      <c r="V9" s="1565" t="s">
        <v>8</v>
      </c>
      <c r="W9" s="1566">
        <f t="shared" ref="W9:W17" si="2">J9</f>
        <v>97</v>
      </c>
      <c r="X9" s="1567"/>
      <c r="Y9" s="3375" t="s">
        <v>530</v>
      </c>
      <c r="Z9" s="3376"/>
      <c r="AA9" s="1568">
        <f>D9/F9</f>
        <v>1.0638297872340425</v>
      </c>
      <c r="AB9" s="1568">
        <f>D9/H9</f>
        <v>1.075268817204301</v>
      </c>
      <c r="AC9" s="1568">
        <f>D9/J9</f>
        <v>1.0309278350515463</v>
      </c>
    </row>
    <row r="10" spans="1:30" s="1216" customFormat="1" ht="21" thickBot="1">
      <c r="A10" s="2936"/>
      <c r="B10" s="2943" t="s">
        <v>531</v>
      </c>
      <c r="C10" s="853" t="s">
        <v>532</v>
      </c>
      <c r="D10" s="517">
        <v>100</v>
      </c>
      <c r="E10" s="3165" t="s">
        <v>3002</v>
      </c>
      <c r="F10" s="519">
        <f>SUMIF(75:75,E10,76:76)-SUMIF(75:75,C10,76:76)+100</f>
        <v>100</v>
      </c>
      <c r="G10" s="3165" t="s">
        <v>3002</v>
      </c>
      <c r="H10" s="517">
        <f>SUMIF(75:75,G10,76:76)-SUMIF(75:75,C10,76:76)+100</f>
        <v>100</v>
      </c>
      <c r="I10" s="3165" t="s">
        <v>3002</v>
      </c>
      <c r="J10" s="517">
        <f>SUMIF(75:75,I10,76:76)-SUMIF(75:75,C10,76:76)+100</f>
        <v>100</v>
      </c>
      <c r="K10" s="521"/>
      <c r="L10" s="2133"/>
      <c r="M10" s="2130"/>
      <c r="N10" s="2130"/>
      <c r="O10" s="2134"/>
      <c r="P10" s="3375" t="s">
        <v>533</v>
      </c>
      <c r="Q10" s="3376"/>
      <c r="R10" s="1565" t="s">
        <v>8</v>
      </c>
      <c r="S10" s="1566">
        <f t="shared" si="0"/>
        <v>100</v>
      </c>
      <c r="T10" s="1565" t="s">
        <v>8</v>
      </c>
      <c r="U10" s="1566">
        <f t="shared" si="1"/>
        <v>100</v>
      </c>
      <c r="V10" s="1565" t="s">
        <v>8</v>
      </c>
      <c r="W10" s="1566">
        <f t="shared" si="2"/>
        <v>100</v>
      </c>
      <c r="X10" s="1567"/>
      <c r="Y10" s="3375" t="s">
        <v>533</v>
      </c>
      <c r="Z10" s="3376"/>
      <c r="AA10" s="1568">
        <f t="shared" ref="AA10:AA47" si="3">D10/F10</f>
        <v>1</v>
      </c>
      <c r="AB10" s="1568">
        <f t="shared" ref="AB10:AB47" si="4">D10/H10</f>
        <v>1</v>
      </c>
      <c r="AC10" s="1568">
        <f t="shared" ref="AC10:AC47" si="5">D10/J10</f>
        <v>1</v>
      </c>
    </row>
    <row r="11" spans="1:30" s="1216" customFormat="1" ht="20.25">
      <c r="A11" s="2937"/>
      <c r="B11" s="2944" t="s">
        <v>2764</v>
      </c>
      <c r="C11" s="3167" t="s">
        <v>3004</v>
      </c>
      <c r="D11" s="253">
        <v>100</v>
      </c>
      <c r="E11" s="3166" t="s">
        <v>3003</v>
      </c>
      <c r="F11" s="253">
        <f>SUMIF(77:77,E11,78:78)-SUMIF(77:77,C11,78:78)+100</f>
        <v>100</v>
      </c>
      <c r="G11" s="3166" t="s">
        <v>3003</v>
      </c>
      <c r="H11" s="253">
        <f>SUMIF(77:77,G11,78:78)-SUMIF(77:77,C11,78:78)+100</f>
        <v>100</v>
      </c>
      <c r="I11" s="3166" t="s">
        <v>3003</v>
      </c>
      <c r="J11" s="253">
        <f>SUMIF(77:77,I11,78:78)-SUMIF(77:77,C11,78:78)+100</f>
        <v>100</v>
      </c>
      <c r="K11" s="521"/>
      <c r="L11" s="2133"/>
      <c r="M11" s="2130"/>
      <c r="N11" s="2130"/>
      <c r="O11" s="2135"/>
      <c r="P11" s="3383" t="s">
        <v>535</v>
      </c>
      <c r="Q11" s="1147" t="str">
        <f t="shared" ref="Q11:Q17" si="6">B11</f>
        <v>用途</v>
      </c>
      <c r="R11" s="1565" t="s">
        <v>8</v>
      </c>
      <c r="S11" s="1566">
        <f t="shared" si="0"/>
        <v>100</v>
      </c>
      <c r="T11" s="1565" t="s">
        <v>8</v>
      </c>
      <c r="U11" s="1566">
        <f t="shared" si="1"/>
        <v>100</v>
      </c>
      <c r="V11" s="1565" t="s">
        <v>8</v>
      </c>
      <c r="W11" s="1566">
        <f t="shared" si="2"/>
        <v>100</v>
      </c>
      <c r="X11" s="1567"/>
      <c r="Y11" s="3340" t="s">
        <v>536</v>
      </c>
      <c r="Z11" s="1146" t="str">
        <f t="shared" ref="Z11:Z17" si="7">Q11</f>
        <v>用途</v>
      </c>
      <c r="AA11" s="1568">
        <f t="shared" si="3"/>
        <v>1</v>
      </c>
      <c r="AB11" s="1568">
        <f t="shared" si="4"/>
        <v>1</v>
      </c>
      <c r="AC11" s="1568">
        <f t="shared" si="5"/>
        <v>1</v>
      </c>
    </row>
    <row r="12" spans="1:30" s="1334" customFormat="1" ht="27">
      <c r="A12" s="2938"/>
      <c r="B12" s="2943" t="s">
        <v>2765</v>
      </c>
      <c r="C12" s="906">
        <v>69.900000000000006</v>
      </c>
      <c r="D12" s="254">
        <v>100</v>
      </c>
      <c r="E12" s="526" t="s">
        <v>3005</v>
      </c>
      <c r="F12" s="254">
        <f>ROUND(100/'数据-取费表'!G16,0)</f>
        <v>100</v>
      </c>
      <c r="G12" s="526" t="s">
        <v>3005</v>
      </c>
      <c r="H12" s="254">
        <f>ROUND(100/'数据-取费表'!G16,0)</f>
        <v>100</v>
      </c>
      <c r="I12" s="526" t="s">
        <v>3005</v>
      </c>
      <c r="J12" s="254">
        <f>ROUND(100/'数据-取费表'!G16,0)</f>
        <v>100</v>
      </c>
      <c r="K12" s="528"/>
      <c r="L12" s="2136"/>
      <c r="M12" s="2130"/>
      <c r="N12" s="2130"/>
      <c r="O12" s="2137"/>
      <c r="P12" s="3383"/>
      <c r="Q12" s="1147" t="str">
        <f t="shared" si="6"/>
        <v>土地使用年限（年）</v>
      </c>
      <c r="R12" s="1565" t="s">
        <v>8</v>
      </c>
      <c r="S12" s="1566">
        <f t="shared" si="0"/>
        <v>100</v>
      </c>
      <c r="T12" s="1565" t="s">
        <v>8</v>
      </c>
      <c r="U12" s="1566">
        <f t="shared" si="1"/>
        <v>100</v>
      </c>
      <c r="V12" s="1565" t="s">
        <v>8</v>
      </c>
      <c r="W12" s="1566">
        <f t="shared" si="2"/>
        <v>100</v>
      </c>
      <c r="X12" s="1567"/>
      <c r="Y12" s="3340"/>
      <c r="Z12" s="1146" t="str">
        <f t="shared" si="7"/>
        <v>土地使用年限（年）</v>
      </c>
      <c r="AA12" s="1568">
        <f t="shared" si="3"/>
        <v>1</v>
      </c>
      <c r="AB12" s="1568">
        <f t="shared" si="4"/>
        <v>1</v>
      </c>
      <c r="AC12" s="1568">
        <f t="shared" si="5"/>
        <v>1</v>
      </c>
    </row>
    <row r="13" spans="1:30" ht="21" thickBot="1">
      <c r="A13" s="2939"/>
      <c r="B13" s="2943" t="s">
        <v>2766</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83"/>
      <c r="Q13" s="1147" t="str">
        <f t="shared" si="6"/>
        <v>容积率</v>
      </c>
      <c r="R13" s="1565" t="s">
        <v>8</v>
      </c>
      <c r="S13" s="1566">
        <f t="shared" si="0"/>
        <v>120</v>
      </c>
      <c r="T13" s="1565" t="s">
        <v>8</v>
      </c>
      <c r="U13" s="1566">
        <f t="shared" si="1"/>
        <v>115</v>
      </c>
      <c r="V13" s="1565" t="s">
        <v>8</v>
      </c>
      <c r="W13" s="1566">
        <f t="shared" si="2"/>
        <v>115</v>
      </c>
      <c r="X13" s="1567"/>
      <c r="Y13" s="3340"/>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2767</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83"/>
      <c r="Q14" s="1147" t="str">
        <f t="shared" si="6"/>
        <v>配建</v>
      </c>
      <c r="R14" s="1565" t="s">
        <v>8</v>
      </c>
      <c r="S14" s="1566">
        <f t="shared" si="0"/>
        <v>100</v>
      </c>
      <c r="T14" s="1565" t="s">
        <v>8</v>
      </c>
      <c r="U14" s="1566">
        <f t="shared" si="1"/>
        <v>100</v>
      </c>
      <c r="V14" s="1565" t="s">
        <v>8</v>
      </c>
      <c r="W14" s="1566">
        <f t="shared" si="2"/>
        <v>100</v>
      </c>
      <c r="X14" s="1567"/>
      <c r="Y14" s="3340"/>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83"/>
      <c r="Q15" s="1147">
        <f t="shared" si="6"/>
        <v>111</v>
      </c>
      <c r="R15" s="1565" t="s">
        <v>8</v>
      </c>
      <c r="S15" s="1566">
        <f t="shared" si="0"/>
        <v>100</v>
      </c>
      <c r="T15" s="1565" t="s">
        <v>8</v>
      </c>
      <c r="U15" s="1566">
        <f t="shared" si="1"/>
        <v>100</v>
      </c>
      <c r="V15" s="1565" t="s">
        <v>8</v>
      </c>
      <c r="W15" s="1566">
        <f t="shared" si="2"/>
        <v>100</v>
      </c>
      <c r="X15" s="1567"/>
      <c r="Y15" s="3340"/>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83"/>
      <c r="Q16" s="1147">
        <f t="shared" si="6"/>
        <v>111</v>
      </c>
      <c r="R16" s="1565" t="s">
        <v>8</v>
      </c>
      <c r="S16" s="1566">
        <f t="shared" si="0"/>
        <v>100</v>
      </c>
      <c r="T16" s="1565" t="s">
        <v>8</v>
      </c>
      <c r="U16" s="1566">
        <f t="shared" si="1"/>
        <v>100</v>
      </c>
      <c r="V16" s="1565" t="s">
        <v>8</v>
      </c>
      <c r="W16" s="1566">
        <f t="shared" si="2"/>
        <v>100</v>
      </c>
      <c r="X16" s="1567"/>
      <c r="Y16" s="3340"/>
      <c r="Z16" s="1146">
        <f t="shared" si="7"/>
        <v>111</v>
      </c>
      <c r="AA16" s="1568">
        <f>D16/F16</f>
        <v>1</v>
      </c>
      <c r="AB16" s="1568">
        <f>D16/H16</f>
        <v>1</v>
      </c>
      <c r="AC16" s="1568">
        <f>D16/J16</f>
        <v>1</v>
      </c>
    </row>
    <row r="17" spans="1:29" ht="99.75">
      <c r="A17" s="2933" t="s">
        <v>2762</v>
      </c>
      <c r="B17" s="575" t="s">
        <v>294</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385" t="s">
        <v>540</v>
      </c>
      <c r="Q17" s="1569" t="str">
        <f t="shared" si="6"/>
        <v>居住社区成熟度</v>
      </c>
      <c r="R17" s="1570" t="s">
        <v>8</v>
      </c>
      <c r="S17" s="1571">
        <f t="shared" si="0"/>
        <v>100</v>
      </c>
      <c r="T17" s="1570" t="s">
        <v>8</v>
      </c>
      <c r="U17" s="1571">
        <f t="shared" si="1"/>
        <v>100</v>
      </c>
      <c r="V17" s="1570" t="s">
        <v>8</v>
      </c>
      <c r="W17" s="1571">
        <f t="shared" si="2"/>
        <v>100</v>
      </c>
      <c r="X17" s="1564"/>
      <c r="Y17" s="3385" t="s">
        <v>540</v>
      </c>
      <c r="Z17" s="1572" t="str">
        <f t="shared" si="7"/>
        <v>居住社区成熟度</v>
      </c>
      <c r="AA17" s="1573">
        <f t="shared" si="3"/>
        <v>1</v>
      </c>
      <c r="AB17" s="1573">
        <f t="shared" si="4"/>
        <v>1</v>
      </c>
      <c r="AC17" s="1573">
        <f t="shared" si="5"/>
        <v>1</v>
      </c>
    </row>
    <row r="18" spans="1:29" ht="20.25">
      <c r="A18" s="529"/>
      <c r="B18" s="550"/>
      <c r="C18" s="551" t="s">
        <v>3006</v>
      </c>
      <c r="D18" s="554"/>
      <c r="E18" s="551" t="s">
        <v>3006</v>
      </c>
      <c r="F18" s="552"/>
      <c r="G18" s="551" t="s">
        <v>3006</v>
      </c>
      <c r="H18" s="556"/>
      <c r="I18" s="551" t="s">
        <v>3006</v>
      </c>
      <c r="J18" s="552"/>
      <c r="K18" s="528"/>
      <c r="L18" s="2140"/>
      <c r="M18" s="2130"/>
      <c r="N18" s="2130"/>
      <c r="O18" s="2139"/>
      <c r="P18" s="3386"/>
      <c r="Q18" s="1569"/>
      <c r="R18" s="1570"/>
      <c r="S18" s="1571"/>
      <c r="T18" s="1570"/>
      <c r="U18" s="1571"/>
      <c r="V18" s="1570"/>
      <c r="W18" s="1571"/>
      <c r="X18" s="1564"/>
      <c r="Y18" s="3386"/>
      <c r="Z18" s="1572"/>
      <c r="AA18" s="1573">
        <v>1</v>
      </c>
      <c r="AB18" s="1573">
        <v>1</v>
      </c>
      <c r="AC18" s="1573">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386"/>
      <c r="Q19" s="1569" t="str">
        <f>B19</f>
        <v>商业繁华度</v>
      </c>
      <c r="R19" s="1570" t="s">
        <v>8</v>
      </c>
      <c r="S19" s="1571">
        <f>F19</f>
        <v>100</v>
      </c>
      <c r="T19" s="1570" t="s">
        <v>8</v>
      </c>
      <c r="U19" s="1571">
        <f>H19</f>
        <v>100</v>
      </c>
      <c r="V19" s="1570" t="s">
        <v>8</v>
      </c>
      <c r="W19" s="1571">
        <f>J19</f>
        <v>100</v>
      </c>
      <c r="X19" s="1564"/>
      <c r="Y19" s="3386"/>
      <c r="Z19" s="1572" t="str">
        <f>Q19</f>
        <v>商业繁华度</v>
      </c>
      <c r="AA19" s="1573">
        <f t="shared" si="3"/>
        <v>1</v>
      </c>
      <c r="AB19" s="1573">
        <f t="shared" si="4"/>
        <v>1</v>
      </c>
      <c r="AC19" s="1573">
        <f t="shared" si="5"/>
        <v>1</v>
      </c>
    </row>
    <row r="20" spans="1:29" ht="20.25">
      <c r="A20" s="529"/>
      <c r="B20" s="563"/>
      <c r="C20" s="564" t="s">
        <v>3006</v>
      </c>
      <c r="D20" s="560"/>
      <c r="E20" s="551" t="s">
        <v>3006</v>
      </c>
      <c r="F20" s="556"/>
      <c r="G20" s="551" t="s">
        <v>3006</v>
      </c>
      <c r="H20" s="552"/>
      <c r="I20" s="551" t="s">
        <v>3006</v>
      </c>
      <c r="J20" s="552"/>
      <c r="K20" s="528"/>
      <c r="L20" s="2140"/>
      <c r="M20" s="2130"/>
      <c r="N20" s="2130"/>
      <c r="O20" s="2139"/>
      <c r="P20" s="3386"/>
      <c r="Q20" s="1569"/>
      <c r="R20" s="1570"/>
      <c r="S20" s="1571"/>
      <c r="T20" s="1570"/>
      <c r="U20" s="1571"/>
      <c r="V20" s="1570"/>
      <c r="W20" s="1571"/>
      <c r="X20" s="1564"/>
      <c r="Y20" s="3386"/>
      <c r="Z20" s="1572"/>
      <c r="AA20" s="1573">
        <v>1</v>
      </c>
      <c r="AB20" s="1573">
        <v>1</v>
      </c>
      <c r="AC20" s="1573">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386"/>
      <c r="Q21" s="1569" t="str">
        <f>B21</f>
        <v>办公集聚程度</v>
      </c>
      <c r="R21" s="1570" t="s">
        <v>8</v>
      </c>
      <c r="S21" s="1571">
        <f>F21</f>
        <v>98</v>
      </c>
      <c r="T21" s="1570" t="s">
        <v>8</v>
      </c>
      <c r="U21" s="1571">
        <f>H21</f>
        <v>98</v>
      </c>
      <c r="V21" s="1570" t="s">
        <v>8</v>
      </c>
      <c r="W21" s="1571">
        <f>J21</f>
        <v>98</v>
      </c>
      <c r="X21" s="1564"/>
      <c r="Y21" s="3386"/>
      <c r="Z21" s="1572" t="str">
        <f>Q21</f>
        <v>办公集聚程度</v>
      </c>
      <c r="AA21" s="1573">
        <f t="shared" si="3"/>
        <v>1.0204081632653061</v>
      </c>
      <c r="AB21" s="1573">
        <f t="shared" si="4"/>
        <v>1.0204081632653061</v>
      </c>
      <c r="AC21" s="1573">
        <f t="shared" si="5"/>
        <v>1.0204081632653061</v>
      </c>
    </row>
    <row r="22" spans="1:29" ht="20.25">
      <c r="A22" s="529"/>
      <c r="B22" s="563"/>
      <c r="C22" s="551" t="s">
        <v>3007</v>
      </c>
      <c r="D22" s="554"/>
      <c r="E22" s="551" t="s">
        <v>3006</v>
      </c>
      <c r="F22" s="552"/>
      <c r="G22" s="551" t="s">
        <v>3006</v>
      </c>
      <c r="H22" s="552"/>
      <c r="I22" s="551" t="s">
        <v>3006</v>
      </c>
      <c r="J22" s="552"/>
      <c r="K22" s="528"/>
      <c r="L22" s="2140"/>
      <c r="M22" s="2130"/>
      <c r="N22" s="2130"/>
      <c r="O22" s="2139"/>
      <c r="P22" s="3386"/>
      <c r="Q22" s="1569"/>
      <c r="R22" s="1570"/>
      <c r="S22" s="1571"/>
      <c r="T22" s="1570"/>
      <c r="U22" s="1571"/>
      <c r="V22" s="1570"/>
      <c r="W22" s="1571"/>
      <c r="X22" s="1564"/>
      <c r="Y22" s="3386"/>
      <c r="Z22" s="1572"/>
      <c r="AA22" s="1573">
        <v>1</v>
      </c>
      <c r="AB22" s="1573">
        <v>1</v>
      </c>
      <c r="AC22" s="1573">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386"/>
      <c r="Q23" s="1569" t="str">
        <f>B23</f>
        <v>交通便捷度</v>
      </c>
      <c r="R23" s="1570" t="s">
        <v>8</v>
      </c>
      <c r="S23" s="1571">
        <f>F23</f>
        <v>100</v>
      </c>
      <c r="T23" s="1570" t="s">
        <v>8</v>
      </c>
      <c r="U23" s="1571">
        <f>H23</f>
        <v>100</v>
      </c>
      <c r="V23" s="1570" t="s">
        <v>8</v>
      </c>
      <c r="W23" s="1571">
        <f>J23</f>
        <v>100</v>
      </c>
      <c r="X23" s="1564"/>
      <c r="Y23" s="3386"/>
      <c r="Z23" s="1572" t="str">
        <f>Q23</f>
        <v>交通便捷度</v>
      </c>
      <c r="AA23" s="1573">
        <f t="shared" si="3"/>
        <v>1</v>
      </c>
      <c r="AB23" s="1573">
        <f t="shared" si="4"/>
        <v>1</v>
      </c>
      <c r="AC23" s="1573">
        <f t="shared" si="5"/>
        <v>1</v>
      </c>
    </row>
    <row r="24" spans="1:29" ht="20.25">
      <c r="A24" s="529"/>
      <c r="B24" s="575"/>
      <c r="C24" s="551" t="s">
        <v>3007</v>
      </c>
      <c r="D24" s="554"/>
      <c r="E24" s="576" t="s">
        <v>3007</v>
      </c>
      <c r="F24" s="552"/>
      <c r="G24" s="576" t="s">
        <v>3007</v>
      </c>
      <c r="H24" s="552"/>
      <c r="I24" s="576" t="s">
        <v>3007</v>
      </c>
      <c r="J24" s="552"/>
      <c r="K24" s="528"/>
      <c r="L24" s="2140"/>
      <c r="M24" s="2130"/>
      <c r="N24" s="2130"/>
      <c r="O24" s="2139"/>
      <c r="P24" s="3386"/>
      <c r="Q24" s="1569"/>
      <c r="R24" s="1570"/>
      <c r="S24" s="1571"/>
      <c r="T24" s="1570"/>
      <c r="U24" s="1571"/>
      <c r="V24" s="1570"/>
      <c r="W24" s="1571"/>
      <c r="X24" s="1564"/>
      <c r="Y24" s="3386"/>
      <c r="Z24" s="1572"/>
      <c r="AA24" s="1573">
        <v>1</v>
      </c>
      <c r="AB24" s="1573">
        <v>1</v>
      </c>
      <c r="AC24" s="1573">
        <v>1</v>
      </c>
    </row>
    <row r="25" spans="1:29" ht="27">
      <c r="A25" s="512"/>
      <c r="B25" s="258"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386"/>
      <c r="Q25" s="1569" t="str">
        <f t="shared" ref="Q25:Q39" si="8">B25</f>
        <v>区域土地利用方向</v>
      </c>
      <c r="R25" s="1570" t="s">
        <v>8</v>
      </c>
      <c r="S25" s="1571">
        <f>F25</f>
        <v>100</v>
      </c>
      <c r="T25" s="1570" t="s">
        <v>8</v>
      </c>
      <c r="U25" s="1571">
        <f>H25</f>
        <v>100</v>
      </c>
      <c r="V25" s="1570" t="s">
        <v>8</v>
      </c>
      <c r="W25" s="1571">
        <f>J25</f>
        <v>100</v>
      </c>
      <c r="X25" s="1564"/>
      <c r="Y25" s="3386"/>
      <c r="Z25" s="1572" t="str">
        <f>Q25</f>
        <v>区域土地利用方向</v>
      </c>
      <c r="AA25" s="1573">
        <f t="shared" si="3"/>
        <v>1</v>
      </c>
      <c r="AB25" s="1573">
        <f t="shared" si="4"/>
        <v>1</v>
      </c>
      <c r="AC25" s="1573">
        <f t="shared" si="5"/>
        <v>1</v>
      </c>
    </row>
    <row r="26" spans="1:29" ht="20.25">
      <c r="A26" s="512"/>
      <c r="B26" s="1003"/>
      <c r="C26" s="551" t="s">
        <v>3006</v>
      </c>
      <c r="D26" s="554"/>
      <c r="E26" s="551" t="s">
        <v>3006</v>
      </c>
      <c r="F26" s="552"/>
      <c r="G26" s="551" t="s">
        <v>3006</v>
      </c>
      <c r="H26" s="552"/>
      <c r="I26" s="551" t="s">
        <v>3006</v>
      </c>
      <c r="J26" s="552"/>
      <c r="K26" s="528"/>
      <c r="L26" s="2140"/>
      <c r="M26" s="2130"/>
      <c r="N26" s="2130"/>
      <c r="O26" s="2139"/>
      <c r="P26" s="3386"/>
      <c r="Q26" s="1569"/>
      <c r="R26" s="1570"/>
      <c r="S26" s="1571"/>
      <c r="T26" s="1570"/>
      <c r="U26" s="1571"/>
      <c r="V26" s="1570"/>
      <c r="W26" s="1571"/>
      <c r="X26" s="1564"/>
      <c r="Y26" s="3386"/>
      <c r="Z26" s="1572"/>
      <c r="AA26" s="1573"/>
      <c r="AB26" s="1573"/>
      <c r="AC26" s="1573"/>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386"/>
      <c r="Q27" s="1569" t="str">
        <f t="shared" si="8"/>
        <v>自然及人文环境状况</v>
      </c>
      <c r="R27" s="1570" t="s">
        <v>8</v>
      </c>
      <c r="S27" s="1571">
        <f>F27</f>
        <v>100</v>
      </c>
      <c r="T27" s="1570" t="s">
        <v>8</v>
      </c>
      <c r="U27" s="1571">
        <f>H27</f>
        <v>100</v>
      </c>
      <c r="V27" s="1570" t="s">
        <v>8</v>
      </c>
      <c r="W27" s="1571">
        <f>J27</f>
        <v>100</v>
      </c>
      <c r="X27" s="1564"/>
      <c r="Y27" s="3386"/>
      <c r="Z27" s="1572" t="str">
        <f>Q27</f>
        <v>自然及人文环境状况</v>
      </c>
      <c r="AA27" s="1573">
        <f t="shared" si="3"/>
        <v>1</v>
      </c>
      <c r="AB27" s="1573">
        <f t="shared" si="4"/>
        <v>1</v>
      </c>
      <c r="AC27" s="1573">
        <f t="shared" si="5"/>
        <v>1</v>
      </c>
    </row>
    <row r="28" spans="1:29" ht="20.25">
      <c r="A28" s="512"/>
      <c r="B28" s="563"/>
      <c r="C28" s="551" t="s">
        <v>3007</v>
      </c>
      <c r="D28" s="554"/>
      <c r="E28" s="576" t="s">
        <v>3007</v>
      </c>
      <c r="F28" s="552"/>
      <c r="G28" s="576" t="s">
        <v>3007</v>
      </c>
      <c r="H28" s="552"/>
      <c r="I28" s="576" t="s">
        <v>3007</v>
      </c>
      <c r="J28" s="552"/>
      <c r="K28" s="528"/>
      <c r="L28" s="2140"/>
      <c r="M28" s="2130"/>
      <c r="N28" s="2130"/>
      <c r="O28" s="2139"/>
      <c r="P28" s="3386"/>
      <c r="Q28" s="1569"/>
      <c r="R28" s="1570"/>
      <c r="S28" s="1571"/>
      <c r="T28" s="1570"/>
      <c r="U28" s="1571"/>
      <c r="V28" s="1570"/>
      <c r="W28" s="1571"/>
      <c r="X28" s="1564"/>
      <c r="Y28" s="3386"/>
      <c r="Z28" s="1572"/>
      <c r="AA28" s="1573">
        <v>1</v>
      </c>
      <c r="AB28" s="1573">
        <v>1</v>
      </c>
      <c r="AC28" s="1573">
        <v>1</v>
      </c>
    </row>
    <row r="29" spans="1:29" s="1216" customFormat="1" ht="42.75">
      <c r="A29" s="574"/>
      <c r="B29" s="2613" t="s">
        <v>2554</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386"/>
      <c r="Q29" s="1147" t="str">
        <f t="shared" si="8"/>
        <v>公共配套设施</v>
      </c>
      <c r="R29" s="1565" t="s">
        <v>8</v>
      </c>
      <c r="S29" s="1566">
        <f>F29</f>
        <v>100</v>
      </c>
      <c r="T29" s="1565" t="s">
        <v>8</v>
      </c>
      <c r="U29" s="1566">
        <f>H29</f>
        <v>100</v>
      </c>
      <c r="V29" s="1565" t="s">
        <v>8</v>
      </c>
      <c r="W29" s="1566">
        <f>J29</f>
        <v>100</v>
      </c>
      <c r="X29" s="1567"/>
      <c r="Y29" s="3386"/>
      <c r="Z29" s="1146" t="str">
        <f>Q29</f>
        <v>公共配套设施</v>
      </c>
      <c r="AA29" s="1573">
        <f>D29/F29</f>
        <v>1</v>
      </c>
      <c r="AB29" s="1573">
        <f>D29/H29</f>
        <v>1</v>
      </c>
      <c r="AC29" s="1573">
        <f>D29/J29</f>
        <v>1</v>
      </c>
    </row>
    <row r="30" spans="1:29" s="1216" customFormat="1" ht="20.25">
      <c r="A30" s="574"/>
      <c r="B30" s="563"/>
      <c r="C30" s="576" t="s">
        <v>3007</v>
      </c>
      <c r="D30" s="554"/>
      <c r="E30" s="576" t="s">
        <v>3007</v>
      </c>
      <c r="F30" s="552"/>
      <c r="G30" s="576" t="s">
        <v>3007</v>
      </c>
      <c r="H30" s="552"/>
      <c r="I30" s="576" t="s">
        <v>3007</v>
      </c>
      <c r="J30" s="552"/>
      <c r="K30" s="528"/>
      <c r="L30" s="2133"/>
      <c r="M30" s="2130"/>
      <c r="N30" s="2130"/>
      <c r="O30" s="2135"/>
      <c r="P30" s="3386"/>
      <c r="Q30" s="1147"/>
      <c r="R30" s="1565"/>
      <c r="S30" s="1566"/>
      <c r="T30" s="1565"/>
      <c r="U30" s="1566"/>
      <c r="V30" s="1565"/>
      <c r="W30" s="1566"/>
      <c r="X30" s="1567"/>
      <c r="Y30" s="3386"/>
      <c r="Z30" s="1146"/>
      <c r="AA30" s="1573">
        <v>1</v>
      </c>
      <c r="AB30" s="1573">
        <v>1</v>
      </c>
      <c r="AC30" s="1573">
        <v>1</v>
      </c>
    </row>
    <row r="31" spans="1:29" s="1216" customFormat="1" ht="28.5">
      <c r="A31" s="574"/>
      <c r="B31" s="2613" t="s">
        <v>2555</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386"/>
      <c r="Q31" s="2600" t="str">
        <f t="shared" ref="Q31" si="9">B31</f>
        <v>基础设施水平</v>
      </c>
      <c r="R31" s="1565" t="s">
        <v>8</v>
      </c>
      <c r="S31" s="1566">
        <f>F31</f>
        <v>100</v>
      </c>
      <c r="T31" s="1565" t="s">
        <v>8</v>
      </c>
      <c r="U31" s="1566">
        <f>H31</f>
        <v>100</v>
      </c>
      <c r="V31" s="1565" t="s">
        <v>8</v>
      </c>
      <c r="W31" s="1566">
        <f>J31</f>
        <v>100</v>
      </c>
      <c r="X31" s="1567"/>
      <c r="Y31" s="3386"/>
      <c r="Z31" s="2597" t="str">
        <f>Q31</f>
        <v>基础设施水平</v>
      </c>
      <c r="AA31" s="1573">
        <f>D31/F31</f>
        <v>1</v>
      </c>
      <c r="AB31" s="1573">
        <f>D31/H31</f>
        <v>1</v>
      </c>
      <c r="AC31" s="1573">
        <f>D31/J31</f>
        <v>1</v>
      </c>
    </row>
    <row r="32" spans="1:29" s="1216" customFormat="1" ht="20.25">
      <c r="A32" s="574"/>
      <c r="B32" s="563"/>
      <c r="C32" s="3168" t="s">
        <v>3008</v>
      </c>
      <c r="D32" s="554"/>
      <c r="E32" s="3168" t="s">
        <v>3008</v>
      </c>
      <c r="F32" s="552"/>
      <c r="G32" s="3168" t="s">
        <v>3008</v>
      </c>
      <c r="H32" s="552"/>
      <c r="I32" s="3168" t="s">
        <v>3008</v>
      </c>
      <c r="J32" s="552"/>
      <c r="K32" s="528"/>
      <c r="L32" s="2133"/>
      <c r="M32" s="2130"/>
      <c r="N32" s="2130"/>
      <c r="O32" s="2135"/>
      <c r="P32" s="3386"/>
      <c r="Q32" s="2600"/>
      <c r="R32" s="1565"/>
      <c r="S32" s="1566"/>
      <c r="T32" s="1565"/>
      <c r="U32" s="1566"/>
      <c r="V32" s="1565"/>
      <c r="W32" s="1566"/>
      <c r="X32" s="1567"/>
      <c r="Y32" s="3386"/>
      <c r="Z32" s="2597"/>
      <c r="AA32" s="1573">
        <v>1</v>
      </c>
      <c r="AB32" s="1573">
        <v>1</v>
      </c>
      <c r="AC32" s="1573">
        <v>1</v>
      </c>
    </row>
    <row r="33" spans="1:29" ht="20.25">
      <c r="A33" s="529"/>
      <c r="B33" s="563" t="s">
        <v>547</v>
      </c>
      <c r="C33" s="577" t="s">
        <v>3009</v>
      </c>
      <c r="D33" s="572">
        <v>100</v>
      </c>
      <c r="E33" s="577" t="s">
        <v>3009</v>
      </c>
      <c r="F33" s="537">
        <f>SUMIF(106:106,E33,107:107)-SUMIF(106:106,C33,107:107)+100</f>
        <v>100</v>
      </c>
      <c r="G33" s="577" t="s">
        <v>3009</v>
      </c>
      <c r="H33" s="537">
        <f>SUMIF(106:106,G33,107:107)-SUMIF(106:106,C33,107:107)+100</f>
        <v>100</v>
      </c>
      <c r="I33" s="577" t="s">
        <v>3009</v>
      </c>
      <c r="J33" s="537">
        <f>SUMIF(106:106,I33,107:107)-SUMIF(106:106,C33,107:107)+100</f>
        <v>100</v>
      </c>
      <c r="K33" s="532">
        <v>1</v>
      </c>
      <c r="L33" s="2140"/>
      <c r="M33" s="2130"/>
      <c r="N33" s="2130"/>
      <c r="O33" s="2139"/>
      <c r="P33" s="338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6"/>
      <c r="Z33" s="1572" t="str">
        <f t="shared" ref="Z33:Z47" si="13">Q33</f>
        <v>临街状况</v>
      </c>
      <c r="AA33" s="1573">
        <f t="shared" si="3"/>
        <v>1</v>
      </c>
      <c r="AB33" s="1573">
        <f t="shared" si="4"/>
        <v>1</v>
      </c>
      <c r="AC33" s="1573">
        <f t="shared" si="5"/>
        <v>1</v>
      </c>
    </row>
    <row r="34" spans="1:29" ht="27">
      <c r="A34" s="529"/>
      <c r="B34" s="575" t="s">
        <v>548</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386"/>
      <c r="Q34" s="1569" t="str">
        <f t="shared" si="8"/>
        <v>毗邻道路的类型与等级</v>
      </c>
      <c r="R34" s="1570" t="s">
        <v>8</v>
      </c>
      <c r="S34" s="1571">
        <f t="shared" si="10"/>
        <v>100</v>
      </c>
      <c r="T34" s="1570" t="s">
        <v>8</v>
      </c>
      <c r="U34" s="1571">
        <f t="shared" si="11"/>
        <v>100</v>
      </c>
      <c r="V34" s="1570" t="s">
        <v>8</v>
      </c>
      <c r="W34" s="1571">
        <f t="shared" si="12"/>
        <v>100</v>
      </c>
      <c r="X34" s="1564"/>
      <c r="Y34" s="3386"/>
      <c r="Z34" s="1572" t="str">
        <f t="shared" si="13"/>
        <v>毗邻道路的类型与等级</v>
      </c>
      <c r="AA34" s="1573">
        <f t="shared" si="3"/>
        <v>1</v>
      </c>
      <c r="AB34" s="1573">
        <f t="shared" si="4"/>
        <v>1</v>
      </c>
      <c r="AC34" s="1573">
        <f t="shared" si="5"/>
        <v>1</v>
      </c>
    </row>
    <row r="35" spans="1:29" ht="21" thickBot="1">
      <c r="A35" s="529"/>
      <c r="B35" s="563"/>
      <c r="C35" s="3169" t="s">
        <v>3010</v>
      </c>
      <c r="D35" s="554"/>
      <c r="E35" s="3169" t="s">
        <v>3010</v>
      </c>
      <c r="F35" s="552"/>
      <c r="G35" s="3169" t="s">
        <v>3010</v>
      </c>
      <c r="H35" s="552"/>
      <c r="I35" s="3169" t="s">
        <v>3010</v>
      </c>
      <c r="J35" s="552"/>
      <c r="K35" s="578"/>
      <c r="L35" s="2140"/>
      <c r="M35" s="2130"/>
      <c r="N35" s="2130"/>
      <c r="O35" s="2139"/>
      <c r="P35" s="3386"/>
      <c r="Q35" s="1569"/>
      <c r="R35" s="1570"/>
      <c r="S35" s="1571"/>
      <c r="T35" s="1570"/>
      <c r="U35" s="1571"/>
      <c r="V35" s="1570"/>
      <c r="W35" s="1571"/>
      <c r="X35" s="1564"/>
      <c r="Y35" s="3386"/>
      <c r="Z35" s="1572"/>
      <c r="AA35" s="1573">
        <v>1</v>
      </c>
      <c r="AB35" s="1573">
        <v>1</v>
      </c>
      <c r="AC35" s="1573">
        <v>1</v>
      </c>
    </row>
    <row r="36" spans="1:29" ht="20.25" hidden="1">
      <c r="A36" s="529"/>
      <c r="B36" s="579" t="s">
        <v>549</v>
      </c>
      <c r="C36" s="3170" t="s">
        <v>3011</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386"/>
      <c r="Q36" s="1569" t="str">
        <f t="shared" si="8"/>
        <v>土地级别</v>
      </c>
      <c r="R36" s="1570" t="s">
        <v>8</v>
      </c>
      <c r="S36" s="1571">
        <f t="shared" si="10"/>
        <v>100</v>
      </c>
      <c r="T36" s="1570" t="s">
        <v>8</v>
      </c>
      <c r="U36" s="1571">
        <f t="shared" si="11"/>
        <v>100</v>
      </c>
      <c r="V36" s="1570" t="s">
        <v>8</v>
      </c>
      <c r="W36" s="1571">
        <f t="shared" si="12"/>
        <v>100</v>
      </c>
      <c r="X36" s="1564"/>
      <c r="Y36" s="338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386"/>
      <c r="Q37" s="1569">
        <f t="shared" si="8"/>
        <v>111</v>
      </c>
      <c r="R37" s="1570" t="s">
        <v>8</v>
      </c>
      <c r="S37" s="1571">
        <f t="shared" si="10"/>
        <v>100</v>
      </c>
      <c r="T37" s="1570" t="s">
        <v>8</v>
      </c>
      <c r="U37" s="1571">
        <f t="shared" si="11"/>
        <v>100</v>
      </c>
      <c r="V37" s="1570" t="s">
        <v>8</v>
      </c>
      <c r="W37" s="1571">
        <f t="shared" si="12"/>
        <v>100</v>
      </c>
      <c r="X37" s="1564"/>
      <c r="Y37" s="338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387" t="s">
        <v>550</v>
      </c>
      <c r="Q38" s="1569">
        <f t="shared" si="8"/>
        <v>111</v>
      </c>
      <c r="R38" s="1570" t="s">
        <v>8</v>
      </c>
      <c r="S38" s="1571">
        <f t="shared" si="10"/>
        <v>100</v>
      </c>
      <c r="T38" s="1570" t="s">
        <v>8</v>
      </c>
      <c r="U38" s="1571">
        <f t="shared" si="11"/>
        <v>100</v>
      </c>
      <c r="V38" s="1570" t="s">
        <v>8</v>
      </c>
      <c r="W38" s="1571">
        <f t="shared" si="12"/>
        <v>100</v>
      </c>
      <c r="X38" s="1564"/>
      <c r="Y38" s="3388" t="s">
        <v>550</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388"/>
      <c r="Q39" s="1569">
        <f t="shared" si="8"/>
        <v>111</v>
      </c>
      <c r="R39" s="1574" t="s">
        <v>8</v>
      </c>
      <c r="S39" s="1575">
        <f t="shared" si="10"/>
        <v>100</v>
      </c>
      <c r="T39" s="1574" t="s">
        <v>8</v>
      </c>
      <c r="U39" s="1575">
        <f t="shared" si="11"/>
        <v>100</v>
      </c>
      <c r="V39" s="1574" t="s">
        <v>8</v>
      </c>
      <c r="W39" s="1575">
        <f t="shared" si="12"/>
        <v>100</v>
      </c>
      <c r="X39" s="1576"/>
      <c r="Y39" s="3388"/>
      <c r="Z39" s="1577">
        <f t="shared" si="13"/>
        <v>111</v>
      </c>
      <c r="AA39" s="1573">
        <f t="shared" si="3"/>
        <v>1</v>
      </c>
      <c r="AB39" s="1573">
        <f t="shared" si="4"/>
        <v>1</v>
      </c>
      <c r="AC39" s="1573">
        <f t="shared" si="5"/>
        <v>1</v>
      </c>
    </row>
    <row r="40" spans="1:29" ht="20.25">
      <c r="A40" s="2931" t="s">
        <v>2763</v>
      </c>
      <c r="B40" s="592" t="s">
        <v>552</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388"/>
      <c r="Q40" s="1569" t="str">
        <f>B40</f>
        <v>宗地面积</v>
      </c>
      <c r="R40" s="1570" t="s">
        <v>8</v>
      </c>
      <c r="S40" s="1571">
        <f t="shared" si="10"/>
        <v>100</v>
      </c>
      <c r="T40" s="1570" t="s">
        <v>8</v>
      </c>
      <c r="U40" s="1571">
        <f t="shared" si="11"/>
        <v>102</v>
      </c>
      <c r="V40" s="1570" t="s">
        <v>8</v>
      </c>
      <c r="W40" s="1571">
        <f t="shared" si="12"/>
        <v>100</v>
      </c>
      <c r="X40" s="1564"/>
      <c r="Y40" s="3388"/>
      <c r="Z40" s="1572" t="str">
        <f t="shared" si="13"/>
        <v>宗地面积</v>
      </c>
      <c r="AA40" s="1573">
        <f t="shared" si="3"/>
        <v>1</v>
      </c>
      <c r="AB40" s="1573">
        <f t="shared" si="4"/>
        <v>0.98039215686274506</v>
      </c>
      <c r="AC40" s="1573">
        <f t="shared" si="5"/>
        <v>1</v>
      </c>
    </row>
    <row r="41" spans="1:29" ht="20.25">
      <c r="A41" s="591"/>
      <c r="B41" s="524" t="s">
        <v>553</v>
      </c>
      <c r="C41" s="3171" t="s">
        <v>3012</v>
      </c>
      <c r="D41" s="537">
        <v>100</v>
      </c>
      <c r="E41" s="3171" t="s">
        <v>3012</v>
      </c>
      <c r="F41" s="537">
        <f>SUMIF(121:121,E41,122:122)-SUMIF(121:121,C41,122:122)+100</f>
        <v>100</v>
      </c>
      <c r="G41" s="3171" t="s">
        <v>3012</v>
      </c>
      <c r="H41" s="537">
        <f>SUMIF(121:121,G41,122:122)-SUMIF(121:121,C41,122:122)+100</f>
        <v>100</v>
      </c>
      <c r="I41" s="3171" t="s">
        <v>3012</v>
      </c>
      <c r="J41" s="537">
        <f>SUMIF(121:121,I41,122:122)-SUMIF(121:121,C41,122:122)+100</f>
        <v>100</v>
      </c>
      <c r="K41" s="581">
        <v>2</v>
      </c>
      <c r="L41" s="2140"/>
      <c r="M41" s="2130"/>
      <c r="N41" s="2130"/>
      <c r="O41" s="2139"/>
      <c r="P41" s="3388"/>
      <c r="Q41" s="1569" t="str">
        <f t="shared" ref="Q41:Q47" si="14">B41</f>
        <v>宗地形状</v>
      </c>
      <c r="R41" s="1570" t="s">
        <v>8</v>
      </c>
      <c r="S41" s="1571">
        <f t="shared" si="10"/>
        <v>100</v>
      </c>
      <c r="T41" s="1570" t="s">
        <v>8</v>
      </c>
      <c r="U41" s="1571">
        <f t="shared" si="11"/>
        <v>100</v>
      </c>
      <c r="V41" s="1570" t="s">
        <v>8</v>
      </c>
      <c r="W41" s="1571">
        <f t="shared" si="12"/>
        <v>100</v>
      </c>
      <c r="X41" s="1564"/>
      <c r="Y41" s="3388"/>
      <c r="Z41" s="1572" t="str">
        <f t="shared" si="13"/>
        <v>宗地形状</v>
      </c>
      <c r="AA41" s="1573">
        <f t="shared" si="3"/>
        <v>1</v>
      </c>
      <c r="AB41" s="1573">
        <f t="shared" si="4"/>
        <v>1</v>
      </c>
      <c r="AC41" s="1573">
        <f t="shared" si="5"/>
        <v>1</v>
      </c>
    </row>
    <row r="42" spans="1:29" ht="20.25">
      <c r="A42" s="591"/>
      <c r="B42" s="524" t="s">
        <v>554</v>
      </c>
      <c r="C42" s="3171" t="s">
        <v>3013</v>
      </c>
      <c r="D42" s="537">
        <v>100</v>
      </c>
      <c r="E42" s="3171" t="s">
        <v>3013</v>
      </c>
      <c r="F42" s="537">
        <f>SUMIF(123:123,E42,124:124)-SUMIF(123:123,C42,124:124)+100</f>
        <v>100</v>
      </c>
      <c r="G42" s="3171" t="s">
        <v>3013</v>
      </c>
      <c r="H42" s="537">
        <f>SUMIF(123:123,G42,124:124)-SUMIF(123:123,C42,124:124)+100</f>
        <v>100</v>
      </c>
      <c r="I42" s="3171" t="s">
        <v>3013</v>
      </c>
      <c r="J42" s="537">
        <f>SUMIF(123:123,I42,124:124)-SUMIF(123:123,C42,124:124)+100</f>
        <v>100</v>
      </c>
      <c r="K42" s="581">
        <v>2</v>
      </c>
      <c r="L42" s="2140"/>
      <c r="M42" s="2130"/>
      <c r="N42" s="2130"/>
      <c r="O42" s="2139"/>
      <c r="P42" s="3388"/>
      <c r="Q42" s="1569" t="str">
        <f t="shared" si="14"/>
        <v>临街宽度及深度</v>
      </c>
      <c r="R42" s="1570" t="s">
        <v>8</v>
      </c>
      <c r="S42" s="1571">
        <f t="shared" si="10"/>
        <v>100</v>
      </c>
      <c r="T42" s="1570" t="s">
        <v>8</v>
      </c>
      <c r="U42" s="1571">
        <f t="shared" si="11"/>
        <v>100</v>
      </c>
      <c r="V42" s="1570" t="s">
        <v>8</v>
      </c>
      <c r="W42" s="1571">
        <f t="shared" si="12"/>
        <v>100</v>
      </c>
      <c r="X42" s="1564"/>
      <c r="Y42" s="3388"/>
      <c r="Z42" s="1572" t="str">
        <f t="shared" si="13"/>
        <v>临街宽度及深度</v>
      </c>
      <c r="AA42" s="1573">
        <f t="shared" si="3"/>
        <v>1</v>
      </c>
      <c r="AB42" s="1573">
        <f t="shared" si="4"/>
        <v>1</v>
      </c>
      <c r="AC42" s="1573">
        <f t="shared" si="5"/>
        <v>1</v>
      </c>
    </row>
    <row r="43" spans="1:29" s="1216" customFormat="1" ht="20.25">
      <c r="A43" s="597"/>
      <c r="B43" s="1893" t="s">
        <v>2428</v>
      </c>
      <c r="C43" s="3172" t="s">
        <v>3014</v>
      </c>
      <c r="D43" s="254">
        <v>100</v>
      </c>
      <c r="E43" s="3172" t="s">
        <v>3014</v>
      </c>
      <c r="F43" s="537">
        <f>SUMIF(125:125,E43,126:126)-SUMIF(125:125,C43,126:126)+100</f>
        <v>100</v>
      </c>
      <c r="G43" s="3172" t="s">
        <v>3014</v>
      </c>
      <c r="H43" s="537">
        <f>SUMIF(125:125,G43,126:126)-SUMIF(125:125,C43,126:126)+100</f>
        <v>100</v>
      </c>
      <c r="I43" s="3172" t="s">
        <v>3014</v>
      </c>
      <c r="J43" s="537">
        <f>SUMIF(125:125,I43,126:126)-SUMIF(125:125,C43,126:126)+100</f>
        <v>100</v>
      </c>
      <c r="K43" s="581">
        <v>1</v>
      </c>
      <c r="L43" s="2133"/>
      <c r="M43" s="2130"/>
      <c r="N43" s="2130"/>
      <c r="O43" s="2135"/>
      <c r="P43" s="3388"/>
      <c r="Q43" s="1569" t="str">
        <f t="shared" si="14"/>
        <v>宗地开发程度</v>
      </c>
      <c r="R43" s="1565" t="s">
        <v>8</v>
      </c>
      <c r="S43" s="1566">
        <f t="shared" si="10"/>
        <v>100</v>
      </c>
      <c r="T43" s="1565" t="s">
        <v>8</v>
      </c>
      <c r="U43" s="1566">
        <f t="shared" si="11"/>
        <v>100</v>
      </c>
      <c r="V43" s="1565" t="s">
        <v>8</v>
      </c>
      <c r="W43" s="1566">
        <f t="shared" si="12"/>
        <v>100</v>
      </c>
      <c r="X43" s="1567"/>
      <c r="Y43" s="3388"/>
      <c r="Z43" s="1146" t="str">
        <f t="shared" si="13"/>
        <v>宗地开发程度</v>
      </c>
      <c r="AA43" s="1568">
        <f t="shared" si="3"/>
        <v>1</v>
      </c>
      <c r="AB43" s="1568">
        <f t="shared" si="4"/>
        <v>1</v>
      </c>
      <c r="AC43" s="1568">
        <f t="shared" si="5"/>
        <v>1</v>
      </c>
    </row>
    <row r="44" spans="1:29" ht="21" thickBot="1">
      <c r="A44" s="591"/>
      <c r="B44" s="524" t="s">
        <v>555</v>
      </c>
      <c r="C44" s="3171" t="s">
        <v>3013</v>
      </c>
      <c r="D44" s="537">
        <v>100</v>
      </c>
      <c r="E44" s="3171" t="s">
        <v>3013</v>
      </c>
      <c r="F44" s="537">
        <f>SUMIF(127:127,E44,128:128)-SUMIF(127:127,C44,128:128)+100</f>
        <v>100</v>
      </c>
      <c r="G44" s="3171" t="s">
        <v>3013</v>
      </c>
      <c r="H44" s="537">
        <f>SUMIF(127:127,G44,128:128)-SUMIF(127:127,C44,128:128)+100</f>
        <v>100</v>
      </c>
      <c r="I44" s="3171" t="s">
        <v>3013</v>
      </c>
      <c r="J44" s="537">
        <f>SUMIF(127:127,I44,128:128)-SUMIF(127:127,C44,128:128)+100</f>
        <v>100</v>
      </c>
      <c r="K44" s="581">
        <v>1</v>
      </c>
      <c r="L44" s="2140"/>
      <c r="M44" s="2130"/>
      <c r="N44" s="2130"/>
      <c r="O44" s="2139"/>
      <c r="P44" s="3388" t="s">
        <v>550</v>
      </c>
      <c r="Q44" s="1569" t="str">
        <f t="shared" si="14"/>
        <v>工程地质条件</v>
      </c>
      <c r="R44" s="1570" t="s">
        <v>8</v>
      </c>
      <c r="S44" s="1571">
        <f t="shared" si="10"/>
        <v>100</v>
      </c>
      <c r="T44" s="1570" t="s">
        <v>8</v>
      </c>
      <c r="U44" s="1571">
        <f t="shared" si="11"/>
        <v>100</v>
      </c>
      <c r="V44" s="1570" t="s">
        <v>8</v>
      </c>
      <c r="W44" s="1571">
        <f t="shared" si="12"/>
        <v>100</v>
      </c>
      <c r="X44" s="1564"/>
      <c r="Y44" s="3388" t="s">
        <v>550</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388"/>
      <c r="Q45" s="1569">
        <f t="shared" si="14"/>
        <v>111</v>
      </c>
      <c r="R45" s="1570" t="s">
        <v>8</v>
      </c>
      <c r="S45" s="1571">
        <f t="shared" si="10"/>
        <v>100</v>
      </c>
      <c r="T45" s="1570" t="s">
        <v>8</v>
      </c>
      <c r="U45" s="1571">
        <f t="shared" si="11"/>
        <v>100</v>
      </c>
      <c r="V45" s="1570" t="s">
        <v>8</v>
      </c>
      <c r="W45" s="1571">
        <f t="shared" si="12"/>
        <v>100</v>
      </c>
      <c r="X45" s="1564"/>
      <c r="Y45" s="338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388"/>
      <c r="Q46" s="1569">
        <f t="shared" si="14"/>
        <v>111</v>
      </c>
      <c r="R46" s="1570" t="s">
        <v>8</v>
      </c>
      <c r="S46" s="1571">
        <f t="shared" si="10"/>
        <v>100</v>
      </c>
      <c r="T46" s="1570" t="s">
        <v>8</v>
      </c>
      <c r="U46" s="1571">
        <f t="shared" si="11"/>
        <v>100</v>
      </c>
      <c r="V46" s="1570" t="s">
        <v>8</v>
      </c>
      <c r="W46" s="1571">
        <f t="shared" si="12"/>
        <v>100</v>
      </c>
      <c r="X46" s="1564"/>
      <c r="Y46" s="338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388"/>
      <c r="Q47" s="1569">
        <f t="shared" si="14"/>
        <v>111</v>
      </c>
      <c r="R47" s="1574" t="s">
        <v>8</v>
      </c>
      <c r="S47" s="1575">
        <f t="shared" si="10"/>
        <v>100</v>
      </c>
      <c r="T47" s="1574" t="s">
        <v>8</v>
      </c>
      <c r="U47" s="1575">
        <f t="shared" si="11"/>
        <v>100</v>
      </c>
      <c r="V47" s="1574" t="s">
        <v>8</v>
      </c>
      <c r="W47" s="1575">
        <f t="shared" si="12"/>
        <v>100</v>
      </c>
      <c r="X47" s="1576"/>
      <c r="Y47" s="3388"/>
      <c r="Z47" s="1577">
        <f t="shared" si="13"/>
        <v>111</v>
      </c>
      <c r="AA47" s="1573">
        <f t="shared" si="3"/>
        <v>1</v>
      </c>
      <c r="AB47" s="1573">
        <f t="shared" si="4"/>
        <v>1</v>
      </c>
      <c r="AC47" s="1573">
        <f t="shared" si="5"/>
        <v>1</v>
      </c>
    </row>
    <row r="48" spans="1:29" ht="20.25">
      <c r="A48" s="604" t="s">
        <v>556</v>
      </c>
      <c r="B48" s="605" t="s">
        <v>3015</v>
      </c>
      <c r="C48" s="606" t="s">
        <v>1</v>
      </c>
      <c r="D48" s="607"/>
      <c r="E48" s="608">
        <v>25750</v>
      </c>
      <c r="F48" s="609"/>
      <c r="G48" s="610">
        <v>24744</v>
      </c>
      <c r="H48" s="611"/>
      <c r="I48" s="608">
        <v>24462</v>
      </c>
      <c r="J48" s="611"/>
      <c r="K48" s="1336"/>
      <c r="L48" s="2142"/>
      <c r="M48" s="2130"/>
      <c r="N48" s="2130"/>
      <c r="O48" s="2143"/>
      <c r="P48" s="3383" t="str">
        <f>A48</f>
        <v>成交单价</v>
      </c>
      <c r="Q48" s="3383"/>
      <c r="R48" s="3397">
        <f>E48</f>
        <v>25750</v>
      </c>
      <c r="S48" s="3397"/>
      <c r="T48" s="3397">
        <f>G48</f>
        <v>24744</v>
      </c>
      <c r="U48" s="3397"/>
      <c r="V48" s="3397">
        <f>I48</f>
        <v>24462</v>
      </c>
      <c r="W48" s="3397"/>
      <c r="X48" s="1556"/>
      <c r="Y48" s="1578"/>
      <c r="Z48" s="1556"/>
      <c r="AA48" s="1556"/>
      <c r="AB48" s="1556"/>
      <c r="AC48" s="1556"/>
    </row>
    <row r="49" spans="1:29" ht="21" thickBot="1">
      <c r="A49" s="612" t="s">
        <v>2701</v>
      </c>
      <c r="B49" s="613"/>
      <c r="C49" s="614">
        <f>R50</f>
        <v>22939</v>
      </c>
      <c r="D49" s="615"/>
      <c r="E49" s="614">
        <f>R49</f>
        <v>23294</v>
      </c>
      <c r="F49" s="616"/>
      <c r="G49" s="617">
        <f>T49</f>
        <v>23145</v>
      </c>
      <c r="H49" s="615"/>
      <c r="I49" s="614">
        <f>V49</f>
        <v>22377</v>
      </c>
      <c r="J49" s="615"/>
      <c r="K49" s="1337"/>
      <c r="L49" s="2142"/>
      <c r="M49" s="2130"/>
      <c r="N49" s="2130"/>
      <c r="O49" s="2143"/>
      <c r="P49" s="3383" t="str">
        <f>A49</f>
        <v>比较价格（元/平方米）</v>
      </c>
      <c r="Q49" s="3383"/>
      <c r="R49" s="3408">
        <f>ROUND(PRODUCT(R48,AA9:AA47),0)</f>
        <v>23294</v>
      </c>
      <c r="S49" s="3408"/>
      <c r="T49" s="3408">
        <f>ROUND(PRODUCT(T48,AB9:AB47),0)</f>
        <v>23145</v>
      </c>
      <c r="U49" s="3408"/>
      <c r="V49" s="3408">
        <f>ROUND(PRODUCT(V48,AC9:AC47),0)</f>
        <v>22377</v>
      </c>
      <c r="W49" s="3408"/>
      <c r="X49" s="1556"/>
      <c r="Y49" s="1556"/>
      <c r="Z49" s="1556"/>
      <c r="AA49" s="1556"/>
      <c r="AB49" s="1556"/>
      <c r="AC49" s="1556"/>
    </row>
    <row r="50" spans="1:29" ht="21" thickBot="1">
      <c r="A50" s="618" t="s">
        <v>2945</v>
      </c>
      <c r="B50" s="619"/>
      <c r="C50" s="620">
        <f>R50</f>
        <v>22939</v>
      </c>
      <c r="D50" s="620"/>
      <c r="E50" s="620"/>
      <c r="F50" s="620"/>
      <c r="G50" s="620"/>
      <c r="H50" s="620"/>
      <c r="I50" s="620"/>
      <c r="J50" s="620"/>
      <c r="K50" s="1338"/>
      <c r="L50" s="2142"/>
      <c r="M50" s="2130"/>
      <c r="N50" s="2130"/>
      <c r="O50" s="2143"/>
      <c r="P50" s="3405" t="str">
        <f>A50</f>
        <v>估价对象XX用房的比较价格（楼面单价，元/平方米）</v>
      </c>
      <c r="Q50" s="3406"/>
      <c r="R50" s="3407">
        <f>ROUND(AVERAGE(R49:V49),0)</f>
        <v>22939</v>
      </c>
      <c r="S50" s="3407"/>
      <c r="T50" s="3407"/>
      <c r="U50" s="3407"/>
      <c r="V50" s="3407"/>
      <c r="W50" s="3407"/>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557</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558</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559</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560</v>
      </c>
      <c r="B57" s="627" t="s">
        <v>561</v>
      </c>
      <c r="C57" s="1557" t="s">
        <v>1725</v>
      </c>
      <c r="D57" s="2225" t="s">
        <v>2296</v>
      </c>
      <c r="E57" s="628" t="s">
        <v>562</v>
      </c>
      <c r="F57" s="629" t="s">
        <v>563</v>
      </c>
      <c r="G57" s="3367" t="s">
        <v>2284</v>
      </c>
      <c r="H57" s="3368"/>
      <c r="I57" s="1552" t="s">
        <v>1723</v>
      </c>
      <c r="J57" s="1552">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564</v>
      </c>
      <c r="B58" s="631">
        <f>C50</f>
        <v>22939</v>
      </c>
      <c r="C58" s="632">
        <v>1</v>
      </c>
      <c r="D58" s="2226">
        <v>1</v>
      </c>
      <c r="E58" s="632">
        <f>'数据-汇总表'!E8+'数据-汇总表'!E9</f>
        <v>135065.77000000002</v>
      </c>
      <c r="F58" s="633">
        <f t="shared" ref="F58:F67" si="15">ROUND(B58*E58/10000,0)</f>
        <v>309827</v>
      </c>
      <c r="G58" s="3369"/>
      <c r="H58" s="337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565</v>
      </c>
      <c r="B59" s="635">
        <f>ROUND($C$50*C59*D59,0)</f>
        <v>0</v>
      </c>
      <c r="C59" s="375">
        <f t="shared" ref="C59:C67" si="16">IF($C$57="北京市系数",I59,J59)</f>
        <v>0</v>
      </c>
      <c r="D59" s="2227">
        <v>0.25</v>
      </c>
      <c r="E59" s="636">
        <v>0</v>
      </c>
      <c r="F59" s="633">
        <f t="shared" si="15"/>
        <v>0</v>
      </c>
      <c r="G59" s="3371" t="s">
        <v>2285</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566</v>
      </c>
      <c r="B60" s="635">
        <f t="shared" ref="B60:B67" si="17">ROUND($C$50*C60*D60,0)</f>
        <v>0</v>
      </c>
      <c r="C60" s="375">
        <f t="shared" si="16"/>
        <v>0</v>
      </c>
      <c r="D60" s="2227">
        <v>0.25</v>
      </c>
      <c r="E60" s="636">
        <v>0</v>
      </c>
      <c r="F60" s="633">
        <f t="shared" si="15"/>
        <v>0</v>
      </c>
      <c r="G60" s="337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567</v>
      </c>
      <c r="B61" s="635">
        <f t="shared" si="17"/>
        <v>0</v>
      </c>
      <c r="C61" s="375">
        <f t="shared" si="16"/>
        <v>0</v>
      </c>
      <c r="D61" s="2227">
        <v>0.25</v>
      </c>
      <c r="E61" s="636">
        <v>0</v>
      </c>
      <c r="F61" s="633">
        <f t="shared" si="15"/>
        <v>0</v>
      </c>
      <c r="G61" s="337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568</v>
      </c>
      <c r="B62" s="635">
        <f t="shared" si="17"/>
        <v>0</v>
      </c>
      <c r="C62" s="375">
        <f t="shared" si="16"/>
        <v>0</v>
      </c>
      <c r="D62" s="2227">
        <v>0.25</v>
      </c>
      <c r="E62" s="636">
        <v>0</v>
      </c>
      <c r="F62" s="633">
        <f t="shared" si="15"/>
        <v>0</v>
      </c>
      <c r="G62" s="337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2331</v>
      </c>
      <c r="B63" s="635">
        <f t="shared" si="17"/>
        <v>0</v>
      </c>
      <c r="C63" s="375">
        <f t="shared" si="16"/>
        <v>0</v>
      </c>
      <c r="D63" s="2227">
        <v>0.25</v>
      </c>
      <c r="E63" s="638">
        <f>'数据-汇总表'!E11</f>
        <v>0</v>
      </c>
      <c r="F63" s="633">
        <f t="shared" si="15"/>
        <v>0</v>
      </c>
      <c r="G63" s="1943" t="s">
        <v>2286</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569</v>
      </c>
      <c r="B64" s="635">
        <f t="shared" si="17"/>
        <v>0</v>
      </c>
      <c r="C64" s="375">
        <f t="shared" si="16"/>
        <v>0</v>
      </c>
      <c r="D64" s="2227">
        <v>0.25</v>
      </c>
      <c r="E64" s="638">
        <f>'数据-汇总表'!E12</f>
        <v>0</v>
      </c>
      <c r="F64" s="633">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570</v>
      </c>
      <c r="B65" s="635">
        <f t="shared" si="17"/>
        <v>0</v>
      </c>
      <c r="C65" s="375">
        <f t="shared" si="16"/>
        <v>0</v>
      </c>
      <c r="D65" s="2227">
        <v>0.25</v>
      </c>
      <c r="E65" s="638">
        <f>'数据-汇总表'!E13</f>
        <v>0</v>
      </c>
      <c r="F65" s="633">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571</v>
      </c>
      <c r="B66" s="635">
        <f t="shared" si="17"/>
        <v>0</v>
      </c>
      <c r="C66" s="375">
        <f t="shared" si="16"/>
        <v>0</v>
      </c>
      <c r="D66" s="2227">
        <v>0.25</v>
      </c>
      <c r="E66" s="638">
        <f>'数据-汇总表'!E14</f>
        <v>0</v>
      </c>
      <c r="F66" s="633">
        <f t="shared" si="15"/>
        <v>0</v>
      </c>
      <c r="G66" s="1943" t="s">
        <v>2285</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572</v>
      </c>
      <c r="B67" s="635">
        <f t="shared" si="17"/>
        <v>0</v>
      </c>
      <c r="C67" s="375">
        <f t="shared" si="16"/>
        <v>0</v>
      </c>
      <c r="D67" s="2227">
        <v>0.25</v>
      </c>
      <c r="E67" s="638">
        <f>'数据-汇总表'!E15</f>
        <v>0</v>
      </c>
      <c r="F67" s="633">
        <f t="shared" si="15"/>
        <v>0</v>
      </c>
      <c r="G67" s="1945" t="s">
        <v>2286</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573</v>
      </c>
      <c r="B68" s="640" t="s">
        <v>17</v>
      </c>
      <c r="C68" s="640" t="s">
        <v>18</v>
      </c>
      <c r="D68" s="640" t="s">
        <v>2297</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2538</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2655</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2654</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531</v>
      </c>
      <c r="B75" s="645"/>
      <c r="C75" s="657" t="s">
        <v>576</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577</v>
      </c>
      <c r="B77" s="662" t="s">
        <v>534</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537</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538</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539</v>
      </c>
      <c r="B90" s="662" t="s">
        <v>578</v>
      </c>
      <c r="C90" s="700" t="s">
        <v>579</v>
      </c>
      <c r="D90" s="700" t="s">
        <v>580</v>
      </c>
      <c r="E90" s="700" t="s">
        <v>581</v>
      </c>
      <c r="F90" s="700" t="s">
        <v>582</v>
      </c>
      <c r="G90" s="700" t="s">
        <v>583</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584</v>
      </c>
      <c r="C92" s="705" t="s">
        <v>579</v>
      </c>
      <c r="D92" s="705" t="s">
        <v>580</v>
      </c>
      <c r="E92" s="705" t="s">
        <v>581</v>
      </c>
      <c r="F92" s="705" t="s">
        <v>582</v>
      </c>
      <c r="G92" s="705" t="s">
        <v>583</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585</v>
      </c>
      <c r="C94" s="705" t="s">
        <v>579</v>
      </c>
      <c r="D94" s="705" t="s">
        <v>580</v>
      </c>
      <c r="E94" s="705" t="s">
        <v>581</v>
      </c>
      <c r="F94" s="705" t="s">
        <v>582</v>
      </c>
      <c r="G94" s="705" t="s">
        <v>583</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586</v>
      </c>
      <c r="C96" s="705" t="s">
        <v>579</v>
      </c>
      <c r="D96" s="705" t="s">
        <v>580</v>
      </c>
      <c r="E96" s="705" t="s">
        <v>581</v>
      </c>
      <c r="F96" s="705" t="s">
        <v>582</v>
      </c>
      <c r="G96" s="705" t="s">
        <v>583</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587</v>
      </c>
      <c r="C98" s="705" t="s">
        <v>579</v>
      </c>
      <c r="D98" s="705" t="s">
        <v>580</v>
      </c>
      <c r="E98" s="705" t="s">
        <v>581</v>
      </c>
      <c r="F98" s="705" t="s">
        <v>582</v>
      </c>
      <c r="G98" s="705" t="s">
        <v>583</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588</v>
      </c>
      <c r="C100" s="700" t="s">
        <v>579</v>
      </c>
      <c r="D100" s="700" t="s">
        <v>580</v>
      </c>
      <c r="E100" s="700" t="s">
        <v>581</v>
      </c>
      <c r="F100" s="700" t="s">
        <v>582</v>
      </c>
      <c r="G100" s="700" t="s">
        <v>583</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2554</v>
      </c>
      <c r="C102" s="700" t="s">
        <v>579</v>
      </c>
      <c r="D102" s="700" t="s">
        <v>580</v>
      </c>
      <c r="E102" s="700" t="s">
        <v>581</v>
      </c>
      <c r="F102" s="700" t="s">
        <v>582</v>
      </c>
      <c r="G102" s="700" t="s">
        <v>583</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2556</v>
      </c>
      <c r="C104" s="2620" t="s">
        <v>2557</v>
      </c>
      <c r="D104" s="2620" t="s">
        <v>2558</v>
      </c>
      <c r="E104" s="2620" t="s">
        <v>2559</v>
      </c>
      <c r="F104" s="2620" t="s">
        <v>2560</v>
      </c>
      <c r="G104" s="2620" t="s">
        <v>2561</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548</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549</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551</v>
      </c>
      <c r="B118" s="662" t="s">
        <v>593</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594</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595</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2429</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596</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33"/>
      <c r="C1" s="2102"/>
      <c r="D1" s="2102"/>
      <c r="E1" s="2102"/>
      <c r="F1" s="2102"/>
      <c r="G1" s="2102"/>
      <c r="H1" s="2102"/>
      <c r="I1" s="2102"/>
      <c r="J1" s="2102"/>
      <c r="K1" s="419">
        <f>MATCH(B1,'数据-取费表'!A6:A16,0)+5</f>
        <v>9</v>
      </c>
    </row>
    <row r="2" spans="1:31" s="2039" customFormat="1" ht="18" customHeight="1">
      <c r="A2" s="2099" t="s">
        <v>466</v>
      </c>
      <c r="B2" s="2103">
        <f ca="1">C36</f>
        <v>223366</v>
      </c>
      <c r="C2" s="2102"/>
      <c r="D2" s="2102"/>
      <c r="E2" s="2102"/>
      <c r="F2" s="2102"/>
      <c r="G2" s="2102"/>
      <c r="H2" s="2102"/>
      <c r="I2" s="2102"/>
      <c r="J2" s="2102"/>
      <c r="K2" s="2102"/>
    </row>
    <row r="3" spans="1:31" s="2039" customFormat="1" ht="18" customHeight="1">
      <c r="A3" s="2104" t="s">
        <v>1685</v>
      </c>
      <c r="B3" s="2105">
        <f ca="1">ROUND(B2*10000/IF(B1="",'数据-汇总表'!E3,INDIRECT("'数据-取费表'!K"&amp;$K$1)),0)</f>
        <v>16372</v>
      </c>
      <c r="C3" s="2102"/>
      <c r="D3" s="2102"/>
      <c r="E3" s="2102"/>
      <c r="F3" s="2102"/>
      <c r="G3" s="2102"/>
      <c r="H3" s="2102"/>
      <c r="I3" s="2102"/>
      <c r="J3" s="2102"/>
      <c r="K3" s="2102"/>
    </row>
    <row r="4" spans="1:31" s="2039" customFormat="1" ht="18" customHeight="1">
      <c r="A4" s="423" t="s">
        <v>467</v>
      </c>
      <c r="B4" s="424">
        <f ca="1">ROUND(B2*10000/IF(B1="",'数据-汇总表'!D3,INDIRECT("'数据-取费表'!R"&amp;$K$1)),0)</f>
        <v>59759</v>
      </c>
      <c r="C4" s="425"/>
      <c r="D4" s="419"/>
      <c r="E4" s="419"/>
      <c r="F4" s="419"/>
      <c r="G4" s="419"/>
      <c r="H4" s="419"/>
      <c r="I4" s="419"/>
      <c r="J4" s="419"/>
      <c r="K4" s="419"/>
    </row>
    <row r="5" spans="1:31" s="2039" customFormat="1" ht="18" customHeight="1" thickBot="1">
      <c r="A5" s="426"/>
      <c r="B5" s="427">
        <f ca="1">ROUND(B2/(IF(B1="",'数据-汇总表'!D3,INDIRECT("'数据-取费表'!R"&amp;$K$1))/666.67),0)</f>
        <v>3984</v>
      </c>
      <c r="C5" s="428" t="s">
        <v>468</v>
      </c>
      <c r="D5" s="419"/>
      <c r="E5" s="419"/>
      <c r="F5" s="419"/>
      <c r="G5" s="419"/>
      <c r="H5" s="419"/>
      <c r="I5" s="419"/>
      <c r="J5" s="419"/>
      <c r="K5" s="419"/>
    </row>
    <row r="6" spans="1:31" s="2109" customFormat="1" ht="16.5" customHeight="1">
      <c r="A6" s="2852" t="s">
        <v>1843</v>
      </c>
      <c r="B6" s="2853"/>
      <c r="C6" s="2854">
        <f ca="1">SUM(C10:K10)</f>
        <v>370343</v>
      </c>
      <c r="D6" s="2853"/>
      <c r="E6" s="2853"/>
      <c r="F6" s="2853"/>
      <c r="G6" s="2853"/>
      <c r="H6" s="2853"/>
      <c r="I6" s="2853"/>
      <c r="J6" s="2853"/>
      <c r="K6" s="2855"/>
    </row>
    <row r="7" spans="1:31" s="2111" customFormat="1" ht="15">
      <c r="A7" s="2856" t="s">
        <v>469</v>
      </c>
      <c r="B7" s="2857" t="s">
        <v>470</v>
      </c>
      <c r="C7" s="433" t="s">
        <v>923</v>
      </c>
      <c r="D7" s="433" t="s">
        <v>1678</v>
      </c>
      <c r="E7" s="433" t="s">
        <v>2987</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1846</v>
      </c>
      <c r="B8" s="260" t="s">
        <v>471</v>
      </c>
      <c r="C8" s="2858">
        <f>'不动产比较法-住宅'!B3</f>
        <v>29836</v>
      </c>
      <c r="D8" s="2858">
        <f>'不动产比较法-办公'!B3</f>
        <v>18566</v>
      </c>
      <c r="E8" s="2858">
        <f ca="1">不动产收益法!B3</f>
        <v>23459</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1847</v>
      </c>
      <c r="B9" s="260" t="s">
        <v>472</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1848</v>
      </c>
      <c r="B10" s="2846" t="s">
        <v>473</v>
      </c>
      <c r="C10" s="3052">
        <f>'不动产比较法-住宅'!B2</f>
        <v>307507</v>
      </c>
      <c r="D10" s="3052">
        <f>'不动产比较法-办公'!B2</f>
        <v>46415</v>
      </c>
      <c r="E10" s="3052">
        <f ca="1">不动产收益法!B2</f>
        <v>16421</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1844</v>
      </c>
      <c r="B11" s="2853"/>
      <c r="C11" s="2853"/>
      <c r="D11" s="2853"/>
      <c r="E11" s="2853"/>
      <c r="F11" s="2853"/>
      <c r="G11" s="2853"/>
      <c r="H11" s="2853"/>
      <c r="I11" s="2853"/>
      <c r="J11" s="2853"/>
      <c r="K11" s="2855"/>
    </row>
    <row r="12" spans="1:31" s="2083" customFormat="1" ht="13.5" customHeight="1">
      <c r="A12" s="2864" t="s">
        <v>469</v>
      </c>
      <c r="B12" s="2836" t="s">
        <v>470</v>
      </c>
      <c r="C12" s="2865" t="s">
        <v>474</v>
      </c>
      <c r="D12" s="2832" t="s">
        <v>475</v>
      </c>
      <c r="E12" s="2832" t="s">
        <v>476</v>
      </c>
      <c r="F12" s="2832" t="s">
        <v>477</v>
      </c>
      <c r="G12" s="2836"/>
      <c r="H12" s="2837"/>
      <c r="I12" s="2837"/>
      <c r="J12" s="2837"/>
      <c r="K12" s="2838"/>
    </row>
    <row r="13" spans="1:31" s="2114" customFormat="1" ht="13.5" customHeight="1">
      <c r="A13" s="2866" t="s">
        <v>1849</v>
      </c>
      <c r="B13" s="2867" t="s">
        <v>478</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1850</v>
      </c>
      <c r="B14" s="2867" t="s">
        <v>479</v>
      </c>
      <c r="C14" s="53">
        <f ca="1">ROUND(C13*F14,0)</f>
        <v>1203</v>
      </c>
      <c r="D14" s="2868"/>
      <c r="E14" s="2869"/>
      <c r="F14" s="2871">
        <f>'数据-取费表'!B33</f>
        <v>0.03</v>
      </c>
      <c r="G14" s="2836" t="s">
        <v>480</v>
      </c>
      <c r="H14" s="2837"/>
      <c r="I14" s="2837"/>
      <c r="J14" s="2837"/>
      <c r="K14" s="2838"/>
    </row>
    <row r="15" spans="1:31" s="2114" customFormat="1" ht="13.5" customHeight="1">
      <c r="A15" s="2866" t="s">
        <v>1851</v>
      </c>
      <c r="B15" s="2867" t="s">
        <v>481</v>
      </c>
      <c r="C15" s="53">
        <f ca="1">ROUND(IF(B1="",SUMIF('数据-取费表'!C:C,"住宅",'数据-取费表'!P:P)*F15,IF(INDIRECT("'数据-取费表'!c"&amp;$K$1)="住宅",INDIRECT("'数据-取费表'!P"&amp;$K$1)*F15,0)),0)</f>
        <v>1546</v>
      </c>
      <c r="D15" s="2868"/>
      <c r="E15" s="2869"/>
      <c r="F15" s="2871">
        <f>'数据-取费表'!B34</f>
        <v>0.05</v>
      </c>
      <c r="G15" s="2836" t="s">
        <v>482</v>
      </c>
      <c r="H15" s="2837"/>
      <c r="I15" s="2837"/>
      <c r="J15" s="2837"/>
      <c r="K15" s="2838"/>
    </row>
    <row r="16" spans="1:31" s="2115" customFormat="1" ht="13.5" customHeight="1">
      <c r="A16" s="2866" t="s">
        <v>1852</v>
      </c>
      <c r="B16" s="2867" t="s">
        <v>483</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1853</v>
      </c>
      <c r="B17" s="2867" t="s">
        <v>484</v>
      </c>
      <c r="C17" s="2872">
        <f ca="1">ROUND(C13*F17,0)</f>
        <v>602</v>
      </c>
      <c r="D17" s="472"/>
      <c r="E17" s="2872"/>
      <c r="F17" s="2873">
        <f>'数据-取费表'!B36</f>
        <v>1.4999999999999999E-2</v>
      </c>
      <c r="G17" s="260" t="s">
        <v>485</v>
      </c>
      <c r="H17" s="2839"/>
      <c r="I17" s="2839"/>
      <c r="J17" s="2839"/>
      <c r="K17" s="278"/>
    </row>
    <row r="18" spans="1:14" s="2114" customFormat="1" ht="13.5" customHeight="1">
      <c r="A18" s="2874" t="s">
        <v>1854</v>
      </c>
      <c r="B18" s="2875" t="s">
        <v>486</v>
      </c>
      <c r="C18" s="2876">
        <f ca="1">SUM(C13:C17)</f>
        <v>46196</v>
      </c>
      <c r="D18" s="2877"/>
      <c r="E18" s="465"/>
      <c r="F18" s="465"/>
      <c r="G18" s="2840" t="s">
        <v>2434</v>
      </c>
      <c r="H18" s="2841"/>
      <c r="I18" s="2841"/>
      <c r="J18" s="2841"/>
      <c r="K18" s="2842"/>
    </row>
    <row r="19" spans="1:14" s="2114" customFormat="1" ht="13.5" customHeight="1">
      <c r="A19" s="2874" t="s">
        <v>1855</v>
      </c>
      <c r="B19" s="2875" t="s">
        <v>487</v>
      </c>
      <c r="C19" s="2832">
        <f ca="1">ROUND(D19*E19/10000,0)</f>
        <v>0</v>
      </c>
      <c r="D19" s="2878">
        <f ca="1">D16</f>
        <v>136430.07</v>
      </c>
      <c r="E19" s="2832">
        <f>'数据-取费表'!B32</f>
        <v>0</v>
      </c>
      <c r="F19" s="465"/>
      <c r="G19" s="2836" t="s">
        <v>488</v>
      </c>
      <c r="H19" s="2837"/>
      <c r="I19" s="2841"/>
      <c r="J19" s="2841"/>
      <c r="K19" s="2842"/>
    </row>
    <row r="20" spans="1:14" s="2114" customFormat="1" ht="13.5" customHeight="1">
      <c r="A20" s="2874" t="s">
        <v>1856</v>
      </c>
      <c r="B20" s="2875" t="s">
        <v>489</v>
      </c>
      <c r="C20" s="2832">
        <f ca="1">C21+C22-IF(B1="",'数据-取费表'!B29,IF(G20="已全部缴纳",C21+C22,H20))</f>
        <v>1432</v>
      </c>
      <c r="D20" s="2878"/>
      <c r="E20" s="2832"/>
      <c r="F20" s="2879"/>
      <c r="G20" s="3112"/>
      <c r="H20" s="2834"/>
      <c r="I20" s="2835" t="s">
        <v>2659</v>
      </c>
      <c r="J20" s="2841"/>
      <c r="K20" s="2842"/>
    </row>
    <row r="21" spans="1:14" s="2114" customFormat="1" ht="13.5" customHeight="1">
      <c r="A21" s="2866" t="s">
        <v>1857</v>
      </c>
      <c r="B21" s="2867" t="s">
        <v>490</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1858</v>
      </c>
      <c r="B22" s="2867" t="s">
        <v>491</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1859</v>
      </c>
      <c r="B23" s="3058" t="s">
        <v>2842</v>
      </c>
      <c r="C23" s="2876">
        <f ca="1">ROUND((C18+C19+C20)*F23,0)</f>
        <v>714</v>
      </c>
      <c r="D23" s="465"/>
      <c r="E23" s="465"/>
      <c r="F23" s="2880">
        <f>'数据-取费表'!B37</f>
        <v>1.4999999999999999E-2</v>
      </c>
      <c r="G23" s="2836" t="s">
        <v>2435</v>
      </c>
      <c r="H23" s="2837"/>
      <c r="I23" s="2837"/>
      <c r="J23" s="2837"/>
      <c r="K23" s="2838"/>
      <c r="L23" s="2116"/>
      <c r="M23" s="2116"/>
      <c r="N23" s="2116"/>
    </row>
    <row r="24" spans="1:14" s="2114" customFormat="1" ht="13.5" customHeight="1">
      <c r="A24" s="2874" t="s">
        <v>1860</v>
      </c>
      <c r="B24" s="3058" t="s">
        <v>2845</v>
      </c>
      <c r="C24" s="2876">
        <f ca="1">ROUND(C6*F24,0)</f>
        <v>7407</v>
      </c>
      <c r="D24" s="472"/>
      <c r="E24" s="470"/>
      <c r="F24" s="2880">
        <f>'数据-取费表'!B38</f>
        <v>0.02</v>
      </c>
      <c r="G24" s="2845" t="s">
        <v>498</v>
      </c>
      <c r="H24" s="2839"/>
      <c r="I24" s="2839"/>
      <c r="J24" s="2839"/>
      <c r="K24" s="278"/>
      <c r="L24" s="2116"/>
      <c r="M24" s="2116"/>
      <c r="N24" s="2116"/>
    </row>
    <row r="25" spans="1:14" s="2117" customFormat="1" ht="13.5" customHeight="1">
      <c r="A25" s="2874" t="s">
        <v>1861</v>
      </c>
      <c r="B25" s="3058" t="s">
        <v>2843</v>
      </c>
      <c r="C25" s="464">
        <f>ROUND(F25/(1+'数据-取费表'!C42),4)</f>
        <v>2.9000000000000001E-2</v>
      </c>
      <c r="D25" s="459" t="s">
        <v>2837</v>
      </c>
      <c r="E25" s="466"/>
      <c r="F25" s="2880">
        <f>'数据-取费表'!B48+'数据-取费表'!B49</f>
        <v>3.0499999999999999E-2</v>
      </c>
      <c r="G25" s="2844" t="s">
        <v>2292</v>
      </c>
      <c r="H25" s="2837"/>
      <c r="I25" s="2837"/>
      <c r="J25" s="2837"/>
      <c r="K25" s="2838"/>
    </row>
    <row r="26" spans="1:14" s="2116" customFormat="1" ht="13.5" customHeight="1">
      <c r="A26" s="2874" t="s">
        <v>1862</v>
      </c>
      <c r="B26" s="3059" t="s">
        <v>2844</v>
      </c>
      <c r="C26" s="2881">
        <f ca="1">C28</f>
        <v>2648</v>
      </c>
      <c r="D26" s="464">
        <f ca="1">C27</f>
        <v>0.10009999999999999</v>
      </c>
      <c r="E26" s="466" t="s">
        <v>494</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1857</v>
      </c>
      <c r="B27" s="2882" t="s">
        <v>495</v>
      </c>
      <c r="C27" s="2883">
        <f ca="1">ROUND(IF('数据-取费表'!B22&lt;=1,(1+C25)*F26*'数据-取费表'!B24,(1+C25)*(POWER((1+F26),'数据-取费表'!B24)-1)),4)</f>
        <v>0.10009999999999999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1858</v>
      </c>
      <c r="B28" s="2882" t="s">
        <v>2846</v>
      </c>
      <c r="C28" s="2884">
        <f ca="1">ROUND(IF('数据-取费表'!B22&lt;=1,(C18+C19+C20+C23+C24)*F26*'数据-取费表'!B24/2,(C18+C19+C20+C23+C24)*(POWER((1+F26),'数据-取费表'!B24/2)-1)),0)</f>
        <v>2648</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1863</v>
      </c>
      <c r="B29" s="2875" t="s">
        <v>496</v>
      </c>
      <c r="C29" s="2876">
        <f ca="1">ROUND(C6*F29/(1+'数据-取费表'!C42),0)</f>
        <v>19752</v>
      </c>
      <c r="D29" s="465"/>
      <c r="E29" s="465"/>
      <c r="F29" s="3060">
        <f>'数据-取费表'!B41</f>
        <v>5.6000000000000001E-2</v>
      </c>
      <c r="G29" s="2845" t="s">
        <v>497</v>
      </c>
      <c r="H29" s="2837"/>
      <c r="I29" s="2837"/>
      <c r="J29" s="2837"/>
      <c r="K29" s="2838"/>
    </row>
    <row r="30" spans="1:14" s="2119" customFormat="1" ht="13.5" customHeight="1">
      <c r="A30" s="1632" t="s">
        <v>1864</v>
      </c>
      <c r="B30" s="2886" t="s">
        <v>499</v>
      </c>
      <c r="C30" s="2881">
        <f ca="1">C31</f>
        <v>78149</v>
      </c>
      <c r="D30" s="474">
        <f ca="1">C32</f>
        <v>0.12909999999999999</v>
      </c>
      <c r="E30" s="466" t="s">
        <v>494</v>
      </c>
      <c r="F30" s="468"/>
      <c r="G30" s="2836" t="s">
        <v>500</v>
      </c>
      <c r="H30" s="2837"/>
      <c r="I30" s="2837"/>
      <c r="J30" s="2837"/>
      <c r="K30" s="2838"/>
    </row>
    <row r="31" spans="1:14" s="2118" customFormat="1" ht="13.5" customHeight="1">
      <c r="A31" s="800" t="s">
        <v>1857</v>
      </c>
      <c r="B31" s="2882"/>
      <c r="C31" s="447">
        <f ca="1">C18+C19+C20+C23+C24+C26+C29</f>
        <v>78149</v>
      </c>
      <c r="D31" s="469"/>
      <c r="E31" s="470"/>
      <c r="F31" s="471"/>
      <c r="G31" s="260"/>
      <c r="H31" s="2839"/>
      <c r="I31" s="2839"/>
      <c r="J31" s="2839"/>
      <c r="K31" s="278"/>
    </row>
    <row r="32" spans="1:14" s="2118" customFormat="1" ht="13.5" customHeight="1">
      <c r="A32" s="800" t="s">
        <v>1858</v>
      </c>
      <c r="B32" s="2882"/>
      <c r="C32" s="53">
        <f ca="1">ROUND(C25+D26,4)</f>
        <v>0.12909999999999999</v>
      </c>
      <c r="D32" s="469"/>
      <c r="E32" s="470"/>
      <c r="F32" s="471"/>
      <c r="G32" s="260"/>
      <c r="H32" s="2839"/>
      <c r="I32" s="2839"/>
      <c r="J32" s="2839"/>
      <c r="K32" s="278"/>
    </row>
    <row r="33" spans="1:11" s="2120" customFormat="1" ht="13.5" customHeight="1">
      <c r="A33" s="3057" t="s">
        <v>2841</v>
      </c>
      <c r="B33" s="3055" t="s">
        <v>2839</v>
      </c>
      <c r="C33" s="475">
        <f ca="1">C35</f>
        <v>7805</v>
      </c>
      <c r="D33" s="464">
        <f ca="1">C34</f>
        <v>0.14410000000000001</v>
      </c>
      <c r="E33" s="466" t="s">
        <v>494</v>
      </c>
      <c r="F33" s="476">
        <f ca="1">IF(B1="",'数据-取费表'!Q16,INDIRECT("'数据-取费表'!q"&amp;$K$1))</f>
        <v>0.14000000000000001</v>
      </c>
      <c r="G33" s="2840"/>
      <c r="H33" s="2841"/>
      <c r="I33" s="2841"/>
      <c r="J33" s="2841"/>
      <c r="K33" s="2842"/>
    </row>
    <row r="34" spans="1:11" s="2121" customFormat="1" ht="13.5" customHeight="1">
      <c r="A34" s="372" t="s">
        <v>1857</v>
      </c>
      <c r="B34" s="2887" t="s">
        <v>501</v>
      </c>
      <c r="C34" s="469">
        <f ca="1">ROUND((1+C25)*F33,4)</f>
        <v>0.14410000000000001</v>
      </c>
      <c r="D34" s="469"/>
      <c r="E34" s="470"/>
      <c r="F34" s="477"/>
      <c r="G34" s="260" t="s">
        <v>2293</v>
      </c>
      <c r="H34" s="2839"/>
      <c r="I34" s="2839"/>
      <c r="J34" s="2839"/>
      <c r="K34" s="278"/>
    </row>
    <row r="35" spans="1:11" s="2121" customFormat="1" ht="13.5" customHeight="1" thickBot="1">
      <c r="A35" s="1633" t="s">
        <v>1858</v>
      </c>
      <c r="B35" s="3056" t="s">
        <v>2847</v>
      </c>
      <c r="C35" s="1625">
        <f ca="1">ROUND((C18+C19+C20+C23+C24)*F33,0)</f>
        <v>7805</v>
      </c>
      <c r="D35" s="1626"/>
      <c r="E35" s="2888"/>
      <c r="F35" s="1627"/>
      <c r="G35" s="2846"/>
      <c r="H35" s="2847"/>
      <c r="I35" s="2847"/>
      <c r="J35" s="2847"/>
      <c r="K35" s="2848"/>
    </row>
    <row r="36" spans="1:11" s="2083" customFormat="1" ht="13.5" customHeight="1" thickBot="1">
      <c r="A36" s="283" t="s">
        <v>1845</v>
      </c>
      <c r="B36" s="2850"/>
      <c r="C36" s="2889">
        <f ca="1">ROUND((C6-C30-C33)/(1+D30+D33),0)</f>
        <v>223366</v>
      </c>
      <c r="D36" s="2850"/>
      <c r="E36" s="2850"/>
      <c r="F36" s="2850"/>
      <c r="G36" s="2849" t="s">
        <v>2848</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1902</v>
      </c>
      <c r="B39" s="1651" t="s">
        <v>2049</v>
      </c>
    </row>
    <row r="40" spans="1:9">
      <c r="A40" s="1651"/>
      <c r="B40" s="1651">
        <f>项目基本情况!B5</f>
        <v>0</v>
      </c>
    </row>
    <row r="41" spans="1:9">
      <c r="A41" s="1651"/>
      <c r="B41" s="1651"/>
    </row>
    <row r="42" spans="1:9">
      <c r="A42" s="1651" t="s">
        <v>1902</v>
      </c>
      <c r="B42" s="1651" t="s">
        <v>2050</v>
      </c>
    </row>
    <row r="43" spans="1:9">
      <c r="A43" s="1651"/>
      <c r="B43" s="1651" t="s">
        <v>1904</v>
      </c>
    </row>
    <row r="44" spans="1:9">
      <c r="A44" s="1651"/>
      <c r="B44" s="1651"/>
    </row>
    <row r="45" spans="1:9">
      <c r="A45" s="1651" t="s">
        <v>1902</v>
      </c>
      <c r="B45" s="1651" t="s">
        <v>2048</v>
      </c>
    </row>
    <row r="46" spans="1:9" s="1651" customFormat="1" ht="12.75">
      <c r="B46" s="1651" t="str">
        <f>项目基本情况!K4</f>
        <v>土地估价师、土地估价师</v>
      </c>
    </row>
    <row r="47" spans="1:9">
      <c r="A47" s="1651"/>
      <c r="B47" s="1651"/>
    </row>
    <row r="48" spans="1:9">
      <c r="A48" s="1651" t="s">
        <v>1902</v>
      </c>
      <c r="B48" s="1651" t="s">
        <v>2051</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465</v>
      </c>
      <c r="B1" s="2833"/>
      <c r="C1" s="2102"/>
      <c r="D1" s="2102"/>
      <c r="E1" s="2102"/>
      <c r="F1" s="2102"/>
      <c r="G1" s="2102"/>
      <c r="H1" s="2102"/>
      <c r="I1" s="2102"/>
      <c r="J1" s="2102"/>
      <c r="K1" s="419">
        <f>MATCH(B1,'数据-取费表'!A6:A16,0)+5</f>
        <v>9</v>
      </c>
    </row>
    <row r="2" spans="1:41" s="2039" customFormat="1" ht="18" customHeight="1">
      <c r="A2" s="420" t="s">
        <v>466</v>
      </c>
      <c r="B2" s="421">
        <f ca="1">C32</f>
        <v>0</v>
      </c>
      <c r="C2" s="2102"/>
      <c r="D2" s="2102"/>
      <c r="E2" s="2102"/>
      <c r="F2" s="2102"/>
      <c r="G2" s="2102"/>
      <c r="H2" s="2102"/>
      <c r="I2" s="2102"/>
      <c r="J2" s="2102"/>
      <c r="K2" s="2102"/>
    </row>
    <row r="3" spans="1:41" s="2039" customFormat="1" ht="18" customHeight="1">
      <c r="A3" s="1376" t="s">
        <v>1685</v>
      </c>
      <c r="B3" s="422">
        <f ca="1">ROUND(B2*10000/IF(B1="",'数据-汇总表'!E3,INDIRECT("'数据-取费表'!K"&amp;$K$1)),0)</f>
        <v>0</v>
      </c>
      <c r="C3" s="2102"/>
      <c r="D3" s="2102"/>
      <c r="E3" s="2102"/>
      <c r="F3" s="2102"/>
      <c r="G3" s="2102"/>
      <c r="H3" s="2102"/>
      <c r="I3" s="2102"/>
      <c r="J3" s="2102"/>
      <c r="K3" s="2102"/>
    </row>
    <row r="4" spans="1:41" s="2039" customFormat="1" ht="18" customHeight="1">
      <c r="A4" s="423" t="s">
        <v>467</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468</v>
      </c>
      <c r="D5" s="2102"/>
      <c r="E5" s="2102"/>
      <c r="F5" s="2102"/>
      <c r="G5" s="2102"/>
      <c r="H5" s="2102"/>
      <c r="I5" s="2102"/>
      <c r="J5" s="2102"/>
      <c r="K5" s="2102"/>
    </row>
    <row r="6" spans="1:41" s="2109" customFormat="1" ht="16.5" customHeight="1">
      <c r="A6" s="429" t="s">
        <v>2660</v>
      </c>
      <c r="B6" s="430"/>
      <c r="C6" s="1620">
        <f>SUM(C10:K10)</f>
        <v>0</v>
      </c>
      <c r="D6" s="2107"/>
      <c r="E6" s="2107"/>
      <c r="F6" s="2107"/>
      <c r="G6" s="2107"/>
      <c r="H6" s="2107"/>
      <c r="I6" s="2107"/>
      <c r="J6" s="2107"/>
      <c r="K6" s="2108"/>
    </row>
    <row r="7" spans="1:41" s="2111" customFormat="1" ht="15">
      <c r="A7" s="431" t="s">
        <v>469</v>
      </c>
      <c r="B7" s="432" t="s">
        <v>470</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5" t="s">
        <v>471</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473</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1" t="s">
        <v>469</v>
      </c>
      <c r="B12" s="441" t="s">
        <v>470</v>
      </c>
      <c r="C12" s="442" t="s">
        <v>474</v>
      </c>
      <c r="D12" s="443" t="s">
        <v>475</v>
      </c>
      <c r="E12" s="443" t="s">
        <v>476</v>
      </c>
      <c r="F12" s="443" t="s">
        <v>477</v>
      </c>
      <c r="G12" s="441"/>
      <c r="H12" s="444"/>
      <c r="I12" s="444"/>
      <c r="J12" s="444"/>
      <c r="K12" s="445"/>
    </row>
    <row r="13" spans="1:41" s="2114" customFormat="1" ht="13.5" customHeight="1">
      <c r="A13" s="1630" t="s">
        <v>1849</v>
      </c>
      <c r="B13" s="446" t="s">
        <v>478</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1850</v>
      </c>
      <c r="B14" s="446" t="s">
        <v>479</v>
      </c>
      <c r="C14" s="53">
        <f ca="1">ROUND(C13*F14,0)</f>
        <v>1203</v>
      </c>
      <c r="D14" s="448"/>
      <c r="E14" s="362"/>
      <c r="F14" s="450">
        <f>'数据-取费表'!B33</f>
        <v>0.03</v>
      </c>
      <c r="G14" s="441" t="s">
        <v>502</v>
      </c>
      <c r="H14" s="444"/>
      <c r="I14" s="444"/>
      <c r="J14" s="444"/>
      <c r="K14" s="445"/>
    </row>
    <row r="15" spans="1:41" s="2114" customFormat="1" ht="13.5" customHeight="1">
      <c r="A15" s="1630" t="s">
        <v>1851</v>
      </c>
      <c r="B15" s="446" t="s">
        <v>481</v>
      </c>
      <c r="C15" s="53">
        <f ca="1">ROUND(IF(B1="",SUMIF('数据-取费表'!C:C,"住宅",'数据-取费表'!M:M)*F15,IF(INDIRECT("'数据-取费表'!c"&amp;$K$1)="住宅",INDIRECT("'数据-取费表'!M"&amp;$K$1)*F15,0)),0)</f>
        <v>1546</v>
      </c>
      <c r="D15" s="448"/>
      <c r="E15" s="362"/>
      <c r="F15" s="450">
        <f>'数据-取费表'!B34</f>
        <v>0.05</v>
      </c>
      <c r="G15" s="441" t="s">
        <v>502</v>
      </c>
      <c r="H15" s="444"/>
      <c r="I15" s="444"/>
      <c r="J15" s="444"/>
      <c r="K15" s="445"/>
    </row>
    <row r="16" spans="1:41" s="2115" customFormat="1" ht="13.5" customHeight="1">
      <c r="A16" s="1630" t="s">
        <v>1852</v>
      </c>
      <c r="B16" s="446" t="s">
        <v>483</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6" t="s">
        <v>484</v>
      </c>
      <c r="C17" s="451">
        <f ca="1">ROUND(C13*F17,0)</f>
        <v>602</v>
      </c>
      <c r="D17" s="452"/>
      <c r="E17" s="451"/>
      <c r="F17" s="453">
        <f>'数据-取费表'!B36</f>
        <v>1.4999999999999999E-2</v>
      </c>
      <c r="G17" s="441" t="s">
        <v>502</v>
      </c>
      <c r="H17" s="454"/>
      <c r="I17" s="454"/>
      <c r="J17" s="454"/>
      <c r="K17" s="455"/>
    </row>
    <row r="18" spans="1:14" s="2117" customFormat="1" ht="13.5" customHeight="1">
      <c r="A18" s="1631" t="s">
        <v>1854</v>
      </c>
      <c r="B18" s="456" t="s">
        <v>486</v>
      </c>
      <c r="C18" s="457">
        <f ca="1">SUM(C13:C17)</f>
        <v>46196</v>
      </c>
      <c r="D18" s="458"/>
      <c r="E18" s="459"/>
      <c r="F18" s="459"/>
      <c r="G18" s="1323" t="s">
        <v>2436</v>
      </c>
      <c r="H18" s="444"/>
      <c r="I18" s="444"/>
      <c r="J18" s="444"/>
      <c r="K18" s="445"/>
    </row>
    <row r="19" spans="1:14" s="2117" customFormat="1" ht="13.5" customHeight="1">
      <c r="A19" s="1631" t="s">
        <v>1855</v>
      </c>
      <c r="B19" s="456" t="s">
        <v>492</v>
      </c>
      <c r="C19" s="457">
        <f ca="1">ROUND(C18*F19,0)</f>
        <v>693</v>
      </c>
      <c r="D19" s="459"/>
      <c r="E19" s="459"/>
      <c r="F19" s="463">
        <f>'数据-取费表'!B37</f>
        <v>1.4999999999999999E-2</v>
      </c>
      <c r="G19" s="441" t="s">
        <v>503</v>
      </c>
      <c r="H19" s="444"/>
      <c r="I19" s="444"/>
      <c r="J19" s="444"/>
      <c r="K19" s="445"/>
      <c r="L19" s="2119"/>
      <c r="M19" s="2119"/>
      <c r="N19" s="2119"/>
    </row>
    <row r="20" spans="1:14" s="2117" customFormat="1" ht="13.5" customHeight="1">
      <c r="A20" s="1631" t="s">
        <v>1856</v>
      </c>
      <c r="B20" s="456" t="s">
        <v>504</v>
      </c>
      <c r="C20" s="3053">
        <f>F20</f>
        <v>0.02</v>
      </c>
      <c r="D20" s="466" t="s">
        <v>505</v>
      </c>
      <c r="E20" s="466"/>
      <c r="F20" s="483">
        <f>'数据-取费表'!B38</f>
        <v>0.02</v>
      </c>
      <c r="G20" s="1323" t="s">
        <v>506</v>
      </c>
      <c r="H20" s="444"/>
      <c r="I20" s="444"/>
      <c r="J20" s="444"/>
      <c r="K20" s="445"/>
      <c r="L20" s="2119"/>
      <c r="M20" s="2119"/>
      <c r="N20" s="2119"/>
    </row>
    <row r="21" spans="1:14" s="2119" customFormat="1" ht="13.5" customHeight="1">
      <c r="A21" s="1631" t="s">
        <v>1859</v>
      </c>
      <c r="B21" s="458" t="s">
        <v>493</v>
      </c>
      <c r="C21" s="467">
        <f ca="1">C22</f>
        <v>2227</v>
      </c>
      <c r="D21" s="464">
        <f ca="1">C23</f>
        <v>1E-3</v>
      </c>
      <c r="E21" s="466" t="s">
        <v>507</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2458</v>
      </c>
    </row>
    <row r="22" spans="1:14" s="2118" customFormat="1" ht="13.5" customHeight="1">
      <c r="A22" s="1630" t="s">
        <v>1849</v>
      </c>
      <c r="B22" s="1324" t="s">
        <v>2439</v>
      </c>
      <c r="C22" s="484">
        <f ca="1">ROUND(IF('数据-取费表'!B22&lt;=1,(C18+C19)*F21*'数据-取费表'!B20/2,(C18+C19)*(POWER((1+F21),'数据-取费表'!B20/2)-1)),0)</f>
        <v>2227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1850</v>
      </c>
      <c r="B23" s="1324" t="s">
        <v>508</v>
      </c>
      <c r="C23" s="485">
        <f ca="1">ROUND(IF('数据-取费表'!B22&lt;=1,F20*F21*'数据-取费表'!B20/2,F20*(POWER((1+F21),'数据-取费表'!B20/2)-1)),4)</f>
        <v>1E-3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1860</v>
      </c>
      <c r="B24" s="3055" t="s">
        <v>2840</v>
      </c>
      <c r="C24" s="475">
        <f ca="1">C25</f>
        <v>6564</v>
      </c>
      <c r="D24" s="486">
        <f ca="1">C26</f>
        <v>2.8E-3</v>
      </c>
      <c r="E24" s="466" t="s">
        <v>507</v>
      </c>
      <c r="F24" s="476">
        <f ca="1">IF(B1="",'数据-取费表'!Q16,INDIRECT("'数据-取费表'!q"&amp;$K$1))</f>
        <v>0.14000000000000001</v>
      </c>
      <c r="G24" s="441"/>
      <c r="H24" s="444"/>
      <c r="I24" s="444"/>
      <c r="J24" s="444"/>
      <c r="K24" s="445"/>
    </row>
    <row r="25" spans="1:14" s="2118" customFormat="1" ht="13.5" customHeight="1">
      <c r="A25" s="1630" t="s">
        <v>1849</v>
      </c>
      <c r="B25" s="1324" t="s">
        <v>2440</v>
      </c>
      <c r="C25" s="487">
        <f ca="1">ROUND((C18+C19)*F24,0)</f>
        <v>6564</v>
      </c>
      <c r="D25" s="469"/>
      <c r="E25" s="470"/>
      <c r="F25" s="477"/>
      <c r="G25" s="1322" t="s">
        <v>2437</v>
      </c>
      <c r="H25" s="454"/>
      <c r="I25" s="454"/>
      <c r="J25" s="454"/>
      <c r="K25" s="455"/>
    </row>
    <row r="26" spans="1:14" s="2118" customFormat="1" ht="13.5" customHeight="1">
      <c r="A26" s="1630" t="s">
        <v>1850</v>
      </c>
      <c r="B26" s="1324" t="s">
        <v>509</v>
      </c>
      <c r="C26" s="488">
        <f ca="1">ROUND(F20*F24,4)</f>
        <v>2.8E-3</v>
      </c>
      <c r="D26" s="469"/>
      <c r="E26" s="478"/>
      <c r="F26" s="477"/>
      <c r="G26" s="1322" t="s">
        <v>510</v>
      </c>
      <c r="H26" s="454"/>
      <c r="I26" s="454"/>
      <c r="J26" s="454"/>
      <c r="K26" s="455"/>
    </row>
    <row r="27" spans="1:14" s="2118" customFormat="1" ht="13.5" customHeight="1">
      <c r="A27" s="1634" t="s">
        <v>1868</v>
      </c>
      <c r="B27" s="456" t="s">
        <v>511</v>
      </c>
      <c r="C27" s="3054">
        <f>ROUND(F27/(1+'数据-取费表'!C42),4)</f>
        <v>5.33E-2</v>
      </c>
      <c r="D27" s="459" t="s">
        <v>2838</v>
      </c>
      <c r="E27" s="459"/>
      <c r="F27" s="463">
        <f>'数据-取费表'!B41</f>
        <v>5.6000000000000001E-2</v>
      </c>
      <c r="G27" s="1958" t="s">
        <v>2294</v>
      </c>
      <c r="H27" s="444"/>
      <c r="I27" s="444"/>
      <c r="J27" s="444"/>
      <c r="K27" s="445"/>
    </row>
    <row r="28" spans="1:14" s="2119" customFormat="1" ht="13.5" customHeight="1">
      <c r="A28" s="1634" t="s">
        <v>1869</v>
      </c>
      <c r="B28" s="473" t="s">
        <v>512</v>
      </c>
      <c r="C28" s="467">
        <f ca="1">ROUND((C18+C19+C21+C24)/(1-C20-D21-D24-C27),0)</f>
        <v>60332</v>
      </c>
      <c r="D28" s="474"/>
      <c r="E28" s="466"/>
      <c r="F28" s="468"/>
      <c r="G28" s="1323" t="s">
        <v>2438</v>
      </c>
      <c r="H28" s="444"/>
      <c r="I28" s="444"/>
      <c r="J28" s="444"/>
      <c r="K28" s="445"/>
    </row>
    <row r="29" spans="1:14" s="2119" customFormat="1" ht="13.5" customHeight="1">
      <c r="A29" s="1634" t="s">
        <v>1870</v>
      </c>
      <c r="B29" s="473" t="s">
        <v>513</v>
      </c>
      <c r="C29" s="489">
        <f ca="1">IF(B1="",'数据-取费表'!N16,INDIRECT("'数据-取费表'!N"&amp;$K$1))</f>
        <v>0</v>
      </c>
      <c r="D29" s="490"/>
      <c r="E29" s="491"/>
      <c r="F29" s="492"/>
      <c r="G29" s="441"/>
      <c r="H29" s="444"/>
      <c r="I29" s="444"/>
      <c r="J29" s="444"/>
      <c r="K29" s="445"/>
    </row>
    <row r="30" spans="1:14" s="2119" customFormat="1" ht="13.5" customHeight="1">
      <c r="A30" s="440">
        <v>2</v>
      </c>
      <c r="B30" s="473" t="s">
        <v>514</v>
      </c>
      <c r="C30" s="494">
        <f ca="1">ROUND(C28*C29,0)</f>
        <v>0</v>
      </c>
      <c r="D30" s="490"/>
      <c r="E30" s="495"/>
      <c r="F30" s="496"/>
      <c r="G30" s="1325" t="s">
        <v>515</v>
      </c>
      <c r="H30" s="493"/>
      <c r="I30" s="493"/>
      <c r="J30" s="444"/>
      <c r="K30" s="445"/>
    </row>
    <row r="31" spans="1:14" s="2124" customFormat="1" ht="13.5" customHeight="1">
      <c r="A31" s="2504" t="s">
        <v>1866</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5" t="s">
        <v>2459</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466</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1686</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520</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468</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521</v>
      </c>
      <c r="B6" s="510"/>
      <c r="C6" s="3389" t="s">
        <v>522</v>
      </c>
      <c r="D6" s="3390"/>
      <c r="E6" s="3414" t="s">
        <v>523</v>
      </c>
      <c r="F6" s="3415"/>
      <c r="G6" s="3389" t="s">
        <v>524</v>
      </c>
      <c r="H6" s="3390"/>
      <c r="I6" s="3389" t="s">
        <v>525</v>
      </c>
      <c r="J6" s="3390"/>
      <c r="K6" s="511" t="s">
        <v>526</v>
      </c>
      <c r="L6" s="2131"/>
      <c r="M6" s="2132"/>
      <c r="N6" s="2132"/>
      <c r="O6" s="2132"/>
      <c r="P6" s="3391" t="s">
        <v>527</v>
      </c>
      <c r="Q6" s="3392"/>
      <c r="R6" s="3377" t="s">
        <v>523</v>
      </c>
      <c r="S6" s="3378"/>
      <c r="T6" s="3377" t="s">
        <v>524</v>
      </c>
      <c r="U6" s="3378"/>
      <c r="V6" s="3397" t="s">
        <v>525</v>
      </c>
      <c r="W6" s="3397"/>
      <c r="X6" s="1564"/>
      <c r="Y6" s="3377" t="s">
        <v>527</v>
      </c>
      <c r="Z6" s="3378"/>
      <c r="AA6" s="3372" t="s">
        <v>523</v>
      </c>
      <c r="AB6" s="3373" t="s">
        <v>524</v>
      </c>
      <c r="AC6" s="3372" t="s">
        <v>525</v>
      </c>
    </row>
    <row r="7" spans="1:29" ht="15">
      <c r="A7" s="512"/>
      <c r="B7" s="513"/>
      <c r="C7" s="3400" t="s">
        <v>2939</v>
      </c>
      <c r="D7" s="3401"/>
      <c r="E7" s="3416" t="s">
        <v>2940</v>
      </c>
      <c r="F7" s="3417"/>
      <c r="G7" s="3400" t="s">
        <v>2941</v>
      </c>
      <c r="H7" s="3401"/>
      <c r="I7" s="3400" t="s">
        <v>2942</v>
      </c>
      <c r="J7" s="3401"/>
      <c r="K7" s="511"/>
      <c r="L7" s="2131"/>
      <c r="M7" s="2132"/>
      <c r="N7" s="2132"/>
      <c r="O7" s="2132"/>
      <c r="P7" s="3393"/>
      <c r="Q7" s="3394"/>
      <c r="R7" s="3379"/>
      <c r="S7" s="3380"/>
      <c r="T7" s="3379"/>
      <c r="U7" s="3380"/>
      <c r="V7" s="3397"/>
      <c r="W7" s="3397"/>
      <c r="X7" s="1564"/>
      <c r="Y7" s="3379"/>
      <c r="Z7" s="3380"/>
      <c r="AA7" s="3373"/>
      <c r="AB7" s="3373"/>
      <c r="AC7" s="3373"/>
    </row>
    <row r="8" spans="1:29" ht="15.75" thickBot="1">
      <c r="A8" s="514"/>
      <c r="B8" s="515"/>
      <c r="C8" s="3418" t="s">
        <v>2943</v>
      </c>
      <c r="D8" s="3399"/>
      <c r="E8" s="3419" t="s">
        <v>2943</v>
      </c>
      <c r="F8" s="3420"/>
      <c r="G8" s="3418" t="s">
        <v>2943</v>
      </c>
      <c r="H8" s="3399"/>
      <c r="I8" s="3418" t="s">
        <v>2943</v>
      </c>
      <c r="J8" s="3399"/>
      <c r="K8" s="511" t="s">
        <v>528</v>
      </c>
      <c r="L8" s="2131"/>
      <c r="M8" s="2132"/>
      <c r="N8" s="2132"/>
      <c r="O8" s="2132"/>
      <c r="P8" s="3395"/>
      <c r="Q8" s="3396"/>
      <c r="R8" s="3379"/>
      <c r="S8" s="3380"/>
      <c r="T8" s="3381"/>
      <c r="U8" s="3382"/>
      <c r="V8" s="3397"/>
      <c r="W8" s="3397"/>
      <c r="X8" s="1564"/>
      <c r="Y8" s="3381"/>
      <c r="Z8" s="3382"/>
      <c r="AA8" s="3374"/>
      <c r="AB8" s="3374"/>
      <c r="AC8" s="3374"/>
    </row>
    <row r="9" spans="1:29" s="1216" customFormat="1" ht="15.75" thickBot="1">
      <c r="A9" s="2935"/>
      <c r="B9" s="2942" t="s">
        <v>529</v>
      </c>
      <c r="C9" s="516">
        <f>'数据-取费表'!B2</f>
        <v>43104</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375" t="s">
        <v>530</v>
      </c>
      <c r="Q9" s="3384"/>
      <c r="R9" s="1565" t="s">
        <v>8</v>
      </c>
      <c r="S9" s="1566">
        <f t="shared" ref="S9:S17" si="0">F9</f>
        <v>0</v>
      </c>
      <c r="T9" s="1565" t="s">
        <v>8</v>
      </c>
      <c r="U9" s="1566">
        <f t="shared" ref="U9:U17" si="1">H9</f>
        <v>0</v>
      </c>
      <c r="V9" s="1565" t="s">
        <v>8</v>
      </c>
      <c r="W9" s="1566">
        <f t="shared" ref="W9:W17" si="2">J9</f>
        <v>0</v>
      </c>
      <c r="X9" s="1567"/>
      <c r="Y9" s="3375" t="s">
        <v>530</v>
      </c>
      <c r="Z9" s="3376"/>
      <c r="AA9" s="1568" t="e">
        <f>D9/F9</f>
        <v>#DIV/0!</v>
      </c>
      <c r="AB9" s="1568" t="e">
        <f>D9/H9</f>
        <v>#DIV/0!</v>
      </c>
      <c r="AC9" s="1568" t="e">
        <f>D9/J9</f>
        <v>#DIV/0!</v>
      </c>
    </row>
    <row r="10" spans="1:29" s="1216" customFormat="1" ht="15.75" thickBot="1">
      <c r="A10" s="2936"/>
      <c r="B10" s="294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375" t="s">
        <v>533</v>
      </c>
      <c r="Q10" s="3376"/>
      <c r="R10" s="1565" t="s">
        <v>8</v>
      </c>
      <c r="S10" s="1566">
        <f t="shared" si="0"/>
        <v>0</v>
      </c>
      <c r="T10" s="1565" t="s">
        <v>8</v>
      </c>
      <c r="U10" s="1566">
        <f t="shared" si="1"/>
        <v>0</v>
      </c>
      <c r="V10" s="1565" t="s">
        <v>8</v>
      </c>
      <c r="W10" s="1566">
        <f t="shared" si="2"/>
        <v>0</v>
      </c>
      <c r="X10" s="1567"/>
      <c r="Y10" s="3375" t="s">
        <v>533</v>
      </c>
      <c r="Z10" s="3376"/>
      <c r="AA10" s="1568" t="e">
        <f t="shared" ref="AA10:AA42" si="3">D10/F10</f>
        <v>#DIV/0!</v>
      </c>
      <c r="AB10" s="1568" t="e">
        <f t="shared" ref="AB10:AB42" si="4">D10/H10</f>
        <v>#DIV/0!</v>
      </c>
      <c r="AC10" s="1568" t="e">
        <f t="shared" ref="AC10:AC42" si="5">D10/J10</f>
        <v>#DIV/0!</v>
      </c>
    </row>
    <row r="11" spans="1:29" s="1216" customFormat="1" ht="15">
      <c r="A11" s="2937"/>
      <c r="B11" s="2944" t="s">
        <v>2764</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83" t="s">
        <v>535</v>
      </c>
      <c r="Q11" s="1147" t="str">
        <f t="shared" ref="Q11:Q17" si="6">B11</f>
        <v>用途</v>
      </c>
      <c r="R11" s="1565" t="s">
        <v>8</v>
      </c>
      <c r="S11" s="1566">
        <f t="shared" si="0"/>
        <v>100</v>
      </c>
      <c r="T11" s="1565" t="s">
        <v>8</v>
      </c>
      <c r="U11" s="1566">
        <f t="shared" si="1"/>
        <v>100</v>
      </c>
      <c r="V11" s="1565" t="s">
        <v>8</v>
      </c>
      <c r="W11" s="1566">
        <f t="shared" si="2"/>
        <v>100</v>
      </c>
      <c r="X11" s="1567"/>
      <c r="Y11" s="3340" t="s">
        <v>536</v>
      </c>
      <c r="Z11" s="1146" t="str">
        <f t="shared" ref="Z11:Z17" si="7">Q11</f>
        <v>用途</v>
      </c>
      <c r="AA11" s="1568">
        <f t="shared" si="3"/>
        <v>1</v>
      </c>
      <c r="AB11" s="1568">
        <f t="shared" si="4"/>
        <v>1</v>
      </c>
      <c r="AC11" s="1568">
        <f t="shared" si="5"/>
        <v>1</v>
      </c>
    </row>
    <row r="12" spans="1:29" s="1334" customFormat="1" ht="27">
      <c r="A12" s="2938"/>
      <c r="B12" s="2943" t="s">
        <v>2765</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83"/>
      <c r="Q12" s="1147" t="str">
        <f t="shared" si="6"/>
        <v>土地使用年限（年）</v>
      </c>
      <c r="R12" s="1565" t="s">
        <v>8</v>
      </c>
      <c r="S12" s="1566">
        <f t="shared" si="0"/>
        <v>100</v>
      </c>
      <c r="T12" s="1565" t="s">
        <v>8</v>
      </c>
      <c r="U12" s="1566">
        <f t="shared" si="1"/>
        <v>100</v>
      </c>
      <c r="V12" s="1565" t="s">
        <v>8</v>
      </c>
      <c r="W12" s="1566">
        <f t="shared" si="2"/>
        <v>100</v>
      </c>
      <c r="X12" s="1567"/>
      <c r="Y12" s="3340"/>
      <c r="Z12" s="1146" t="str">
        <f t="shared" si="7"/>
        <v>土地使用年限（年）</v>
      </c>
      <c r="AA12" s="1568">
        <f t="shared" si="3"/>
        <v>1</v>
      </c>
      <c r="AB12" s="1568">
        <f t="shared" si="4"/>
        <v>1</v>
      </c>
      <c r="AC12" s="1568">
        <f t="shared" si="5"/>
        <v>1</v>
      </c>
    </row>
    <row r="13" spans="1:29" ht="15">
      <c r="A13" s="2939"/>
      <c r="B13" s="2943" t="s">
        <v>2766</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83"/>
      <c r="Q13" s="1147" t="str">
        <f t="shared" si="6"/>
        <v>容积率</v>
      </c>
      <c r="R13" s="1565" t="s">
        <v>8</v>
      </c>
      <c r="S13" s="1566" t="e">
        <f t="shared" si="0"/>
        <v>#N/A</v>
      </c>
      <c r="T13" s="1565" t="s">
        <v>8</v>
      </c>
      <c r="U13" s="1566" t="e">
        <f t="shared" si="1"/>
        <v>#N/A</v>
      </c>
      <c r="V13" s="1565" t="s">
        <v>8</v>
      </c>
      <c r="W13" s="1566" t="e">
        <f t="shared" si="2"/>
        <v>#N/A</v>
      </c>
      <c r="X13" s="1567"/>
      <c r="Y13" s="3340"/>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83"/>
      <c r="Q15" s="1147">
        <f t="shared" si="6"/>
        <v>111</v>
      </c>
      <c r="R15" s="1565" t="s">
        <v>8</v>
      </c>
      <c r="S15" s="1566">
        <f t="shared" si="0"/>
        <v>100</v>
      </c>
      <c r="T15" s="1565" t="s">
        <v>8</v>
      </c>
      <c r="U15" s="1566">
        <f t="shared" si="1"/>
        <v>100</v>
      </c>
      <c r="V15" s="1565" t="s">
        <v>8</v>
      </c>
      <c r="W15" s="1566">
        <f t="shared" si="2"/>
        <v>100</v>
      </c>
      <c r="X15" s="1567"/>
      <c r="Y15" s="3340"/>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83"/>
      <c r="Q16" s="1147">
        <f t="shared" si="6"/>
        <v>111</v>
      </c>
      <c r="R16" s="1565" t="s">
        <v>8</v>
      </c>
      <c r="S16" s="1566">
        <f t="shared" si="0"/>
        <v>100</v>
      </c>
      <c r="T16" s="1565" t="s">
        <v>8</v>
      </c>
      <c r="U16" s="1566">
        <f t="shared" si="1"/>
        <v>100</v>
      </c>
      <c r="V16" s="1565" t="s">
        <v>8</v>
      </c>
      <c r="W16" s="1566">
        <f t="shared" si="2"/>
        <v>100</v>
      </c>
      <c r="X16" s="1567"/>
      <c r="Y16" s="3340"/>
      <c r="Z16" s="1146">
        <f t="shared" si="7"/>
        <v>111</v>
      </c>
      <c r="AA16" s="1568">
        <f t="shared" si="3"/>
        <v>1</v>
      </c>
      <c r="AB16" s="1568">
        <f t="shared" si="4"/>
        <v>1</v>
      </c>
      <c r="AC16" s="1568">
        <f t="shared" si="5"/>
        <v>1</v>
      </c>
    </row>
    <row r="17" spans="1:29" ht="57">
      <c r="A17" s="2933" t="s">
        <v>2762</v>
      </c>
      <c r="B17" s="166"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385" t="s">
        <v>540</v>
      </c>
      <c r="Q17" s="1569" t="str">
        <f t="shared" si="6"/>
        <v>产业集聚程度</v>
      </c>
      <c r="R17" s="1570" t="s">
        <v>8</v>
      </c>
      <c r="S17" s="1571">
        <f t="shared" si="0"/>
        <v>100</v>
      </c>
      <c r="T17" s="1570" t="s">
        <v>8</v>
      </c>
      <c r="U17" s="1571">
        <f t="shared" si="1"/>
        <v>100</v>
      </c>
      <c r="V17" s="1570" t="s">
        <v>8</v>
      </c>
      <c r="W17" s="1571">
        <f t="shared" si="2"/>
        <v>100</v>
      </c>
      <c r="X17" s="1564"/>
      <c r="Y17" s="3385"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386"/>
      <c r="Q18" s="1569"/>
      <c r="R18" s="1570"/>
      <c r="S18" s="1571"/>
      <c r="T18" s="1570"/>
      <c r="U18" s="1571"/>
      <c r="V18" s="1570"/>
      <c r="W18" s="1571"/>
      <c r="X18" s="1564"/>
      <c r="Y18" s="3386"/>
      <c r="Z18" s="1572"/>
      <c r="AA18" s="1573">
        <v>1</v>
      </c>
      <c r="AB18" s="1573">
        <v>1</v>
      </c>
      <c r="AC18" s="1573">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386"/>
      <c r="Q19" s="1569" t="str">
        <f>B19</f>
        <v>交通便捷度</v>
      </c>
      <c r="R19" s="1570" t="s">
        <v>8</v>
      </c>
      <c r="S19" s="1571">
        <f>F19</f>
        <v>100</v>
      </c>
      <c r="T19" s="1570" t="s">
        <v>8</v>
      </c>
      <c r="U19" s="1571">
        <f>H19</f>
        <v>100</v>
      </c>
      <c r="V19" s="1570" t="s">
        <v>8</v>
      </c>
      <c r="W19" s="1571">
        <f>J19</f>
        <v>100</v>
      </c>
      <c r="X19" s="1564"/>
      <c r="Y19" s="338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386"/>
      <c r="Q21" s="1569" t="str">
        <f t="shared" ref="Q21:Q35" si="8">B21</f>
        <v>区域土地利用方向</v>
      </c>
      <c r="R21" s="1570" t="s">
        <v>8</v>
      </c>
      <c r="S21" s="1571">
        <f>F21</f>
        <v>100</v>
      </c>
      <c r="T21" s="1570" t="s">
        <v>8</v>
      </c>
      <c r="U21" s="1571">
        <f>H21</f>
        <v>100</v>
      </c>
      <c r="V21" s="1570" t="s">
        <v>8</v>
      </c>
      <c r="W21" s="1571">
        <f>J21</f>
        <v>100</v>
      </c>
      <c r="X21" s="1564"/>
      <c r="Y21" s="338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386"/>
      <c r="Q22" s="1569"/>
      <c r="R22" s="1570"/>
      <c r="S22" s="1571"/>
      <c r="T22" s="1570"/>
      <c r="U22" s="1571"/>
      <c r="V22" s="1570"/>
      <c r="W22" s="1571"/>
      <c r="X22" s="1564"/>
      <c r="Y22" s="3386"/>
      <c r="Z22" s="1572"/>
      <c r="AA22" s="1573"/>
      <c r="AB22" s="1573"/>
      <c r="AC22" s="1573"/>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386"/>
      <c r="Q23" s="1569" t="str">
        <f t="shared" si="8"/>
        <v>环境状况</v>
      </c>
      <c r="R23" s="1570" t="s">
        <v>8</v>
      </c>
      <c r="S23" s="1571">
        <f>F23</f>
        <v>100</v>
      </c>
      <c r="T23" s="1570" t="s">
        <v>8</v>
      </c>
      <c r="U23" s="1571">
        <f>H23</f>
        <v>100</v>
      </c>
      <c r="V23" s="1570" t="s">
        <v>8</v>
      </c>
      <c r="W23" s="1571">
        <f>J23</f>
        <v>100</v>
      </c>
      <c r="X23" s="1564"/>
      <c r="Y23" s="338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386"/>
      <c r="Q24" s="1569"/>
      <c r="R24" s="1570"/>
      <c r="S24" s="1571"/>
      <c r="T24" s="1570"/>
      <c r="U24" s="1571"/>
      <c r="V24" s="1570"/>
      <c r="W24" s="1571"/>
      <c r="X24" s="1564"/>
      <c r="Y24" s="3386"/>
      <c r="Z24" s="1572"/>
      <c r="AA24" s="1573">
        <v>1</v>
      </c>
      <c r="AB24" s="1573">
        <v>1</v>
      </c>
      <c r="AC24" s="1573">
        <v>1</v>
      </c>
    </row>
    <row r="25" spans="1:29" s="1216" customFormat="1" ht="42.75">
      <c r="A25" s="574"/>
      <c r="B25" s="2615" t="s">
        <v>2554</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386"/>
      <c r="Q25" s="1147" t="str">
        <f t="shared" si="8"/>
        <v>公共配套设施</v>
      </c>
      <c r="R25" s="1565" t="s">
        <v>8</v>
      </c>
      <c r="S25" s="1566">
        <f>F25</f>
        <v>100</v>
      </c>
      <c r="T25" s="1565" t="s">
        <v>8</v>
      </c>
      <c r="U25" s="1566">
        <f>H25</f>
        <v>100</v>
      </c>
      <c r="V25" s="1565" t="s">
        <v>8</v>
      </c>
      <c r="W25" s="1566">
        <f>J25</f>
        <v>100</v>
      </c>
      <c r="X25" s="1567"/>
      <c r="Y25" s="338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386"/>
      <c r="Q26" s="1147"/>
      <c r="R26" s="1565"/>
      <c r="S26" s="1566"/>
      <c r="T26" s="1565"/>
      <c r="U26" s="1566"/>
      <c r="V26" s="1565"/>
      <c r="W26" s="1566"/>
      <c r="X26" s="1567"/>
      <c r="Y26" s="3386"/>
      <c r="Z26" s="1146"/>
      <c r="AA26" s="1568">
        <v>1</v>
      </c>
      <c r="AB26" s="1568">
        <v>1</v>
      </c>
      <c r="AC26" s="1568">
        <v>1</v>
      </c>
    </row>
    <row r="27" spans="1:29" s="1216" customFormat="1" ht="28.5">
      <c r="A27" s="574"/>
      <c r="B27" s="2615" t="s">
        <v>2555</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386"/>
      <c r="Q27" s="2600" t="str">
        <f t="shared" ref="Q27" si="9">B27</f>
        <v>基础设施水平</v>
      </c>
      <c r="R27" s="1565" t="s">
        <v>8</v>
      </c>
      <c r="S27" s="1566">
        <f>F27</f>
        <v>100</v>
      </c>
      <c r="T27" s="1565" t="s">
        <v>8</v>
      </c>
      <c r="U27" s="1566">
        <f>H27</f>
        <v>100</v>
      </c>
      <c r="V27" s="1565" t="s">
        <v>8</v>
      </c>
      <c r="W27" s="1566">
        <f>J27</f>
        <v>100</v>
      </c>
      <c r="X27" s="1567"/>
      <c r="Y27" s="338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386"/>
      <c r="Q28" s="2600"/>
      <c r="R28" s="1565"/>
      <c r="S28" s="1566"/>
      <c r="T28" s="1565"/>
      <c r="U28" s="1566"/>
      <c r="V28" s="1565"/>
      <c r="W28" s="1566"/>
      <c r="X28" s="1567"/>
      <c r="Y28" s="3386"/>
      <c r="Z28" s="2597"/>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38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6"/>
      <c r="Z29" s="1572" t="str">
        <f t="shared" ref="Z29:Z42" si="13">Q29</f>
        <v>临街状况</v>
      </c>
      <c r="AA29" s="1573">
        <f t="shared" si="3"/>
        <v>1</v>
      </c>
      <c r="AB29" s="1573">
        <f t="shared" si="4"/>
        <v>1</v>
      </c>
      <c r="AC29" s="1573">
        <f t="shared" si="5"/>
        <v>1</v>
      </c>
    </row>
    <row r="30" spans="1:29" ht="27">
      <c r="A30" s="529"/>
      <c r="B30" s="918" t="s">
        <v>548</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386"/>
      <c r="Q30" s="1569" t="str">
        <f t="shared" si="8"/>
        <v>毗邻道路的类型与等级</v>
      </c>
      <c r="R30" s="1570" t="s">
        <v>8</v>
      </c>
      <c r="S30" s="1571">
        <f t="shared" si="10"/>
        <v>100</v>
      </c>
      <c r="T30" s="1570" t="s">
        <v>8</v>
      </c>
      <c r="U30" s="1571">
        <f t="shared" si="11"/>
        <v>100</v>
      </c>
      <c r="V30" s="1570" t="s">
        <v>8</v>
      </c>
      <c r="W30" s="1571">
        <f t="shared" si="12"/>
        <v>100</v>
      </c>
      <c r="X30" s="1564"/>
      <c r="Y30" s="338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386"/>
      <c r="Q31" s="1569"/>
      <c r="R31" s="1570"/>
      <c r="S31" s="1571"/>
      <c r="T31" s="1570"/>
      <c r="U31" s="1571"/>
      <c r="V31" s="1570"/>
      <c r="W31" s="1571"/>
      <c r="X31" s="1564"/>
      <c r="Y31" s="3386"/>
      <c r="Z31" s="1572"/>
      <c r="AA31" s="1573">
        <v>1</v>
      </c>
      <c r="AB31" s="1573">
        <v>1</v>
      </c>
      <c r="AC31" s="1573">
        <v>1</v>
      </c>
    </row>
    <row r="32" spans="1:29" ht="15">
      <c r="A32" s="529"/>
      <c r="B32" s="524" t="s">
        <v>549</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386"/>
      <c r="Q32" s="1569" t="str">
        <f t="shared" si="8"/>
        <v>土地级别</v>
      </c>
      <c r="R32" s="1570" t="s">
        <v>8</v>
      </c>
      <c r="S32" s="1571">
        <f t="shared" si="10"/>
        <v>100</v>
      </c>
      <c r="T32" s="1570" t="s">
        <v>8</v>
      </c>
      <c r="U32" s="1571">
        <f t="shared" si="11"/>
        <v>100</v>
      </c>
      <c r="V32" s="1570" t="s">
        <v>8</v>
      </c>
      <c r="W32" s="1571">
        <f t="shared" si="12"/>
        <v>100</v>
      </c>
      <c r="X32" s="1564"/>
      <c r="Y32" s="338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386"/>
      <c r="Q33" s="1569">
        <f t="shared" si="8"/>
        <v>111</v>
      </c>
      <c r="R33" s="1570" t="s">
        <v>8</v>
      </c>
      <c r="S33" s="1571">
        <f t="shared" si="10"/>
        <v>100</v>
      </c>
      <c r="T33" s="1570" t="s">
        <v>8</v>
      </c>
      <c r="U33" s="1571">
        <f t="shared" si="11"/>
        <v>100</v>
      </c>
      <c r="V33" s="1570" t="s">
        <v>8</v>
      </c>
      <c r="W33" s="1571">
        <f t="shared" si="12"/>
        <v>100</v>
      </c>
      <c r="X33" s="1564"/>
      <c r="Y33" s="338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387" t="s">
        <v>550</v>
      </c>
      <c r="Q34" s="1569">
        <f t="shared" si="8"/>
        <v>111</v>
      </c>
      <c r="R34" s="1570" t="s">
        <v>8</v>
      </c>
      <c r="S34" s="1571">
        <f t="shared" si="10"/>
        <v>100</v>
      </c>
      <c r="T34" s="1570" t="s">
        <v>8</v>
      </c>
      <c r="U34" s="1571">
        <f t="shared" si="11"/>
        <v>100</v>
      </c>
      <c r="V34" s="1570" t="s">
        <v>8</v>
      </c>
      <c r="W34" s="1571">
        <f t="shared" si="12"/>
        <v>100</v>
      </c>
      <c r="X34" s="1564"/>
      <c r="Y34" s="3388" t="s">
        <v>550</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388"/>
      <c r="Q35" s="1569">
        <f t="shared" si="8"/>
        <v>111</v>
      </c>
      <c r="R35" s="1574" t="s">
        <v>8</v>
      </c>
      <c r="S35" s="1575">
        <f t="shared" si="10"/>
        <v>100</v>
      </c>
      <c r="T35" s="1574" t="s">
        <v>8</v>
      </c>
      <c r="U35" s="1575">
        <f t="shared" si="11"/>
        <v>100</v>
      </c>
      <c r="V35" s="1574" t="s">
        <v>8</v>
      </c>
      <c r="W35" s="1575">
        <f t="shared" si="12"/>
        <v>100</v>
      </c>
      <c r="X35" s="1576"/>
      <c r="Y35" s="3388"/>
      <c r="Z35" s="1577">
        <f t="shared" si="13"/>
        <v>111</v>
      </c>
      <c r="AA35" s="1573">
        <f t="shared" si="3"/>
        <v>1</v>
      </c>
      <c r="AB35" s="1573">
        <f t="shared" si="4"/>
        <v>1</v>
      </c>
      <c r="AC35" s="1573">
        <f t="shared" si="5"/>
        <v>1</v>
      </c>
    </row>
    <row r="36" spans="1:29" ht="15">
      <c r="A36" s="2931" t="s">
        <v>2763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388"/>
      <c r="Q36" s="1569" t="str">
        <f>B36</f>
        <v>宗地面积</v>
      </c>
      <c r="R36" s="1570" t="s">
        <v>8</v>
      </c>
      <c r="S36" s="1571" t="e">
        <f t="shared" si="10"/>
        <v>#N/A</v>
      </c>
      <c r="T36" s="1570" t="s">
        <v>8</v>
      </c>
      <c r="U36" s="1571" t="e">
        <f t="shared" si="11"/>
        <v>#N/A</v>
      </c>
      <c r="V36" s="1570" t="s">
        <v>8</v>
      </c>
      <c r="W36" s="1571" t="e">
        <f t="shared" si="12"/>
        <v>#N/A</v>
      </c>
      <c r="X36" s="1564"/>
      <c r="Y36" s="3388"/>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388"/>
      <c r="Q37" s="1569" t="str">
        <f t="shared" ref="Q37:Q42" si="14">B37</f>
        <v>宗地形状</v>
      </c>
      <c r="R37" s="1570" t="s">
        <v>8</v>
      </c>
      <c r="S37" s="1571">
        <f t="shared" si="10"/>
        <v>100</v>
      </c>
      <c r="T37" s="1570" t="s">
        <v>8</v>
      </c>
      <c r="U37" s="1571">
        <f t="shared" si="11"/>
        <v>100</v>
      </c>
      <c r="V37" s="1570" t="s">
        <v>8</v>
      </c>
      <c r="W37" s="1571">
        <f t="shared" si="12"/>
        <v>100</v>
      </c>
      <c r="X37" s="1564"/>
      <c r="Y37" s="3388"/>
      <c r="Z37" s="1572" t="str">
        <f t="shared" si="13"/>
        <v>宗地形状</v>
      </c>
      <c r="AA37" s="1573">
        <f t="shared" si="3"/>
        <v>1</v>
      </c>
      <c r="AB37" s="1573">
        <f t="shared" si="4"/>
        <v>1</v>
      </c>
      <c r="AC37" s="1573">
        <f t="shared" si="5"/>
        <v>1</v>
      </c>
    </row>
    <row r="38" spans="1:29" s="1216" customFormat="1" ht="15">
      <c r="A38" s="597"/>
      <c r="B38" s="1893" t="s">
        <v>2428</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388"/>
      <c r="Q38" s="1569" t="str">
        <f t="shared" si="14"/>
        <v>宗地开发程度</v>
      </c>
      <c r="R38" s="1565" t="s">
        <v>8</v>
      </c>
      <c r="S38" s="1566">
        <f t="shared" si="10"/>
        <v>100</v>
      </c>
      <c r="T38" s="1565" t="s">
        <v>8</v>
      </c>
      <c r="U38" s="1566">
        <f t="shared" si="11"/>
        <v>100</v>
      </c>
      <c r="V38" s="1565" t="s">
        <v>8</v>
      </c>
      <c r="W38" s="1566">
        <f t="shared" si="12"/>
        <v>100</v>
      </c>
      <c r="X38" s="1567"/>
      <c r="Y38" s="3388"/>
      <c r="Z38" s="1146"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8" t="s">
        <v>601</v>
      </c>
      <c r="Q39" s="1569" t="str">
        <f t="shared" si="14"/>
        <v>工程地质条件</v>
      </c>
      <c r="R39" s="1570" t="s">
        <v>8</v>
      </c>
      <c r="S39" s="1571">
        <f t="shared" si="10"/>
        <v>100</v>
      </c>
      <c r="T39" s="1570" t="s">
        <v>8</v>
      </c>
      <c r="U39" s="1571">
        <f t="shared" si="11"/>
        <v>100</v>
      </c>
      <c r="V39" s="1570" t="s">
        <v>8</v>
      </c>
      <c r="W39" s="1571">
        <f t="shared" si="12"/>
        <v>100</v>
      </c>
      <c r="X39" s="1564"/>
      <c r="Y39" s="3388"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388"/>
      <c r="Q40" s="1569">
        <f t="shared" si="14"/>
        <v>111</v>
      </c>
      <c r="R40" s="1570" t="s">
        <v>8</v>
      </c>
      <c r="S40" s="1571">
        <f t="shared" si="10"/>
        <v>100</v>
      </c>
      <c r="T40" s="1570" t="s">
        <v>8</v>
      </c>
      <c r="U40" s="1571">
        <f t="shared" si="11"/>
        <v>100</v>
      </c>
      <c r="V40" s="1570" t="s">
        <v>8</v>
      </c>
      <c r="W40" s="1571">
        <f t="shared" si="12"/>
        <v>100</v>
      </c>
      <c r="X40" s="1564"/>
      <c r="Y40" s="338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388"/>
      <c r="Q41" s="1569">
        <f t="shared" si="14"/>
        <v>111</v>
      </c>
      <c r="R41" s="1570" t="s">
        <v>8</v>
      </c>
      <c r="S41" s="1571">
        <f t="shared" si="10"/>
        <v>100</v>
      </c>
      <c r="T41" s="1570" t="s">
        <v>8</v>
      </c>
      <c r="U41" s="1571">
        <f t="shared" si="11"/>
        <v>100</v>
      </c>
      <c r="V41" s="1570" t="s">
        <v>8</v>
      </c>
      <c r="W41" s="1571">
        <f t="shared" si="12"/>
        <v>100</v>
      </c>
      <c r="X41" s="1564"/>
      <c r="Y41" s="338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388"/>
      <c r="Q42" s="1569">
        <f t="shared" si="14"/>
        <v>111</v>
      </c>
      <c r="R42" s="1574" t="s">
        <v>8</v>
      </c>
      <c r="S42" s="1575">
        <f t="shared" si="10"/>
        <v>100</v>
      </c>
      <c r="T42" s="1574" t="s">
        <v>8</v>
      </c>
      <c r="U42" s="1575">
        <f t="shared" si="11"/>
        <v>100</v>
      </c>
      <c r="V42" s="1574" t="s">
        <v>8</v>
      </c>
      <c r="W42" s="1575">
        <f t="shared" si="12"/>
        <v>100</v>
      </c>
      <c r="X42" s="1576"/>
      <c r="Y42" s="3388"/>
      <c r="Z42" s="1577">
        <f t="shared" si="13"/>
        <v>111</v>
      </c>
      <c r="AA42" s="1573">
        <f t="shared" si="3"/>
        <v>1</v>
      </c>
      <c r="AB42" s="1573">
        <f t="shared" si="4"/>
        <v>1</v>
      </c>
      <c r="AC42" s="1573">
        <f t="shared" si="5"/>
        <v>1</v>
      </c>
    </row>
    <row r="43" spans="1:29" ht="15">
      <c r="A43" s="604" t="s">
        <v>556</v>
      </c>
      <c r="B43" s="605" t="s">
        <v>2944</v>
      </c>
      <c r="C43" s="606" t="s">
        <v>1</v>
      </c>
      <c r="D43" s="607"/>
      <c r="E43" s="608"/>
      <c r="F43" s="609"/>
      <c r="G43" s="610"/>
      <c r="H43" s="611"/>
      <c r="I43" s="608"/>
      <c r="J43" s="611"/>
      <c r="K43" s="1336"/>
      <c r="L43" s="2142"/>
      <c r="M43" s="2132"/>
      <c r="N43" s="2132"/>
      <c r="O43" s="2143"/>
      <c r="P43" s="3383" t="str">
        <f>A43</f>
        <v>成交单价</v>
      </c>
      <c r="Q43" s="3383"/>
      <c r="R43" s="3397">
        <f>E43</f>
        <v>0</v>
      </c>
      <c r="S43" s="3397"/>
      <c r="T43" s="3397">
        <f>G43</f>
        <v>0</v>
      </c>
      <c r="U43" s="3397"/>
      <c r="V43" s="3397">
        <f>I43</f>
        <v>0</v>
      </c>
      <c r="W43" s="3397"/>
      <c r="X43" s="1556"/>
      <c r="Y43" s="1578"/>
      <c r="Z43" s="1556"/>
      <c r="AA43" s="1556"/>
      <c r="AB43" s="1556"/>
      <c r="AC43" s="1556"/>
    </row>
    <row r="44" spans="1:29" ht="15.75" thickBot="1">
      <c r="A44" s="612" t="s">
        <v>2701</v>
      </c>
      <c r="B44" s="613"/>
      <c r="C44" s="614" t="e">
        <f>R45</f>
        <v>#DIV/0!</v>
      </c>
      <c r="D44" s="615"/>
      <c r="E44" s="614" t="e">
        <f>R44</f>
        <v>#DIV/0!</v>
      </c>
      <c r="F44" s="616"/>
      <c r="G44" s="617" t="e">
        <f>T44</f>
        <v>#DIV/0!</v>
      </c>
      <c r="H44" s="615"/>
      <c r="I44" s="614" t="e">
        <f>V44</f>
        <v>#DIV/0!</v>
      </c>
      <c r="J44" s="615"/>
      <c r="K44" s="1337"/>
      <c r="L44" s="2142"/>
      <c r="M44" s="2132"/>
      <c r="N44" s="2132"/>
      <c r="O44" s="2143"/>
      <c r="P44" s="3383" t="str">
        <f>A44</f>
        <v>比较价格（元/平方米）</v>
      </c>
      <c r="Q44" s="3383"/>
      <c r="R44" s="3408" t="e">
        <f>ROUND(PRODUCT(R43,AA9:AA42),0)</f>
        <v>#DIV/0!</v>
      </c>
      <c r="S44" s="3408"/>
      <c r="T44" s="3408" t="e">
        <f>ROUND(PRODUCT(T43,AB9:AB42),0)</f>
        <v>#DIV/0!</v>
      </c>
      <c r="U44" s="3408"/>
      <c r="V44" s="3408" t="e">
        <f>ROUND(PRODUCT(V43,AC9:AC42),0)</f>
        <v>#DIV/0!</v>
      </c>
      <c r="W44" s="3408"/>
      <c r="X44" s="1556"/>
      <c r="Y44" s="1556"/>
      <c r="Z44" s="1556"/>
      <c r="AA44" s="1556"/>
      <c r="AB44" s="1556"/>
      <c r="AC44" s="1556"/>
    </row>
    <row r="45" spans="1:29" ht="15.75" thickBot="1">
      <c r="A45" s="618" t="s">
        <v>2945</v>
      </c>
      <c r="B45" s="619"/>
      <c r="C45" s="620" t="e">
        <f>R45</f>
        <v>#DIV/0!</v>
      </c>
      <c r="D45" s="620"/>
      <c r="E45" s="620"/>
      <c r="F45" s="620"/>
      <c r="G45" s="620"/>
      <c r="H45" s="620"/>
      <c r="I45" s="620"/>
      <c r="J45" s="620"/>
      <c r="K45" s="1338"/>
      <c r="L45" s="2142"/>
      <c r="M45" s="2132"/>
      <c r="N45" s="2132"/>
      <c r="O45" s="2143"/>
      <c r="P45" s="3405" t="str">
        <f>A45</f>
        <v>估价对象XX用房的比较价格（楼面单价，元/平方米）</v>
      </c>
      <c r="Q45" s="3406"/>
      <c r="R45" s="3407" t="e">
        <f>ROUND(AVERAGE(R44:V44),0)</f>
        <v>#DIV/0!</v>
      </c>
      <c r="S45" s="3407"/>
      <c r="T45" s="3407"/>
      <c r="U45" s="3407"/>
      <c r="V45" s="3407"/>
      <c r="W45" s="3407"/>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560</v>
      </c>
      <c r="B52" s="627" t="s">
        <v>561</v>
      </c>
      <c r="C52" s="1557" t="s">
        <v>1725</v>
      </c>
      <c r="D52" s="2225" t="s">
        <v>2296</v>
      </c>
      <c r="E52" s="628" t="s">
        <v>562</v>
      </c>
      <c r="F52" s="1949" t="s">
        <v>563</v>
      </c>
      <c r="G52" s="3409" t="s">
        <v>2287</v>
      </c>
      <c r="H52" s="3410"/>
      <c r="I52" s="1950" t="s">
        <v>1948</v>
      </c>
      <c r="J52" s="1552">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564</v>
      </c>
      <c r="B53" s="631" t="e">
        <f>C45</f>
        <v>#DIV/0!</v>
      </c>
      <c r="C53" s="632">
        <v>1</v>
      </c>
      <c r="D53" s="2226">
        <v>1</v>
      </c>
      <c r="E53" s="632">
        <f>'数据-汇总表'!E8+'数据-汇总表'!E9</f>
        <v>135065.77000000002</v>
      </c>
      <c r="F53" s="1948" t="e">
        <f t="shared" ref="F53:F62" si="15">ROUND(B53*E53/10000,0)</f>
        <v>#DIV/0!</v>
      </c>
      <c r="G53" s="3411"/>
      <c r="H53" s="3412"/>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565</v>
      </c>
      <c r="B54" s="635" t="e">
        <f>ROUND($C$45*C54*D54,0)</f>
        <v>#DIV/0!</v>
      </c>
      <c r="C54" s="375">
        <f t="shared" ref="C54:C62" si="16">IF($C$52="北京市系数",I54,J54)</f>
        <v>0</v>
      </c>
      <c r="D54" s="2227">
        <v>0.25</v>
      </c>
      <c r="E54" s="636"/>
      <c r="F54" s="1948" t="e">
        <f t="shared" si="15"/>
        <v>#DIV/0!</v>
      </c>
      <c r="G54" s="3413" t="s">
        <v>2288</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566</v>
      </c>
      <c r="B55" s="635" t="e">
        <f t="shared" ref="B55:B62" si="17">ROUND($C$45*C55*D55,0)</f>
        <v>#DIV/0!</v>
      </c>
      <c r="C55" s="375">
        <f t="shared" si="16"/>
        <v>0</v>
      </c>
      <c r="D55" s="2227">
        <v>0.25</v>
      </c>
      <c r="E55" s="636"/>
      <c r="F55" s="1948" t="e">
        <f t="shared" si="15"/>
        <v>#DIV/0!</v>
      </c>
      <c r="G55" s="3413"/>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567</v>
      </c>
      <c r="B56" s="635" t="e">
        <f t="shared" si="17"/>
        <v>#DIV/0!</v>
      </c>
      <c r="C56" s="375">
        <f t="shared" si="16"/>
        <v>0</v>
      </c>
      <c r="D56" s="2227">
        <v>0.25</v>
      </c>
      <c r="E56" s="636"/>
      <c r="F56" s="1948" t="e">
        <f t="shared" si="15"/>
        <v>#DIV/0!</v>
      </c>
      <c r="G56" s="3413"/>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568</v>
      </c>
      <c r="B57" s="635" t="e">
        <f t="shared" si="17"/>
        <v>#DIV/0!</v>
      </c>
      <c r="C57" s="375">
        <f t="shared" si="16"/>
        <v>0</v>
      </c>
      <c r="D57" s="2227">
        <v>0.25</v>
      </c>
      <c r="E57" s="636"/>
      <c r="F57" s="1948" t="e">
        <f t="shared" si="15"/>
        <v>#DIV/0!</v>
      </c>
      <c r="G57" s="3413"/>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2331</v>
      </c>
      <c r="B58" s="635" t="e">
        <f t="shared" si="17"/>
        <v>#DIV/0!</v>
      </c>
      <c r="C58" s="375">
        <f t="shared" si="16"/>
        <v>0</v>
      </c>
      <c r="D58" s="2227">
        <v>0.25</v>
      </c>
      <c r="E58" s="638">
        <f>'数据-汇总表'!E11</f>
        <v>0</v>
      </c>
      <c r="F58" s="1948" t="e">
        <f t="shared" si="15"/>
        <v>#DIV/0!</v>
      </c>
      <c r="G58" s="1954" t="s">
        <v>2289</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569</v>
      </c>
      <c r="B59" s="635" t="e">
        <f t="shared" si="17"/>
        <v>#DIV/0!</v>
      </c>
      <c r="C59" s="375">
        <f t="shared" si="16"/>
        <v>0</v>
      </c>
      <c r="D59" s="2227">
        <v>0.25</v>
      </c>
      <c r="E59" s="638">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570</v>
      </c>
      <c r="B60" s="635" t="e">
        <f t="shared" si="17"/>
        <v>#DIV/0!</v>
      </c>
      <c r="C60" s="375">
        <f t="shared" si="16"/>
        <v>0</v>
      </c>
      <c r="D60" s="2227">
        <v>0.25</v>
      </c>
      <c r="E60" s="638">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571</v>
      </c>
      <c r="B61" s="635" t="e">
        <f t="shared" si="17"/>
        <v>#DIV/0!</v>
      </c>
      <c r="C61" s="375">
        <f t="shared" si="16"/>
        <v>0</v>
      </c>
      <c r="D61" s="2227">
        <v>0.25</v>
      </c>
      <c r="E61" s="638">
        <f>'数据-汇总表'!E14</f>
        <v>0</v>
      </c>
      <c r="F61" s="1948" t="e">
        <f t="shared" si="15"/>
        <v>#DIV/0!</v>
      </c>
      <c r="G61" s="1954" t="s">
        <v>2288</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572</v>
      </c>
      <c r="B62" s="635" t="e">
        <f t="shared" si="17"/>
        <v>#DIV/0!</v>
      </c>
      <c r="C62" s="375">
        <f t="shared" si="16"/>
        <v>0</v>
      </c>
      <c r="D62" s="2227">
        <v>0.25</v>
      </c>
      <c r="E62" s="638">
        <f>'数据-汇总表'!E15</f>
        <v>0</v>
      </c>
      <c r="F62" s="1948" t="e">
        <f t="shared" si="15"/>
        <v>#DIV/0!</v>
      </c>
      <c r="G62" s="1955" t="s">
        <v>2289</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573</v>
      </c>
      <c r="B63" s="640" t="s">
        <v>17</v>
      </c>
      <c r="C63" s="640" t="s">
        <v>18</v>
      </c>
      <c r="D63" s="640" t="s">
        <v>2297</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2539</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2657</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575</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531</v>
      </c>
      <c r="B70" s="645"/>
      <c r="C70" s="657" t="s">
        <v>576</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577</v>
      </c>
      <c r="B72" s="662" t="s">
        <v>534</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537</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539</v>
      </c>
      <c r="B85" s="662" t="s">
        <v>602</v>
      </c>
      <c r="C85" s="700" t="s">
        <v>579</v>
      </c>
      <c r="D85" s="700" t="s">
        <v>580</v>
      </c>
      <c r="E85" s="700" t="s">
        <v>581</v>
      </c>
      <c r="F85" s="700" t="s">
        <v>582</v>
      </c>
      <c r="G85" s="700" t="s">
        <v>583</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586</v>
      </c>
      <c r="C87" s="705" t="s">
        <v>579</v>
      </c>
      <c r="D87" s="705" t="s">
        <v>580</v>
      </c>
      <c r="E87" s="705" t="s">
        <v>581</v>
      </c>
      <c r="F87" s="705" t="s">
        <v>582</v>
      </c>
      <c r="G87" s="705" t="s">
        <v>583</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587</v>
      </c>
      <c r="C89" s="705" t="s">
        <v>579</v>
      </c>
      <c r="D89" s="705" t="s">
        <v>580</v>
      </c>
      <c r="E89" s="705" t="s">
        <v>581</v>
      </c>
      <c r="F89" s="705" t="s">
        <v>582</v>
      </c>
      <c r="G89" s="705" t="s">
        <v>583</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588</v>
      </c>
      <c r="C91" s="700" t="s">
        <v>579</v>
      </c>
      <c r="D91" s="700" t="s">
        <v>580</v>
      </c>
      <c r="E91" s="700" t="s">
        <v>581</v>
      </c>
      <c r="F91" s="700" t="s">
        <v>582</v>
      </c>
      <c r="G91" s="700" t="s">
        <v>583</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2554</v>
      </c>
      <c r="C93" s="700" t="s">
        <v>579</v>
      </c>
      <c r="D93" s="700" t="s">
        <v>580</v>
      </c>
      <c r="E93" s="700" t="s">
        <v>581</v>
      </c>
      <c r="F93" s="700" t="s">
        <v>582</v>
      </c>
      <c r="G93" s="700" t="s">
        <v>583</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2556</v>
      </c>
      <c r="C95" s="2620" t="s">
        <v>2557</v>
      </c>
      <c r="D95" s="2620" t="s">
        <v>2558</v>
      </c>
      <c r="E95" s="2620" t="s">
        <v>2559</v>
      </c>
      <c r="F95" s="2620" t="s">
        <v>2560</v>
      </c>
      <c r="G95" s="2620" t="s">
        <v>2561</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589</v>
      </c>
      <c r="D97" s="671" t="s">
        <v>590</v>
      </c>
      <c r="E97" s="671" t="s">
        <v>591</v>
      </c>
      <c r="F97" s="671" t="s">
        <v>592</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548</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549</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594</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2429</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596</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2430</v>
      </c>
      <c r="D1" s="1518">
        <f>SUM(D29:D30,D33:D39)</f>
        <v>0</v>
      </c>
      <c r="E1" s="1403" t="s">
        <v>2431</v>
      </c>
      <c r="F1" s="2474"/>
      <c r="G1" s="1398"/>
      <c r="H1" s="1398"/>
      <c r="I1" s="1398"/>
      <c r="J1" s="1398"/>
      <c r="K1" s="1398"/>
      <c r="L1" s="1880" t="s">
        <v>2241</v>
      </c>
      <c r="M1" s="1881">
        <f>SUMPRODUCT((区片价!B5:B9=I2)*(区片价!C3:F3=E2)*(区片价!C5:F9))</f>
        <v>0</v>
      </c>
      <c r="N1" s="1882">
        <f>SUMPRODUCT((因素修正幅度!B5:B9=I2)*(因素修正幅度!C3:F3=E2)*(因素修正幅度!C5:F9))</f>
        <v>0</v>
      </c>
      <c r="O1" s="2187"/>
      <c r="P1" s="2187"/>
      <c r="Q1" s="2187"/>
      <c r="R1" s="2959" t="s">
        <v>2770</v>
      </c>
      <c r="S1" s="2959" t="s">
        <v>2771</v>
      </c>
      <c r="T1" s="2959" t="s">
        <v>2792</v>
      </c>
      <c r="U1" s="2959" t="s">
        <v>2793</v>
      </c>
      <c r="V1" s="2959" t="s">
        <v>2794</v>
      </c>
      <c r="W1" s="2187"/>
      <c r="X1" s="2187"/>
      <c r="Y1" s="2187"/>
      <c r="Z1" s="2187"/>
      <c r="AA1" s="2187"/>
      <c r="AB1" s="2187"/>
      <c r="AC1" s="2188"/>
    </row>
    <row r="2" spans="1:39" ht="15.75">
      <c r="A2" s="1403" t="s">
        <v>920</v>
      </c>
      <c r="B2" s="1034"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2242</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1688</v>
      </c>
      <c r="B3" s="1034" t="e">
        <f>ROUND(B2*10000/D1,0)</f>
        <v>#DIV/0!</v>
      </c>
      <c r="C3" s="1404" t="s">
        <v>927</v>
      </c>
      <c r="D3" s="1405" t="s">
        <v>928</v>
      </c>
      <c r="E3" s="1409"/>
      <c r="F3" s="1410" t="s">
        <v>2946</v>
      </c>
      <c r="G3" s="1035">
        <f>IF(F3="宗地容积率",'数据-汇总表'!I4,IF(F3="估价对象容积率",'数据-汇总表'!I6,'数据-汇总表'!I7))</f>
        <v>3.65</v>
      </c>
      <c r="H3" s="1411" t="s">
        <v>929</v>
      </c>
      <c r="I3" s="1036">
        <v>8</v>
      </c>
      <c r="J3" s="1407" t="s">
        <v>930</v>
      </c>
      <c r="K3" s="1398"/>
      <c r="L3" s="1883" t="s">
        <v>2243</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2283</v>
      </c>
      <c r="B4" s="2475" t="e">
        <f>ROUND(B2*10000/F1,0)</f>
        <v>#DIV/0!</v>
      </c>
      <c r="C4" s="1892" t="s">
        <v>2257</v>
      </c>
      <c r="D4" s="1892" t="e">
        <f>ROUND(B2/(F1/666.67),0)</f>
        <v>#DIV/0!</v>
      </c>
      <c r="E4" s="1892" t="s">
        <v>2258</v>
      </c>
      <c r="F4" s="1890"/>
      <c r="G4" s="1890"/>
      <c r="H4" s="1890"/>
      <c r="I4" s="1890"/>
      <c r="J4" s="1891"/>
      <c r="K4" s="1398"/>
      <c r="L4" s="1883" t="s">
        <v>2244</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1824</v>
      </c>
      <c r="B5" s="1412" t="s">
        <v>931</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2245</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8">
        <f>SUMIF(L1:L12,基准地价!G2,M1:M12)</f>
        <v>0</v>
      </c>
      <c r="D6" s="1420" t="s">
        <v>1696</v>
      </c>
      <c r="E6" s="1421"/>
      <c r="F6" s="1421"/>
      <c r="G6" s="1422"/>
      <c r="H6" s="1422"/>
      <c r="I6" s="1422"/>
      <c r="J6" s="1423"/>
      <c r="K6" s="1592"/>
      <c r="L6" s="1883" t="s">
        <v>2246</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22" t="str">
        <f>IF(E2="商业",IF(C8="不临58条商业街","",2),"")</f>
        <v/>
      </c>
      <c r="B7" s="1424" t="s">
        <v>932</v>
      </c>
      <c r="C7" s="1039" t="e">
        <f>IF(C8="不临58条商业街",1,ROUND(1+(1.6*E8+1.2*E9+0.8*E10+0.4*E11)*C9,4))</f>
        <v>#DIV/0!</v>
      </c>
      <c r="D7" s="1425" t="s">
        <v>933</v>
      </c>
      <c r="E7" s="1040"/>
      <c r="F7" s="1426"/>
      <c r="G7" s="1427"/>
      <c r="H7" s="1427"/>
      <c r="I7" s="1427"/>
      <c r="J7" s="1428"/>
      <c r="K7" s="1592"/>
      <c r="L7" s="1883" t="s">
        <v>2247</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2773</v>
      </c>
      <c r="X7" s="2950">
        <f>G2</f>
        <v>0</v>
      </c>
      <c r="Y7" s="2950" t="s">
        <v>2774</v>
      </c>
      <c r="Z7" s="2951">
        <f>G3</f>
        <v>3.65</v>
      </c>
      <c r="AA7" s="2190"/>
      <c r="AB7" s="2190"/>
      <c r="AC7" s="2191"/>
      <c r="AD7" s="2952"/>
      <c r="AE7" s="2952"/>
      <c r="AF7" s="2952"/>
      <c r="AG7" s="2952"/>
      <c r="AH7" s="2952"/>
      <c r="AI7" s="2952"/>
      <c r="AJ7" s="2953"/>
    </row>
    <row r="8" spans="1:39" ht="15">
      <c r="A8" s="3423"/>
      <c r="B8" s="1411" t="s">
        <v>934</v>
      </c>
      <c r="C8" s="1526"/>
      <c r="D8" s="1041" t="s">
        <v>935</v>
      </c>
      <c r="E8" s="1042" t="e">
        <f>ROUND(C11/E7,4)</f>
        <v>#DIV/0!</v>
      </c>
      <c r="F8" s="1429" t="s">
        <v>936</v>
      </c>
      <c r="G8" s="1430"/>
      <c r="H8" s="1430"/>
      <c r="I8" s="1430"/>
      <c r="J8" s="1431"/>
      <c r="K8" s="1398"/>
      <c r="L8" s="1883" t="s">
        <v>2248</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32" t="s">
        <v>2791</v>
      </c>
      <c r="X8" s="3433"/>
      <c r="Y8" s="1847" t="s">
        <v>2775</v>
      </c>
      <c r="Z8" s="1847" t="s">
        <v>2776</v>
      </c>
      <c r="AA8" s="1847" t="s">
        <v>2777</v>
      </c>
      <c r="AB8" s="1847" t="s">
        <v>2778</v>
      </c>
      <c r="AC8" s="1847" t="s">
        <v>2779</v>
      </c>
      <c r="AD8" s="1847" t="s">
        <v>2780</v>
      </c>
      <c r="AE8" s="1847" t="s">
        <v>2781</v>
      </c>
      <c r="AF8" s="1847" t="s">
        <v>2782</v>
      </c>
      <c r="AG8" s="1847" t="s">
        <v>2783</v>
      </c>
      <c r="AH8" s="1847" t="s">
        <v>2784</v>
      </c>
      <c r="AI8" s="1847" t="s">
        <v>2785</v>
      </c>
      <c r="AJ8" s="1847" t="s">
        <v>2786</v>
      </c>
    </row>
    <row r="9" spans="1:39" ht="15">
      <c r="A9" s="3423"/>
      <c r="B9" s="1411" t="s">
        <v>937</v>
      </c>
      <c r="C9" s="1043">
        <f>SUMIF(修正!C59:C119,C8,修正!E59:E119)</f>
        <v>0</v>
      </c>
      <c r="D9" s="1044" t="s">
        <v>938</v>
      </c>
      <c r="E9" s="1044" t="e">
        <f>ROUND(C11/E7,4)</f>
        <v>#DIV/0!</v>
      </c>
      <c r="F9" s="1429" t="s">
        <v>939</v>
      </c>
      <c r="G9" s="1430"/>
      <c r="H9" s="1430"/>
      <c r="I9" s="1430"/>
      <c r="J9" s="1431"/>
      <c r="K9" s="1398"/>
      <c r="L9" s="1883" t="s">
        <v>2249</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31" t="s">
        <v>2787</v>
      </c>
      <c r="X9" s="2954" t="s">
        <v>2788</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3"/>
      <c r="B10" s="1411" t="s">
        <v>940</v>
      </c>
      <c r="C10" s="1044">
        <f>SUMIF(修正!C59:C119,C8,修正!F59:F119)</f>
        <v>0</v>
      </c>
      <c r="D10" s="1044" t="s">
        <v>941</v>
      </c>
      <c r="E10" s="1044" t="e">
        <f>ROUND(C11/E7,4)</f>
        <v>#DIV/0!</v>
      </c>
      <c r="F10" s="1429" t="s">
        <v>942</v>
      </c>
      <c r="G10" s="1430"/>
      <c r="H10" s="1430"/>
      <c r="I10" s="1430"/>
      <c r="J10" s="1431"/>
      <c r="K10" s="1398"/>
      <c r="L10" s="1883" t="s">
        <v>2250</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3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3"/>
      <c r="B11" s="1432" t="s">
        <v>943</v>
      </c>
      <c r="C11" s="1045">
        <f>C10/4</f>
        <v>0</v>
      </c>
      <c r="D11" s="1045" t="s">
        <v>944</v>
      </c>
      <c r="E11" s="1045" t="e">
        <f>ROUND(C11/E7,4)</f>
        <v>#DIV/0!</v>
      </c>
      <c r="F11" s="1433" t="s">
        <v>945</v>
      </c>
      <c r="G11" s="1434"/>
      <c r="H11" s="1434"/>
      <c r="I11" s="1434"/>
      <c r="J11" s="1435"/>
      <c r="K11" s="1398"/>
      <c r="L11" s="1883" t="s">
        <v>2251</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31" t="s">
        <v>2789</v>
      </c>
      <c r="X11" s="1044" t="s">
        <v>2774</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22" t="s">
        <v>1872</v>
      </c>
      <c r="B12" s="1436" t="s">
        <v>946</v>
      </c>
      <c r="C12" s="1039">
        <f>ROUND(C15*D15*E15*F15*G15*H15*I15*J15,4)</f>
        <v>1</v>
      </c>
      <c r="D12" s="1437" t="s">
        <v>947</v>
      </c>
      <c r="E12" s="1438"/>
      <c r="F12" s="1438"/>
      <c r="G12" s="1439"/>
      <c r="H12" s="1439"/>
      <c r="I12" s="1439"/>
      <c r="J12" s="1440"/>
      <c r="K12" s="1398"/>
      <c r="L12" s="1886" t="s">
        <v>2252</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31"/>
      <c r="X12" s="2957" t="s">
        <v>2790</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4"/>
      <c r="B13" s="1441" t="s">
        <v>1697</v>
      </c>
      <c r="C13" s="1442" t="s">
        <v>1698</v>
      </c>
      <c r="D13" s="1085" t="s">
        <v>1699</v>
      </c>
      <c r="E13" s="1085" t="s">
        <v>1700</v>
      </c>
      <c r="F13" s="1443" t="s">
        <v>948</v>
      </c>
      <c r="G13" s="1444" t="s">
        <v>1643</v>
      </c>
      <c r="H13" s="1445" t="s">
        <v>1643</v>
      </c>
      <c r="I13" s="1446" t="s">
        <v>1643</v>
      </c>
      <c r="J13" s="1447" t="s">
        <v>1643</v>
      </c>
      <c r="K13" s="1398"/>
      <c r="L13" s="2187"/>
      <c r="M13" s="2187"/>
      <c r="N13" s="2187"/>
      <c r="O13" s="2187"/>
      <c r="P13" s="2187"/>
      <c r="Q13" s="2187"/>
      <c r="R13" s="2960">
        <v>12</v>
      </c>
      <c r="S13" s="2949"/>
      <c r="T13" s="2960" t="e">
        <f t="shared" si="0"/>
        <v>#DIV/0!</v>
      </c>
      <c r="U13" s="2949"/>
      <c r="V13" s="2960" t="e">
        <f t="shared" si="1"/>
        <v>#DIV/0!</v>
      </c>
      <c r="W13" s="343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24"/>
      <c r="B14" s="1448"/>
      <c r="C14" s="1449"/>
      <c r="D14" s="1450"/>
      <c r="E14" s="1450"/>
      <c r="F14" s="1451"/>
      <c r="G14" s="1452" t="s">
        <v>949</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25"/>
      <c r="B15" s="1456" t="s">
        <v>1701</v>
      </c>
      <c r="C15" s="1047">
        <f>IF(C14="有",1.1,1)</f>
        <v>1</v>
      </c>
      <c r="D15" s="1047">
        <f>IF(D14="有",1.1,1)</f>
        <v>1</v>
      </c>
      <c r="E15" s="1047">
        <f>IF(E14="有",1.1,1)</f>
        <v>1</v>
      </c>
      <c r="F15" s="1047">
        <f>IF(F14="500米范围内",1.2,IF(F14="500-1000米",1.1,1))</f>
        <v>1</v>
      </c>
      <c r="G15" s="1048">
        <v>1</v>
      </c>
      <c r="H15" s="1048">
        <v>1</v>
      </c>
      <c r="I15" s="1048">
        <v>1</v>
      </c>
      <c r="J15" s="1049">
        <v>1</v>
      </c>
      <c r="K15" s="1398"/>
      <c r="L15" s="1595" t="s">
        <v>898</v>
      </c>
      <c r="M15" s="1425" t="s">
        <v>984</v>
      </c>
      <c r="N15" s="1425" t="s">
        <v>985</v>
      </c>
      <c r="O15" s="1425" t="s">
        <v>902</v>
      </c>
      <c r="P15" s="1473" t="s">
        <v>986</v>
      </c>
      <c r="Q15" s="2187"/>
      <c r="R15" s="2960">
        <v>14</v>
      </c>
      <c r="S15" s="2949"/>
      <c r="T15" s="2960" t="e">
        <f t="shared" si="0"/>
        <v>#DIV/0!</v>
      </c>
      <c r="U15" s="2949"/>
      <c r="V15" s="2960" t="e">
        <f t="shared" si="1"/>
        <v>#DIV/0!</v>
      </c>
      <c r="W15" s="2187"/>
      <c r="X15" s="2187"/>
      <c r="Y15" s="2187"/>
      <c r="Z15" s="2187"/>
      <c r="AA15" s="2187"/>
      <c r="AB15" s="2187"/>
      <c r="AC15" s="2188"/>
    </row>
    <row r="16" spans="1:39" ht="24">
      <c r="A16" s="3422" t="s">
        <v>1839</v>
      </c>
      <c r="B16" s="1424" t="s">
        <v>950</v>
      </c>
      <c r="C16" s="1050" t="e">
        <f>ROUND(SUM(G17:J17)/C17,0)</f>
        <v>#DIV/0!</v>
      </c>
      <c r="D16" s="1457" t="s">
        <v>951</v>
      </c>
      <c r="E16" s="1458"/>
      <c r="F16" s="1459"/>
      <c r="G16" s="1460"/>
      <c r="H16" s="1460"/>
      <c r="I16" s="1460"/>
      <c r="J16" s="1460"/>
      <c r="K16" s="1398"/>
      <c r="L16" s="1461" t="s">
        <v>988</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23"/>
      <c r="B17" s="1462" t="s">
        <v>953</v>
      </c>
      <c r="C17" s="1051">
        <f>SUMPRODUCT((修正!A2:A5=E2)*(修正!B1:M1=G2)*(修正!B2:M5))</f>
        <v>0</v>
      </c>
      <c r="D17" s="1464" t="s">
        <v>954</v>
      </c>
      <c r="E17" s="1465" t="str">
        <f>IF(OR(G2="八级",G2="九级",G2="十级",G2="十一级",G2="十二级"),"五通一平","七通一平")</f>
        <v>七通一平</v>
      </c>
      <c r="F17" s="1463"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96" t="s">
        <v>956</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3" t="e">
        <f>ROUND(IF(H19="按公示增长率计算",SUMPRODUCT((地价!A3:A20=YEAR(G19)&amp;"-"&amp;ROUNDUP(MONTH(G19)/3,0))*(地价!X2:AB2=E2)*(地价!X3:AB20)),IF(H19="地价指数",M20/M19,(1+I19)^O19)),4)</f>
        <v>#DIV/0!</v>
      </c>
      <c r="D19" s="1471" t="s">
        <v>958</v>
      </c>
      <c r="E19" s="1054">
        <v>41640</v>
      </c>
      <c r="F19" s="1471" t="s">
        <v>959</v>
      </c>
      <c r="G19" s="1055">
        <f>'数据-取费表'!B2</f>
        <v>43104</v>
      </c>
      <c r="H19" s="1472" t="s">
        <v>2947</v>
      </c>
      <c r="I19" s="2808" t="str">
        <f>IF(H19="季度增幅（自定义）",SUMIF(N21:N24,E2,O21:O24),"")</f>
        <v/>
      </c>
      <c r="J19" s="1468"/>
      <c r="K19" s="1478"/>
      <c r="L19" s="3063" t="s">
        <v>2849</v>
      </c>
      <c r="M19" s="3064">
        <f>ROUND(SUMIF(地价!B2:F2,E2,地价!B20:F20),0)</f>
        <v>0</v>
      </c>
      <c r="N19" s="2810" t="s">
        <v>1677</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78"/>
      <c r="L20" s="3065" t="s">
        <v>2850</v>
      </c>
      <c r="M20" s="3066">
        <f>ROUND(SUMPRODUCT((地价!A5:A20=YEAR(G19)&amp;"-"&amp;ROUNDUP(MONTH(G19)/3,0))*(地价!B2:F2=E2)*(地价!B5:F20)),0)</f>
        <v>0</v>
      </c>
      <c r="N20" s="2813" t="s">
        <v>2653</v>
      </c>
      <c r="O20" s="2811" t="s">
        <v>2652</v>
      </c>
      <c r="P20" s="2812" t="s">
        <v>2658</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1838</v>
      </c>
      <c r="B21" s="1477" t="s">
        <v>2769</v>
      </c>
      <c r="C21" s="1154">
        <f>IF(B21="容积率修正",IF(G3&lt;=10,D22,J22),C23)</f>
        <v>0</v>
      </c>
      <c r="D21" s="1478"/>
      <c r="E21" s="1478"/>
      <c r="F21" s="1478"/>
      <c r="G21" s="1478"/>
      <c r="H21" s="1478"/>
      <c r="I21" s="1478"/>
      <c r="J21" s="1479"/>
      <c r="K21" s="1478"/>
      <c r="L21" s="1478"/>
      <c r="M21" s="1478"/>
      <c r="N21" s="1475" t="s">
        <v>976</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6" t="s">
        <v>1703</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8"/>
      <c r="L22" s="1478"/>
      <c r="M22" s="1478"/>
      <c r="N22" s="1475" t="s">
        <v>979</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1872</v>
      </c>
      <c r="B23" s="1480" t="s">
        <v>980</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1873</v>
      </c>
      <c r="B24" s="1412" t="s">
        <v>981</v>
      </c>
      <c r="C24" s="1058">
        <f>SUMIF(A44:A87,E2,B44:B87)</f>
        <v>0</v>
      </c>
      <c r="D24" s="1532"/>
      <c r="E24" s="1533"/>
      <c r="F24" s="1533"/>
      <c r="G24" s="1533"/>
      <c r="H24" s="1533"/>
      <c r="I24" s="1533"/>
      <c r="J24" s="1533"/>
      <c r="K24" s="1478"/>
      <c r="L24" s="1478"/>
      <c r="M24" s="1478"/>
      <c r="N24" s="1481" t="s">
        <v>982</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821" t="s">
        <v>2656</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987</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989</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994</v>
      </c>
      <c r="C29" s="1059" t="e">
        <f>ROUND(C5*C18*C19*C20*C21*C24,0)</f>
        <v>#DIV/0!</v>
      </c>
      <c r="D29" s="1501"/>
      <c r="E29" s="1847" t="e">
        <f>ROUND(C29*D29/10000,0)</f>
        <v>#DIV/0!</v>
      </c>
      <c r="F29" s="1502" t="s">
        <v>1702</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995</v>
      </c>
      <c r="C30" s="1047"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28" t="s">
        <v>2974</v>
      </c>
      <c r="B33" s="1521" t="s">
        <v>1000</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29"/>
      <c r="B34" s="1442" t="s">
        <v>1001</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29"/>
      <c r="B35" s="1442" t="s">
        <v>1002</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0"/>
      <c r="B36" s="1442" t="s">
        <v>1003</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1007</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1008</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1009</v>
      </c>
      <c r="B46" s="2430" t="s">
        <v>1010</v>
      </c>
      <c r="C46" s="2452" t="s">
        <v>1011</v>
      </c>
      <c r="D46" s="2453" t="s">
        <v>1012</v>
      </c>
      <c r="E46" s="2454" t="s">
        <v>1014</v>
      </c>
      <c r="F46" s="2455" t="s">
        <v>2253</v>
      </c>
      <c r="G46" s="2453" t="s">
        <v>1015</v>
      </c>
      <c r="H46" s="2436" t="s">
        <v>2422</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1021</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1022</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1023</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1024</v>
      </c>
      <c r="B50" s="3121" t="s">
        <v>2949</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1025</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1026</v>
      </c>
      <c r="B52" s="3120" t="s">
        <v>2948</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1027</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1028</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1029</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1030</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1009</v>
      </c>
      <c r="B57" s="2430"/>
      <c r="C57" s="2452" t="s">
        <v>1011</v>
      </c>
      <c r="D57" s="2453" t="s">
        <v>1012</v>
      </c>
      <c r="E57" s="2454" t="s">
        <v>1014</v>
      </c>
      <c r="F57" s="2455" t="s">
        <v>2254</v>
      </c>
      <c r="G57" s="2453" t="s">
        <v>1015</v>
      </c>
      <c r="H57" s="2436" t="s">
        <v>2422</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1031</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1022</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1023</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1024</v>
      </c>
      <c r="B61" s="3121" t="s">
        <v>2950</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1025</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1026</v>
      </c>
      <c r="B63" s="3120" t="s">
        <v>2948</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1027</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1028</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1029</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1032</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1009</v>
      </c>
      <c r="B68" s="2430"/>
      <c r="C68" s="2452" t="s">
        <v>1011</v>
      </c>
      <c r="D68" s="2453" t="s">
        <v>1012</v>
      </c>
      <c r="E68" s="2454" t="s">
        <v>1014</v>
      </c>
      <c r="F68" s="2455" t="s">
        <v>2255</v>
      </c>
      <c r="G68" s="2453" t="s">
        <v>1015</v>
      </c>
      <c r="H68" s="2436" t="s">
        <v>2422</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1033</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1034</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1023</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1035</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1027</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1028</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1026</v>
      </c>
      <c r="B75" s="3120" t="s">
        <v>2948</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1029</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1036</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1037</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1009</v>
      </c>
      <c r="B79" s="2430"/>
      <c r="C79" s="2452" t="s">
        <v>1011</v>
      </c>
      <c r="D79" s="2453" t="s">
        <v>1012</v>
      </c>
      <c r="E79" s="2454" t="s">
        <v>1014</v>
      </c>
      <c r="F79" s="2455" t="s">
        <v>2256</v>
      </c>
      <c r="G79" s="2453" t="s">
        <v>1015</v>
      </c>
      <c r="H79" s="2436" t="s">
        <v>2422</v>
      </c>
      <c r="I79" s="2453" t="s">
        <v>1013</v>
      </c>
      <c r="J79" s="2456" t="s">
        <v>1016</v>
      </c>
      <c r="K79" s="2456" t="s">
        <v>1017</v>
      </c>
      <c r="L79" s="2456" t="s">
        <v>1018</v>
      </c>
      <c r="M79" s="2456" t="s">
        <v>1019</v>
      </c>
      <c r="N79" s="2456" t="s">
        <v>1020</v>
      </c>
      <c r="AC79" s="1402"/>
      <c r="AD79" s="1401"/>
      <c r="AJ79" s="1400"/>
      <c r="AN79" s="1401"/>
    </row>
    <row r="80" spans="1:40" ht="36">
      <c r="A80" s="1063" t="s">
        <v>1038</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1034</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1023</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1035</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1027</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1028</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1026</v>
      </c>
      <c r="B86" s="3120" t="s">
        <v>2948</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1039</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26" t="s">
        <v>1634</v>
      </c>
      <c r="B90" s="3426"/>
      <c r="C90" s="3426"/>
      <c r="D90" s="3426"/>
      <c r="E90" s="3426"/>
      <c r="F90" s="3426"/>
      <c r="G90" s="3426"/>
      <c r="H90" s="3426"/>
      <c r="I90" s="3426"/>
      <c r="J90" s="3426"/>
      <c r="K90" s="2472"/>
      <c r="L90" s="2472"/>
      <c r="M90" s="2472"/>
      <c r="N90" s="2472"/>
    </row>
    <row r="91" spans="1:40">
      <c r="A91" s="3427" t="s">
        <v>1444</v>
      </c>
      <c r="B91" s="3427" t="s">
        <v>1635</v>
      </c>
      <c r="C91" s="1136" t="s">
        <v>1636</v>
      </c>
      <c r="D91" s="1137"/>
      <c r="E91" s="1137"/>
      <c r="F91" s="1137"/>
      <c r="G91" s="1137"/>
      <c r="H91" s="1137"/>
      <c r="I91" s="1137"/>
      <c r="J91" s="1138"/>
      <c r="K91" s="1130"/>
      <c r="L91" s="1130"/>
      <c r="M91" s="1130"/>
      <c r="N91" s="1130"/>
    </row>
    <row r="92" spans="1:40">
      <c r="A92" s="3427"/>
      <c r="B92" s="3427"/>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34" t="s">
        <v>2772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1638</v>
      </c>
      <c r="B101" s="1143" t="s">
        <v>906</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3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3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3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3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3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3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35"/>
      <c r="B108" s="3437"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1" t="s">
        <v>1640</v>
      </c>
      <c r="B110" s="3421"/>
      <c r="C110" s="3421"/>
      <c r="D110" s="3421"/>
      <c r="E110" s="3421"/>
      <c r="F110" s="3421"/>
      <c r="G110" s="3421"/>
      <c r="H110" s="3421"/>
      <c r="I110" s="3421"/>
      <c r="J110" s="3421"/>
      <c r="K110" s="2470"/>
      <c r="L110" s="2470"/>
      <c r="M110" s="2470"/>
      <c r="N110" s="2470"/>
    </row>
    <row r="112" spans="1:14" ht="12.75" thickBot="1"/>
    <row r="113" spans="1:13" ht="25.5" thickBot="1">
      <c r="A113" s="1012" t="s">
        <v>896</v>
      </c>
      <c r="B113" s="2473">
        <f>G3</f>
        <v>3.65</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901</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902</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903</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6" customFormat="1" ht="19.5" customHeight="1">
      <c r="A18" s="3427" t="s">
        <v>1008</v>
      </c>
      <c r="B18" s="1150" t="s">
        <v>1447</v>
      </c>
      <c r="C18" s="1127" t="s">
        <v>1448</v>
      </c>
      <c r="D18" s="1128"/>
      <c r="E18" s="1150">
        <v>1</v>
      </c>
      <c r="F18" s="1129" t="s">
        <v>1449</v>
      </c>
      <c r="G18" s="1130"/>
      <c r="H18" s="1101"/>
      <c r="I18" s="1101"/>
    </row>
    <row r="19" spans="1:9" s="1596" customFormat="1" ht="19.5" customHeight="1">
      <c r="A19" s="3427"/>
      <c r="B19" s="3427" t="s">
        <v>1450</v>
      </c>
      <c r="C19" s="1127" t="s">
        <v>1451</v>
      </c>
      <c r="D19" s="1128"/>
      <c r="E19" s="1150">
        <v>0.9</v>
      </c>
      <c r="F19" s="1129" t="s">
        <v>1452</v>
      </c>
      <c r="G19" s="1130"/>
      <c r="H19" s="1101"/>
      <c r="I19" s="1101"/>
    </row>
    <row r="20" spans="1:9" s="1596" customFormat="1" ht="19.5" customHeight="1">
      <c r="A20" s="3427"/>
      <c r="B20" s="3427"/>
      <c r="C20" s="1127" t="s">
        <v>1453</v>
      </c>
      <c r="D20" s="1128"/>
      <c r="E20" s="1150">
        <v>1.1000000000000001</v>
      </c>
      <c r="F20" s="1129" t="s">
        <v>1454</v>
      </c>
      <c r="G20" s="1130"/>
      <c r="H20" s="1101"/>
      <c r="I20" s="1101"/>
    </row>
    <row r="21" spans="1:9" s="1596" customFormat="1" ht="19.5" customHeight="1">
      <c r="A21" s="3427"/>
      <c r="B21" s="3427"/>
      <c r="C21" s="1127" t="s">
        <v>1455</v>
      </c>
      <c r="D21" s="1128"/>
      <c r="E21" s="1150">
        <v>0.8</v>
      </c>
      <c r="F21" s="1129" t="s">
        <v>1456</v>
      </c>
      <c r="G21" s="1130"/>
      <c r="H21" s="1101"/>
      <c r="I21" s="1101"/>
    </row>
    <row r="22" spans="1:9" s="1596" customFormat="1" ht="19.5" customHeight="1">
      <c r="A22" s="3427"/>
      <c r="B22" s="3427"/>
      <c r="C22" s="1127" t="s">
        <v>1457</v>
      </c>
      <c r="D22" s="1128"/>
      <c r="E22" s="1150">
        <v>0.5</v>
      </c>
      <c r="F22" s="1129"/>
      <c r="G22" s="1130"/>
      <c r="H22" s="1101"/>
      <c r="I22" s="1101"/>
    </row>
    <row r="23" spans="1:9" s="1596" customFormat="1" ht="19.5" customHeight="1">
      <c r="A23" s="3427" t="s">
        <v>1030</v>
      </c>
      <c r="B23" s="1150" t="s">
        <v>1447</v>
      </c>
      <c r="C23" s="1127" t="s">
        <v>1458</v>
      </c>
      <c r="D23" s="1128"/>
      <c r="E23" s="1150">
        <v>1</v>
      </c>
      <c r="F23" s="1129" t="s">
        <v>1459</v>
      </c>
      <c r="G23" s="1130"/>
      <c r="H23" s="1101"/>
      <c r="I23" s="1101"/>
    </row>
    <row r="24" spans="1:9" s="1596" customFormat="1" ht="19.5" customHeight="1">
      <c r="A24" s="3427"/>
      <c r="B24" s="3427" t="s">
        <v>1450</v>
      </c>
      <c r="C24" s="1127" t="s">
        <v>1460</v>
      </c>
      <c r="D24" s="1128"/>
      <c r="E24" s="1150">
        <v>0.5</v>
      </c>
      <c r="F24" s="1129"/>
      <c r="G24" s="1130"/>
      <c r="H24" s="1101"/>
      <c r="I24" s="1101"/>
    </row>
    <row r="25" spans="1:9" s="1596" customFormat="1" ht="19.5" customHeight="1">
      <c r="A25" s="3427"/>
      <c r="B25" s="3427"/>
      <c r="C25" s="1127" t="s">
        <v>1461</v>
      </c>
      <c r="D25" s="1128"/>
      <c r="E25" s="1150">
        <v>1.1000000000000001</v>
      </c>
      <c r="F25" s="1129"/>
      <c r="G25" s="1130"/>
      <c r="H25" s="1101"/>
      <c r="I25" s="1101"/>
    </row>
    <row r="26" spans="1:9" s="1596" customFormat="1" ht="19.5" customHeight="1">
      <c r="A26" s="3427"/>
      <c r="B26" s="3427"/>
      <c r="C26" s="1127" t="s">
        <v>1462</v>
      </c>
      <c r="D26" s="1128"/>
      <c r="E26" s="1150">
        <v>1.1000000000000001</v>
      </c>
      <c r="F26" s="1129"/>
      <c r="G26" s="1130"/>
      <c r="H26" s="1101"/>
      <c r="I26" s="1101"/>
    </row>
    <row r="27" spans="1:9" s="1596" customFormat="1" ht="19.5" customHeight="1">
      <c r="A27" s="3427"/>
      <c r="B27" s="3427"/>
      <c r="C27" s="1127" t="s">
        <v>1463</v>
      </c>
      <c r="D27" s="1128"/>
      <c r="E27" s="1150">
        <v>0.9</v>
      </c>
      <c r="F27" s="1129" t="s">
        <v>1464</v>
      </c>
      <c r="G27" s="1130"/>
      <c r="H27" s="1101"/>
      <c r="I27" s="1101"/>
    </row>
    <row r="28" spans="1:9" s="1596" customFormat="1" ht="19.5" customHeight="1">
      <c r="A28" s="3427"/>
      <c r="B28" s="3427"/>
      <c r="C28" s="1127" t="s">
        <v>1465</v>
      </c>
      <c r="D28" s="1128"/>
      <c r="E28" s="1150">
        <v>0.9</v>
      </c>
      <c r="F28" s="1129" t="s">
        <v>1466</v>
      </c>
      <c r="G28" s="1130"/>
      <c r="H28" s="1101"/>
      <c r="I28" s="1101"/>
    </row>
    <row r="29" spans="1:9" s="1596" customFormat="1" ht="19.5" customHeight="1">
      <c r="A29" s="3427"/>
      <c r="B29" s="3427"/>
      <c r="C29" s="1127" t="s">
        <v>1467</v>
      </c>
      <c r="D29" s="1128"/>
      <c r="E29" s="1150">
        <v>0.9</v>
      </c>
      <c r="F29" s="1129" t="s">
        <v>1468</v>
      </c>
      <c r="G29" s="1130"/>
      <c r="H29" s="1101"/>
      <c r="I29" s="1101"/>
    </row>
    <row r="30" spans="1:9" s="1596" customFormat="1" ht="19.5" customHeight="1">
      <c r="A30" s="3427"/>
      <c r="B30" s="3427"/>
      <c r="C30" s="1127" t="s">
        <v>1469</v>
      </c>
      <c r="D30" s="1128"/>
      <c r="E30" s="1150">
        <v>0.9</v>
      </c>
      <c r="F30" s="1129" t="s">
        <v>1470</v>
      </c>
      <c r="G30" s="1130"/>
      <c r="H30" s="1101"/>
      <c r="I30" s="1101"/>
    </row>
    <row r="31" spans="1:9" s="1596" customFormat="1" ht="19.5" customHeight="1">
      <c r="A31" s="3427"/>
      <c r="B31" s="3427"/>
      <c r="C31" s="1127" t="s">
        <v>1471</v>
      </c>
      <c r="D31" s="1128"/>
      <c r="E31" s="1150">
        <v>0.8</v>
      </c>
      <c r="F31" s="1129" t="s">
        <v>1472</v>
      </c>
      <c r="G31" s="1130"/>
      <c r="H31" s="1101"/>
      <c r="I31" s="1101"/>
    </row>
    <row r="32" spans="1:9" s="1596" customFormat="1" ht="19.5" customHeight="1">
      <c r="A32" s="3427"/>
      <c r="B32" s="3427"/>
      <c r="C32" s="1127" t="s">
        <v>1473</v>
      </c>
      <c r="D32" s="1128"/>
      <c r="E32" s="1150">
        <v>0.8</v>
      </c>
      <c r="F32" s="1129" t="s">
        <v>1474</v>
      </c>
      <c r="G32" s="1130"/>
      <c r="H32" s="1101"/>
      <c r="I32" s="1101"/>
    </row>
    <row r="33" spans="1:9" s="1596" customFormat="1" ht="19.5" customHeight="1">
      <c r="A33" s="3427" t="s">
        <v>1475</v>
      </c>
      <c r="B33" s="1150" t="s">
        <v>1447</v>
      </c>
      <c r="C33" s="1127" t="s">
        <v>1476</v>
      </c>
      <c r="D33" s="1128"/>
      <c r="E33" s="1150">
        <v>1</v>
      </c>
      <c r="F33" s="1129" t="s">
        <v>1477</v>
      </c>
      <c r="G33" s="1130"/>
      <c r="H33" s="1101"/>
      <c r="I33" s="1101"/>
    </row>
    <row r="34" spans="1:9" s="1596" customFormat="1" ht="19.5" customHeight="1">
      <c r="A34" s="3427"/>
      <c r="B34" s="1150" t="s">
        <v>1450</v>
      </c>
      <c r="C34" s="1127" t="s">
        <v>1478</v>
      </c>
      <c r="D34" s="1128"/>
      <c r="E34" s="1150">
        <v>1.5</v>
      </c>
      <c r="F34" s="1129" t="s">
        <v>1479</v>
      </c>
      <c r="G34" s="1130"/>
      <c r="H34" s="1101"/>
      <c r="I34" s="1101"/>
    </row>
    <row r="35" spans="1:9" s="1596" customFormat="1" ht="19.5" customHeight="1">
      <c r="A35" s="3427" t="s">
        <v>1433</v>
      </c>
      <c r="B35" s="1150" t="s">
        <v>1447</v>
      </c>
      <c r="C35" s="1127" t="s">
        <v>1480</v>
      </c>
      <c r="D35" s="1128"/>
      <c r="E35" s="1150">
        <v>1</v>
      </c>
      <c r="F35" s="1129" t="s">
        <v>1481</v>
      </c>
      <c r="G35" s="1130"/>
      <c r="H35" s="1101"/>
      <c r="I35" s="1101"/>
    </row>
    <row r="36" spans="1:9" s="1596" customFormat="1" ht="19.5" customHeight="1">
      <c r="A36" s="3427"/>
      <c r="B36" s="3427" t="s">
        <v>1450</v>
      </c>
      <c r="C36" s="1127" t="s">
        <v>1482</v>
      </c>
      <c r="D36" s="1128"/>
      <c r="E36" s="1150">
        <v>1</v>
      </c>
      <c r="F36" s="1129" t="s">
        <v>1483</v>
      </c>
      <c r="G36" s="1130"/>
      <c r="H36" s="1101"/>
      <c r="I36" s="1101"/>
    </row>
    <row r="37" spans="1:9" s="1596" customFormat="1" ht="19.5" customHeight="1">
      <c r="A37" s="3427"/>
      <c r="B37" s="3427"/>
      <c r="C37" s="1127" t="s">
        <v>1484</v>
      </c>
      <c r="D37" s="1128"/>
      <c r="E37" s="1150">
        <v>1.5</v>
      </c>
      <c r="F37" s="1129" t="s">
        <v>1485</v>
      </c>
      <c r="G37" s="1130"/>
      <c r="H37" s="1101"/>
      <c r="I37" s="1101"/>
    </row>
    <row r="38" spans="1:9" s="1596" customFormat="1" ht="19.5" customHeight="1">
      <c r="A38" s="3427"/>
      <c r="B38" s="3427"/>
      <c r="C38" s="1127" t="s">
        <v>1486</v>
      </c>
      <c r="D38" s="1128"/>
      <c r="E38" s="1150">
        <v>1</v>
      </c>
      <c r="F38" s="1129" t="s">
        <v>1487</v>
      </c>
      <c r="G38" s="1130"/>
      <c r="H38" s="1101"/>
      <c r="I38" s="1101"/>
    </row>
    <row r="39" spans="1:9" s="1596" customFormat="1" ht="19.5" customHeight="1">
      <c r="A39" s="3427"/>
      <c r="B39" s="3427"/>
      <c r="C39" s="1127" t="s">
        <v>1488</v>
      </c>
      <c r="D39" s="1128"/>
      <c r="E39" s="1150">
        <v>1</v>
      </c>
      <c r="F39" s="1129" t="s">
        <v>1489</v>
      </c>
      <c r="G39" s="1130"/>
      <c r="H39" s="1101"/>
      <c r="I39" s="1101"/>
    </row>
    <row r="40" spans="1:9" s="1596" customFormat="1" ht="19.5" customHeight="1">
      <c r="A40" s="1597" t="s">
        <v>1490</v>
      </c>
      <c r="B40" s="1597"/>
      <c r="C40" s="1597"/>
      <c r="D40" s="1597"/>
      <c r="E40" s="1597"/>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427" t="s">
        <v>1502</v>
      </c>
      <c r="C61" s="1064" t="s">
        <v>1503</v>
      </c>
      <c r="D61" s="1064" t="s">
        <v>1504</v>
      </c>
      <c r="E61" s="1135">
        <v>0.5</v>
      </c>
      <c r="F61" s="1150">
        <v>80</v>
      </c>
      <c r="H61" s="1101">
        <f>SUMIF(C59:C119,基准地价!C8,E59:E119)</f>
        <v>0</v>
      </c>
    </row>
    <row r="62" spans="1:8" s="1101" customFormat="1" ht="24">
      <c r="A62" s="1150">
        <v>2</v>
      </c>
      <c r="B62" s="3427"/>
      <c r="C62" s="1064" t="s">
        <v>1505</v>
      </c>
      <c r="D62" s="1064" t="s">
        <v>1506</v>
      </c>
      <c r="E62" s="1135">
        <v>0.5</v>
      </c>
      <c r="F62" s="1150">
        <v>80</v>
      </c>
    </row>
    <row r="63" spans="1:8" s="1101" customFormat="1" ht="36">
      <c r="A63" s="1150">
        <v>3</v>
      </c>
      <c r="B63" s="3427"/>
      <c r="C63" s="1064" t="s">
        <v>1507</v>
      </c>
      <c r="D63" s="1064" t="s">
        <v>1508</v>
      </c>
      <c r="E63" s="1135">
        <v>0.5</v>
      </c>
      <c r="F63" s="1150">
        <v>80</v>
      </c>
    </row>
    <row r="64" spans="1:8" s="1101" customFormat="1" ht="36">
      <c r="A64" s="1150">
        <v>4</v>
      </c>
      <c r="B64" s="3427"/>
      <c r="C64" s="1064" t="s">
        <v>1509</v>
      </c>
      <c r="D64" s="1064" t="s">
        <v>1510</v>
      </c>
      <c r="E64" s="1135">
        <v>0.4</v>
      </c>
      <c r="F64" s="1150">
        <v>60</v>
      </c>
    </row>
    <row r="65" spans="1:6" s="1101" customFormat="1" ht="36">
      <c r="A65" s="1150">
        <v>5</v>
      </c>
      <c r="B65" s="3427"/>
      <c r="C65" s="1064" t="s">
        <v>1511</v>
      </c>
      <c r="D65" s="1064" t="s">
        <v>1512</v>
      </c>
      <c r="E65" s="1135">
        <v>0.2</v>
      </c>
      <c r="F65" s="1150">
        <v>30</v>
      </c>
    </row>
    <row r="66" spans="1:6" s="1101" customFormat="1" ht="36">
      <c r="A66" s="1150">
        <v>6</v>
      </c>
      <c r="B66" s="3427"/>
      <c r="C66" s="1064" t="s">
        <v>1513</v>
      </c>
      <c r="D66" s="1064" t="s">
        <v>1514</v>
      </c>
      <c r="E66" s="1135">
        <v>0.3</v>
      </c>
      <c r="F66" s="1150">
        <v>50</v>
      </c>
    </row>
    <row r="67" spans="1:6" s="1101" customFormat="1" ht="36">
      <c r="A67" s="1150">
        <v>7</v>
      </c>
      <c r="B67" s="3427"/>
      <c r="C67" s="1064" t="s">
        <v>1515</v>
      </c>
      <c r="D67" s="1064" t="s">
        <v>1516</v>
      </c>
      <c r="E67" s="1135">
        <v>0.2</v>
      </c>
      <c r="F67" s="1150">
        <v>30</v>
      </c>
    </row>
    <row r="68" spans="1:6" s="1101" customFormat="1" ht="36">
      <c r="A68" s="1150">
        <v>8</v>
      </c>
      <c r="B68" s="3427"/>
      <c r="C68" s="1064" t="s">
        <v>1517</v>
      </c>
      <c r="D68" s="1064" t="s">
        <v>1518</v>
      </c>
      <c r="E68" s="1135">
        <v>0.2</v>
      </c>
      <c r="F68" s="1150">
        <v>30</v>
      </c>
    </row>
    <row r="69" spans="1:6" s="1101" customFormat="1" ht="36">
      <c r="A69" s="1150">
        <v>9</v>
      </c>
      <c r="B69" s="3427"/>
      <c r="C69" s="1064" t="s">
        <v>1519</v>
      </c>
      <c r="D69" s="1064" t="s">
        <v>1520</v>
      </c>
      <c r="E69" s="1135">
        <v>0.2</v>
      </c>
      <c r="F69" s="1150">
        <v>30</v>
      </c>
    </row>
    <row r="70" spans="1:6" s="1101" customFormat="1" ht="48">
      <c r="A70" s="1150">
        <v>10</v>
      </c>
      <c r="B70" s="3427"/>
      <c r="C70" s="1064" t="s">
        <v>1521</v>
      </c>
      <c r="D70" s="1064" t="s">
        <v>1522</v>
      </c>
      <c r="E70" s="1135">
        <v>0.2</v>
      </c>
      <c r="F70" s="1150">
        <v>30</v>
      </c>
    </row>
    <row r="71" spans="1:6" s="1101" customFormat="1" ht="48">
      <c r="A71" s="1150">
        <v>11</v>
      </c>
      <c r="B71" s="3427"/>
      <c r="C71" s="1064" t="s">
        <v>1523</v>
      </c>
      <c r="D71" s="1064" t="s">
        <v>1524</v>
      </c>
      <c r="E71" s="1135">
        <v>0.2</v>
      </c>
      <c r="F71" s="1150">
        <v>30</v>
      </c>
    </row>
    <row r="72" spans="1:6" s="1101" customFormat="1" ht="36">
      <c r="A72" s="1150">
        <v>12</v>
      </c>
      <c r="B72" s="3427"/>
      <c r="C72" s="1064" t="s">
        <v>1525</v>
      </c>
      <c r="D72" s="1064" t="s">
        <v>1526</v>
      </c>
      <c r="E72" s="1135">
        <v>0.5</v>
      </c>
      <c r="F72" s="1150">
        <v>80</v>
      </c>
    </row>
    <row r="73" spans="1:6" s="1101" customFormat="1" ht="24">
      <c r="A73" s="1150">
        <v>13</v>
      </c>
      <c r="B73" s="3427"/>
      <c r="C73" s="1064" t="s">
        <v>1527</v>
      </c>
      <c r="D73" s="1064" t="s">
        <v>1528</v>
      </c>
      <c r="E73" s="1135">
        <v>0.4</v>
      </c>
      <c r="F73" s="1150">
        <v>60</v>
      </c>
    </row>
    <row r="74" spans="1:6" s="1101" customFormat="1" ht="24">
      <c r="A74" s="1150">
        <v>14</v>
      </c>
      <c r="B74" s="3427"/>
      <c r="C74" s="1064" t="s">
        <v>1529</v>
      </c>
      <c r="D74" s="1064" t="s">
        <v>1530</v>
      </c>
      <c r="E74" s="1135">
        <v>0.2</v>
      </c>
      <c r="F74" s="1150">
        <v>30</v>
      </c>
    </row>
    <row r="75" spans="1:6" s="1101" customFormat="1" ht="24">
      <c r="A75" s="1150">
        <v>15</v>
      </c>
      <c r="B75" s="3427"/>
      <c r="C75" s="1064" t="s">
        <v>1531</v>
      </c>
      <c r="D75" s="1064" t="s">
        <v>1532</v>
      </c>
      <c r="E75" s="1135">
        <v>0.2</v>
      </c>
      <c r="F75" s="1150">
        <v>30</v>
      </c>
    </row>
    <row r="76" spans="1:6" s="1101" customFormat="1" ht="24">
      <c r="A76" s="1150">
        <v>16</v>
      </c>
      <c r="B76" s="3427" t="s">
        <v>1533</v>
      </c>
      <c r="C76" s="1064" t="s">
        <v>1534</v>
      </c>
      <c r="D76" s="1064" t="s">
        <v>1535</v>
      </c>
      <c r="E76" s="1135">
        <v>0.5</v>
      </c>
      <c r="F76" s="1150">
        <v>80</v>
      </c>
    </row>
    <row r="77" spans="1:6" s="1101" customFormat="1" ht="24">
      <c r="A77" s="1150">
        <v>17</v>
      </c>
      <c r="B77" s="3427"/>
      <c r="C77" s="1064" t="s">
        <v>1536</v>
      </c>
      <c r="D77" s="1064" t="s">
        <v>1537</v>
      </c>
      <c r="E77" s="1135">
        <v>0.5</v>
      </c>
      <c r="F77" s="1150">
        <v>80</v>
      </c>
    </row>
    <row r="78" spans="1:6" s="1101" customFormat="1" ht="24">
      <c r="A78" s="1150">
        <v>18</v>
      </c>
      <c r="B78" s="3427"/>
      <c r="C78" s="1064" t="s">
        <v>1538</v>
      </c>
      <c r="D78" s="1064" t="s">
        <v>1539</v>
      </c>
      <c r="E78" s="1135">
        <v>0.2</v>
      </c>
      <c r="F78" s="1150">
        <v>30</v>
      </c>
    </row>
    <row r="79" spans="1:6" s="1101" customFormat="1" ht="24">
      <c r="A79" s="1150">
        <v>19</v>
      </c>
      <c r="B79" s="3427"/>
      <c r="C79" s="1064" t="s">
        <v>1540</v>
      </c>
      <c r="D79" s="1064" t="s">
        <v>1541</v>
      </c>
      <c r="E79" s="1135">
        <v>0.5</v>
      </c>
      <c r="F79" s="1150">
        <v>80</v>
      </c>
    </row>
    <row r="80" spans="1:6" s="1101" customFormat="1" ht="36">
      <c r="A80" s="1150">
        <v>20</v>
      </c>
      <c r="B80" s="3427"/>
      <c r="C80" s="1064" t="s">
        <v>1542</v>
      </c>
      <c r="D80" s="1064" t="s">
        <v>1543</v>
      </c>
      <c r="E80" s="1135">
        <v>0.2</v>
      </c>
      <c r="F80" s="1150">
        <v>30</v>
      </c>
    </row>
    <row r="81" spans="1:6" s="1101" customFormat="1" ht="36">
      <c r="A81" s="1150">
        <v>21</v>
      </c>
      <c r="B81" s="3427"/>
      <c r="C81" s="1064" t="s">
        <v>1544</v>
      </c>
      <c r="D81" s="1064" t="s">
        <v>1545</v>
      </c>
      <c r="E81" s="1135">
        <v>0.2</v>
      </c>
      <c r="F81" s="1150">
        <v>30</v>
      </c>
    </row>
    <row r="82" spans="1:6" s="1101" customFormat="1" ht="48">
      <c r="A82" s="1150">
        <v>22</v>
      </c>
      <c r="B82" s="3427"/>
      <c r="C82" s="1064" t="s">
        <v>1546</v>
      </c>
      <c r="D82" s="1064" t="s">
        <v>1547</v>
      </c>
      <c r="E82" s="1135">
        <v>0.2</v>
      </c>
      <c r="F82" s="1150">
        <v>30</v>
      </c>
    </row>
    <row r="83" spans="1:6" s="1101" customFormat="1" ht="48">
      <c r="A83" s="1150">
        <v>23</v>
      </c>
      <c r="B83" s="3427"/>
      <c r="C83" s="1064" t="s">
        <v>1548</v>
      </c>
      <c r="D83" s="1064" t="s">
        <v>1549</v>
      </c>
      <c r="E83" s="1135">
        <v>0.2</v>
      </c>
      <c r="F83" s="1150">
        <v>30</v>
      </c>
    </row>
    <row r="84" spans="1:6" s="1101" customFormat="1" ht="36">
      <c r="A84" s="1150">
        <v>24</v>
      </c>
      <c r="B84" s="3427"/>
      <c r="C84" s="1064" t="s">
        <v>1550</v>
      </c>
      <c r="D84" s="1064" t="s">
        <v>1551</v>
      </c>
      <c r="E84" s="1135">
        <v>0.2</v>
      </c>
      <c r="F84" s="1150">
        <v>30</v>
      </c>
    </row>
    <row r="85" spans="1:6" s="1101" customFormat="1" ht="36">
      <c r="A85" s="1150">
        <v>25</v>
      </c>
      <c r="B85" s="3427"/>
      <c r="C85" s="1064" t="s">
        <v>1552</v>
      </c>
      <c r="D85" s="1064" t="s">
        <v>1553</v>
      </c>
      <c r="E85" s="1135">
        <v>0.5</v>
      </c>
      <c r="F85" s="1150">
        <v>80</v>
      </c>
    </row>
    <row r="86" spans="1:6" s="1101" customFormat="1" ht="36">
      <c r="A86" s="1150">
        <v>26</v>
      </c>
      <c r="B86" s="3427"/>
      <c r="C86" s="1064" t="s">
        <v>1554</v>
      </c>
      <c r="D86" s="1064" t="s">
        <v>1555</v>
      </c>
      <c r="E86" s="1135">
        <v>0.2</v>
      </c>
      <c r="F86" s="1150">
        <v>30</v>
      </c>
    </row>
    <row r="87" spans="1:6" s="1101" customFormat="1" ht="36">
      <c r="A87" s="1150">
        <v>27</v>
      </c>
      <c r="B87" s="3427"/>
      <c r="C87" s="1064" t="s">
        <v>1556</v>
      </c>
      <c r="D87" s="1064" t="s">
        <v>1557</v>
      </c>
      <c r="E87" s="1135">
        <v>0.2</v>
      </c>
      <c r="F87" s="1150">
        <v>30</v>
      </c>
    </row>
    <row r="88" spans="1:6" s="1101" customFormat="1" ht="36">
      <c r="A88" s="1150">
        <v>28</v>
      </c>
      <c r="B88" s="3427"/>
      <c r="C88" s="1064" t="s">
        <v>1558</v>
      </c>
      <c r="D88" s="1064" t="s">
        <v>1559</v>
      </c>
      <c r="E88" s="1135">
        <v>0.2</v>
      </c>
      <c r="F88" s="1150">
        <v>30</v>
      </c>
    </row>
    <row r="89" spans="1:6" s="1101" customFormat="1" ht="24">
      <c r="A89" s="1150">
        <v>29</v>
      </c>
      <c r="B89" s="3427"/>
      <c r="C89" s="1064" t="s">
        <v>1560</v>
      </c>
      <c r="D89" s="1064" t="s">
        <v>1561</v>
      </c>
      <c r="E89" s="1135">
        <v>0.2</v>
      </c>
      <c r="F89" s="1150">
        <v>30</v>
      </c>
    </row>
    <row r="90" spans="1:6" s="1101" customFormat="1" ht="24">
      <c r="A90" s="1150">
        <v>30</v>
      </c>
      <c r="B90" s="3427"/>
      <c r="C90" s="1064" t="s">
        <v>1562</v>
      </c>
      <c r="D90" s="1064" t="s">
        <v>1563</v>
      </c>
      <c r="E90" s="1135">
        <v>0.2</v>
      </c>
      <c r="F90" s="1150">
        <v>30</v>
      </c>
    </row>
    <row r="91" spans="1:6" s="1101" customFormat="1" ht="36">
      <c r="A91" s="1150">
        <v>31</v>
      </c>
      <c r="B91" s="3427"/>
      <c r="C91" s="1064" t="s">
        <v>1564</v>
      </c>
      <c r="D91" s="1064" t="s">
        <v>1565</v>
      </c>
      <c r="E91" s="1135">
        <v>0.2</v>
      </c>
      <c r="F91" s="1150">
        <v>30</v>
      </c>
    </row>
    <row r="92" spans="1:6" s="1101" customFormat="1" ht="24">
      <c r="A92" s="1150">
        <v>32</v>
      </c>
      <c r="B92" s="3427" t="s">
        <v>1566</v>
      </c>
      <c r="C92" s="1150" t="s">
        <v>1567</v>
      </c>
      <c r="D92" s="1064" t="s">
        <v>1568</v>
      </c>
      <c r="E92" s="1135">
        <v>0.2</v>
      </c>
      <c r="F92" s="1150">
        <v>30</v>
      </c>
    </row>
    <row r="93" spans="1:6" s="1101" customFormat="1" ht="36">
      <c r="A93" s="1150">
        <v>33</v>
      </c>
      <c r="B93" s="3427"/>
      <c r="C93" s="1150" t="s">
        <v>1569</v>
      </c>
      <c r="D93" s="1064" t="s">
        <v>1570</v>
      </c>
      <c r="E93" s="1135">
        <v>0.2</v>
      </c>
      <c r="F93" s="1150">
        <v>30</v>
      </c>
    </row>
    <row r="94" spans="1:6" s="1101" customFormat="1" ht="48">
      <c r="A94" s="1150">
        <v>34</v>
      </c>
      <c r="B94" s="3427"/>
      <c r="C94" s="1150" t="s">
        <v>1571</v>
      </c>
      <c r="D94" s="1064" t="s">
        <v>1572</v>
      </c>
      <c r="E94" s="1135">
        <v>0.2</v>
      </c>
      <c r="F94" s="1150">
        <v>30</v>
      </c>
    </row>
    <row r="95" spans="1:6" s="1101" customFormat="1" ht="36">
      <c r="A95" s="1150">
        <v>35</v>
      </c>
      <c r="B95" s="3427"/>
      <c r="C95" s="1150" t="s">
        <v>1573</v>
      </c>
      <c r="D95" s="1064" t="s">
        <v>1574</v>
      </c>
      <c r="E95" s="1135">
        <v>0.2</v>
      </c>
      <c r="F95" s="1150">
        <v>30</v>
      </c>
    </row>
    <row r="96" spans="1:6" s="1101" customFormat="1" ht="48">
      <c r="A96" s="1150">
        <v>36</v>
      </c>
      <c r="B96" s="3427"/>
      <c r="C96" s="1064" t="s">
        <v>1575</v>
      </c>
      <c r="D96" s="1064" t="s">
        <v>1576</v>
      </c>
      <c r="E96" s="1135">
        <v>0.2</v>
      </c>
      <c r="F96" s="1150">
        <v>30</v>
      </c>
    </row>
    <row r="97" spans="1:6" s="1101" customFormat="1" ht="36">
      <c r="A97" s="1150">
        <v>37</v>
      </c>
      <c r="B97" s="3427"/>
      <c r="C97" s="1150" t="s">
        <v>1577</v>
      </c>
      <c r="D97" s="1064" t="s">
        <v>1578</v>
      </c>
      <c r="E97" s="1135">
        <v>0.2</v>
      </c>
      <c r="F97" s="1150">
        <v>30</v>
      </c>
    </row>
    <row r="98" spans="1:6" s="1101" customFormat="1" ht="36">
      <c r="A98" s="1150">
        <v>38</v>
      </c>
      <c r="B98" s="3427"/>
      <c r="C98" s="1150" t="s">
        <v>1579</v>
      </c>
      <c r="D98" s="1064" t="s">
        <v>1580</v>
      </c>
      <c r="E98" s="1135">
        <v>0.2</v>
      </c>
      <c r="F98" s="1150">
        <v>30</v>
      </c>
    </row>
    <row r="99" spans="1:6" s="1101" customFormat="1" ht="36">
      <c r="A99" s="1150">
        <v>39</v>
      </c>
      <c r="B99" s="3427" t="s">
        <v>1581</v>
      </c>
      <c r="C99" s="1150" t="s">
        <v>1582</v>
      </c>
      <c r="D99" s="1064" t="s">
        <v>1583</v>
      </c>
      <c r="E99" s="1135">
        <v>0.3</v>
      </c>
      <c r="F99" s="1150">
        <v>50</v>
      </c>
    </row>
    <row r="100" spans="1:6" s="1101" customFormat="1" ht="24">
      <c r="A100" s="1150">
        <v>40</v>
      </c>
      <c r="B100" s="3427"/>
      <c r="C100" s="1150" t="s">
        <v>1584</v>
      </c>
      <c r="D100" s="1064" t="s">
        <v>1585</v>
      </c>
      <c r="E100" s="1135">
        <v>0.2</v>
      </c>
      <c r="F100" s="1150">
        <v>30</v>
      </c>
    </row>
    <row r="101" spans="1:6" s="1101" customFormat="1" ht="36">
      <c r="A101" s="1150">
        <v>41</v>
      </c>
      <c r="B101" s="3427"/>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427" t="s">
        <v>1596</v>
      </c>
      <c r="C105" s="1150" t="s">
        <v>1597</v>
      </c>
      <c r="D105" s="1064" t="s">
        <v>1598</v>
      </c>
      <c r="E105" s="1135">
        <v>0.2</v>
      </c>
      <c r="F105" s="1150">
        <v>30</v>
      </c>
    </row>
    <row r="106" spans="1:6" s="1101" customFormat="1" ht="36">
      <c r="A106" s="1150">
        <v>46</v>
      </c>
      <c r="B106" s="3427"/>
      <c r="C106" s="1150" t="s">
        <v>1599</v>
      </c>
      <c r="D106" s="1064" t="s">
        <v>1600</v>
      </c>
      <c r="E106" s="1135">
        <v>0.2</v>
      </c>
      <c r="F106" s="1150">
        <v>30</v>
      </c>
    </row>
    <row r="107" spans="1:6" s="1101" customFormat="1" ht="36">
      <c r="A107" s="1150">
        <v>47</v>
      </c>
      <c r="B107" s="3427" t="s">
        <v>1601</v>
      </c>
      <c r="C107" s="1150" t="s">
        <v>1602</v>
      </c>
      <c r="D107" s="1064" t="s">
        <v>1603</v>
      </c>
      <c r="E107" s="1135">
        <v>0.3</v>
      </c>
      <c r="F107" s="1150">
        <v>50</v>
      </c>
    </row>
    <row r="108" spans="1:6" s="1101" customFormat="1" ht="36">
      <c r="A108" s="1150">
        <v>48</v>
      </c>
      <c r="B108" s="3427"/>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427" t="s">
        <v>1612</v>
      </c>
      <c r="C111" s="1150" t="s">
        <v>1613</v>
      </c>
      <c r="D111" s="1064" t="s">
        <v>1614</v>
      </c>
      <c r="E111" s="1135">
        <v>0.2</v>
      </c>
      <c r="F111" s="1150">
        <v>30</v>
      </c>
    </row>
    <row r="112" spans="1:6" s="1101" customFormat="1" ht="24">
      <c r="A112" s="1150">
        <v>52</v>
      </c>
      <c r="B112" s="3427"/>
      <c r="C112" s="1150" t="s">
        <v>1615</v>
      </c>
      <c r="D112" s="1064" t="s">
        <v>1616</v>
      </c>
      <c r="E112" s="1135">
        <v>0.2</v>
      </c>
      <c r="F112" s="1150">
        <v>30</v>
      </c>
    </row>
    <row r="113" spans="1:14" s="1101" customFormat="1" ht="24">
      <c r="A113" s="1150">
        <v>53</v>
      </c>
      <c r="B113" s="3427"/>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427" t="s">
        <v>1625</v>
      </c>
      <c r="C116" s="1150" t="s">
        <v>1626</v>
      </c>
      <c r="D116" s="1064" t="s">
        <v>1627</v>
      </c>
      <c r="E116" s="1135">
        <v>0.2</v>
      </c>
      <c r="F116" s="1150">
        <v>30</v>
      </c>
    </row>
    <row r="117" spans="1:14" ht="36">
      <c r="A117" s="1150">
        <v>57</v>
      </c>
      <c r="B117" s="3427"/>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426" t="s">
        <v>1634</v>
      </c>
      <c r="B121" s="3426"/>
      <c r="C121" s="3426"/>
      <c r="D121" s="3426"/>
      <c r="E121" s="3426"/>
      <c r="F121" s="3426"/>
      <c r="G121" s="3426"/>
      <c r="H121" s="3426"/>
      <c r="I121" s="3426"/>
      <c r="J121" s="342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1040</v>
      </c>
      <c r="B1" s="3439"/>
      <c r="C1" s="3439"/>
      <c r="D1" s="3439"/>
      <c r="E1" s="3439"/>
      <c r="F1" s="3439"/>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440" t="s">
        <v>1053</v>
      </c>
      <c r="B2" s="3440"/>
      <c r="C2" s="3440"/>
      <c r="D2" s="3440"/>
      <c r="E2" s="3440"/>
      <c r="F2" s="3440"/>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441"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442"/>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2426</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2427</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2082</v>
      </c>
      <c r="B1" s="3443"/>
    </row>
    <row r="2" spans="1:6" ht="14.25" thickBot="1">
      <c r="A2" s="1849"/>
      <c r="B2" s="1849"/>
    </row>
    <row r="3" spans="1:6" ht="14.25" thickBot="1">
      <c r="A3" s="1849"/>
      <c r="B3" s="1849"/>
      <c r="C3" s="1850" t="s">
        <v>2083</v>
      </c>
      <c r="D3" s="1850" t="s">
        <v>2084</v>
      </c>
      <c r="E3" s="1850" t="s">
        <v>2085</v>
      </c>
      <c r="F3" s="1850" t="s">
        <v>2086</v>
      </c>
    </row>
    <row r="4" spans="1:6" ht="14.25" thickBot="1">
      <c r="A4" s="1851" t="s">
        <v>2087</v>
      </c>
      <c r="B4" s="1852" t="s">
        <v>2088</v>
      </c>
      <c r="C4" s="1850"/>
      <c r="D4" s="1850"/>
      <c r="E4" s="1850"/>
      <c r="F4" s="1850"/>
    </row>
    <row r="5" spans="1:6" ht="14.25" thickBot="1">
      <c r="A5" s="1853" t="s">
        <v>2089</v>
      </c>
      <c r="B5" s="1854" t="s">
        <v>2090</v>
      </c>
      <c r="C5" s="1855">
        <v>8.8999999999999996E-2</v>
      </c>
      <c r="D5" s="1855">
        <v>7.3999999999999996E-2</v>
      </c>
      <c r="E5" s="1855">
        <v>7.4999999999999997E-2</v>
      </c>
      <c r="F5" s="1856">
        <v>0.1</v>
      </c>
    </row>
    <row r="6" spans="1:6" ht="14.25" thickBot="1">
      <c r="A6" s="1853" t="s">
        <v>1097</v>
      </c>
      <c r="B6" s="1857" t="s">
        <v>2091</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2092</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2093</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2094</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2095</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2096</v>
      </c>
      <c r="C72" s="1867"/>
      <c r="D72" s="1867"/>
      <c r="E72" s="1867"/>
      <c r="F72" s="1859">
        <v>0.05</v>
      </c>
    </row>
    <row r="73" spans="1:6" ht="14.25" thickBot="1">
      <c r="A73" s="1853" t="s">
        <v>925</v>
      </c>
      <c r="B73" s="1857" t="s">
        <v>2097</v>
      </c>
      <c r="C73" s="1867"/>
      <c r="D73" s="1867"/>
      <c r="E73" s="1867"/>
      <c r="F73" s="1859">
        <v>0.05</v>
      </c>
    </row>
    <row r="74" spans="1:6" ht="14.25" thickBot="1">
      <c r="A74" s="1853" t="s">
        <v>925</v>
      </c>
      <c r="B74" s="1857" t="s">
        <v>2098</v>
      </c>
      <c r="C74" s="1867"/>
      <c r="D74" s="1867"/>
      <c r="E74" s="1867"/>
      <c r="F74" s="1859">
        <v>0.05</v>
      </c>
    </row>
    <row r="75" spans="1:6" ht="14.25" thickBot="1">
      <c r="A75" s="1861" t="s">
        <v>925</v>
      </c>
      <c r="B75" s="1868" t="s">
        <v>2099</v>
      </c>
      <c r="C75" s="1864"/>
      <c r="D75" s="1864"/>
      <c r="E75" s="1864"/>
      <c r="F75" s="1869">
        <v>0.05</v>
      </c>
    </row>
    <row r="76" spans="1:6" ht="14.25" thickBot="1">
      <c r="A76" s="1853" t="s">
        <v>1408</v>
      </c>
      <c r="B76" s="1854" t="s">
        <v>2100</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2101</v>
      </c>
      <c r="C102" s="1867"/>
      <c r="D102" s="1867"/>
      <c r="E102" s="1867"/>
      <c r="F102" s="1859">
        <v>0.05</v>
      </c>
    </row>
    <row r="103" spans="1:6" ht="24.75" thickBot="1">
      <c r="A103" s="1853" t="s">
        <v>1408</v>
      </c>
      <c r="B103" s="1857" t="s">
        <v>2102</v>
      </c>
      <c r="C103" s="1867"/>
      <c r="D103" s="1867"/>
      <c r="E103" s="1867"/>
      <c r="F103" s="1859">
        <v>0.05</v>
      </c>
    </row>
    <row r="104" spans="1:6" ht="14.25" thickBot="1">
      <c r="A104" s="1853" t="s">
        <v>1408</v>
      </c>
      <c r="B104" s="1857" t="s">
        <v>2103</v>
      </c>
      <c r="C104" s="1867"/>
      <c r="D104" s="1867"/>
      <c r="E104" s="1867"/>
      <c r="F104" s="1859">
        <v>0.05</v>
      </c>
    </row>
    <row r="105" spans="1:6" ht="14.25" thickBot="1">
      <c r="A105" s="1853" t="s">
        <v>1408</v>
      </c>
      <c r="B105" s="1857" t="s">
        <v>2104</v>
      </c>
      <c r="C105" s="1867"/>
      <c r="D105" s="1867"/>
      <c r="E105" s="1867"/>
      <c r="F105" s="1859">
        <v>0.05</v>
      </c>
    </row>
    <row r="106" spans="1:6" ht="14.25" thickBot="1">
      <c r="A106" s="1853" t="s">
        <v>1408</v>
      </c>
      <c r="B106" s="1857" t="s">
        <v>2105</v>
      </c>
      <c r="C106" s="1867"/>
      <c r="D106" s="1867"/>
      <c r="E106" s="1867"/>
      <c r="F106" s="1859">
        <v>0.05</v>
      </c>
    </row>
    <row r="107" spans="1:6" ht="24.75" thickBot="1">
      <c r="A107" s="1853" t="s">
        <v>1408</v>
      </c>
      <c r="B107" s="1857" t="s">
        <v>2106</v>
      </c>
      <c r="C107" s="1867"/>
      <c r="D107" s="1867"/>
      <c r="E107" s="1867"/>
      <c r="F107" s="1859">
        <v>0.05</v>
      </c>
    </row>
    <row r="108" spans="1:6" ht="24.75" thickBot="1">
      <c r="A108" s="1853" t="s">
        <v>1408</v>
      </c>
      <c r="B108" s="1857" t="s">
        <v>2107</v>
      </c>
      <c r="C108" s="1867"/>
      <c r="D108" s="1867"/>
      <c r="E108" s="1867"/>
      <c r="F108" s="1859">
        <v>0.05</v>
      </c>
    </row>
    <row r="109" spans="1:6" ht="24.75" thickBot="1">
      <c r="A109" s="1861" t="s">
        <v>1408</v>
      </c>
      <c r="B109" s="1868" t="s">
        <v>2108</v>
      </c>
      <c r="C109" s="1864"/>
      <c r="D109" s="1864"/>
      <c r="E109" s="1864"/>
      <c r="F109" s="1869">
        <v>0.05</v>
      </c>
    </row>
    <row r="110" spans="1:6" ht="14.25" thickBot="1">
      <c r="A110" s="1853" t="s">
        <v>1410</v>
      </c>
      <c r="B110" s="1854" t="s">
        <v>2109</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2110</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2111</v>
      </c>
      <c r="C138" s="1858">
        <v>0.105</v>
      </c>
      <c r="D138" s="1858">
        <v>0.125</v>
      </c>
      <c r="E138" s="1858">
        <v>0.112</v>
      </c>
      <c r="F138" s="1866"/>
    </row>
    <row r="139" spans="1:6" ht="14.25" thickBot="1">
      <c r="A139" s="1853" t="s">
        <v>1410</v>
      </c>
      <c r="B139" s="1857" t="s">
        <v>2112</v>
      </c>
      <c r="C139" s="1858">
        <v>0.127</v>
      </c>
      <c r="D139" s="1858">
        <v>0.127</v>
      </c>
      <c r="E139" s="1858">
        <v>0.122</v>
      </c>
      <c r="F139" s="1859">
        <v>0.13</v>
      </c>
    </row>
    <row r="140" spans="1:6" ht="14.25" thickBot="1">
      <c r="A140" s="1853" t="s">
        <v>1410</v>
      </c>
      <c r="B140" s="1857" t="s">
        <v>2113</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2114</v>
      </c>
      <c r="C144" s="1871">
        <v>0.126</v>
      </c>
      <c r="D144" s="1871">
        <v>0.126</v>
      </c>
      <c r="E144" s="1871">
        <v>0.121</v>
      </c>
      <c r="F144" s="1866"/>
    </row>
    <row r="145" spans="1:6" ht="14.25" thickBot="1">
      <c r="A145" s="1861" t="s">
        <v>1410</v>
      </c>
      <c r="B145" s="1872" t="s">
        <v>2115</v>
      </c>
      <c r="C145" s="1873"/>
      <c r="D145" s="1873"/>
      <c r="E145" s="1873"/>
      <c r="F145" s="1874">
        <v>0.05</v>
      </c>
    </row>
    <row r="146" spans="1:6" ht="24.75" thickBot="1">
      <c r="A146" s="1875" t="s">
        <v>1410</v>
      </c>
      <c r="B146" s="1860" t="s">
        <v>2116</v>
      </c>
      <c r="C146" s="1867"/>
      <c r="D146" s="1867"/>
      <c r="E146" s="1867"/>
      <c r="F146" s="1876">
        <v>0.05</v>
      </c>
    </row>
    <row r="147" spans="1:6" ht="24.75" thickBot="1">
      <c r="A147" s="1853" t="s">
        <v>1410</v>
      </c>
      <c r="B147" s="1857" t="s">
        <v>2117</v>
      </c>
      <c r="C147" s="1867"/>
      <c r="D147" s="1867"/>
      <c r="E147" s="1867"/>
      <c r="F147" s="1859">
        <v>0.05</v>
      </c>
    </row>
    <row r="148" spans="1:6" ht="24.75" thickBot="1">
      <c r="A148" s="1853" t="s">
        <v>1410</v>
      </c>
      <c r="B148" s="1857" t="s">
        <v>2118</v>
      </c>
      <c r="C148" s="1867"/>
      <c r="D148" s="1867"/>
      <c r="E148" s="1867"/>
      <c r="F148" s="1859">
        <v>0.05</v>
      </c>
    </row>
    <row r="149" spans="1:6" ht="24.75" thickBot="1">
      <c r="A149" s="1853" t="s">
        <v>1410</v>
      </c>
      <c r="B149" s="1857" t="s">
        <v>2119</v>
      </c>
      <c r="C149" s="1867"/>
      <c r="D149" s="1867"/>
      <c r="E149" s="1867"/>
      <c r="F149" s="1859">
        <v>0.05</v>
      </c>
    </row>
    <row r="150" spans="1:6" ht="24.75" thickBot="1">
      <c r="A150" s="1853" t="s">
        <v>1410</v>
      </c>
      <c r="B150" s="1857" t="s">
        <v>2120</v>
      </c>
      <c r="C150" s="1867"/>
      <c r="D150" s="1867"/>
      <c r="E150" s="1867"/>
      <c r="F150" s="1859">
        <v>0.05</v>
      </c>
    </row>
    <row r="151" spans="1:6" ht="24.75" thickBot="1">
      <c r="A151" s="1853" t="s">
        <v>1410</v>
      </c>
      <c r="B151" s="1857" t="s">
        <v>2121</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2122</v>
      </c>
      <c r="C153" s="1867"/>
      <c r="D153" s="1867"/>
      <c r="E153" s="1867"/>
      <c r="F153" s="1859">
        <v>0.05</v>
      </c>
    </row>
    <row r="154" spans="1:6" ht="14.25" thickBot="1">
      <c r="A154" s="1853" t="s">
        <v>1410</v>
      </c>
      <c r="B154" s="1857" t="s">
        <v>2123</v>
      </c>
      <c r="C154" s="1867"/>
      <c r="D154" s="1867"/>
      <c r="E154" s="1867"/>
      <c r="F154" s="1859">
        <v>0.05</v>
      </c>
    </row>
    <row r="155" spans="1:6" ht="24.75" thickBot="1">
      <c r="A155" s="1853" t="s">
        <v>1410</v>
      </c>
      <c r="B155" s="1857" t="s">
        <v>2124</v>
      </c>
      <c r="C155" s="1867"/>
      <c r="D155" s="1867"/>
      <c r="E155" s="1867"/>
      <c r="F155" s="1859">
        <v>0.05</v>
      </c>
    </row>
    <row r="156" spans="1:6" ht="24.75" thickBot="1">
      <c r="A156" s="1853" t="s">
        <v>1410</v>
      </c>
      <c r="B156" s="1857" t="s">
        <v>2125</v>
      </c>
      <c r="C156" s="1867"/>
      <c r="D156" s="1867"/>
      <c r="E156" s="1867"/>
      <c r="F156" s="1859">
        <v>0.05</v>
      </c>
    </row>
    <row r="157" spans="1:6" ht="14.25" thickBot="1">
      <c r="A157" s="1861" t="s">
        <v>1410</v>
      </c>
      <c r="B157" s="1868" t="s">
        <v>2126</v>
      </c>
      <c r="C157" s="1864"/>
      <c r="D157" s="1864"/>
      <c r="E157" s="1864"/>
      <c r="F157" s="1869">
        <v>0.05</v>
      </c>
    </row>
    <row r="158" spans="1:6" ht="14.25" thickBot="1">
      <c r="A158" s="1853" t="s">
        <v>1412</v>
      </c>
      <c r="B158" s="1854" t="s">
        <v>2127</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2128</v>
      </c>
      <c r="C171" s="1858">
        <v>0.127</v>
      </c>
      <c r="D171" s="1858">
        <v>0.126</v>
      </c>
      <c r="E171" s="1858">
        <v>0.126</v>
      </c>
      <c r="F171" s="1859">
        <v>0.11799999999999999</v>
      </c>
    </row>
    <row r="172" spans="1:6" ht="14.25" thickBot="1">
      <c r="A172" s="1853" t="s">
        <v>1412</v>
      </c>
      <c r="B172" s="1857" t="s">
        <v>2129</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2130</v>
      </c>
      <c r="C174" s="1858">
        <v>0.13</v>
      </c>
      <c r="D174" s="1858">
        <v>0.13</v>
      </c>
      <c r="E174" s="1858">
        <v>0.13</v>
      </c>
      <c r="F174" s="1859">
        <v>0.13</v>
      </c>
    </row>
    <row r="175" spans="1:6" ht="14.25" thickBot="1">
      <c r="A175" s="1853" t="s">
        <v>1412</v>
      </c>
      <c r="B175" s="1857" t="s">
        <v>2131</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2132</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2133</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2134</v>
      </c>
      <c r="C185" s="1858">
        <v>0.127</v>
      </c>
      <c r="D185" s="1858">
        <v>0.127</v>
      </c>
      <c r="E185" s="1858">
        <v>0.128</v>
      </c>
      <c r="F185" s="1859">
        <v>0.13</v>
      </c>
    </row>
    <row r="186" spans="1:6" ht="24.75" thickBot="1">
      <c r="A186" s="1853" t="s">
        <v>1412</v>
      </c>
      <c r="B186" s="1857" t="s">
        <v>2135</v>
      </c>
      <c r="C186" s="1867"/>
      <c r="D186" s="1867"/>
      <c r="E186" s="1867"/>
      <c r="F186" s="1859">
        <v>0.05</v>
      </c>
    </row>
    <row r="187" spans="1:6" ht="14.25" thickBot="1">
      <c r="A187" s="1853" t="s">
        <v>1412</v>
      </c>
      <c r="B187" s="1857" t="s">
        <v>2136</v>
      </c>
      <c r="C187" s="1867"/>
      <c r="D187" s="1867"/>
      <c r="E187" s="1867"/>
      <c r="F187" s="1859">
        <v>0.05</v>
      </c>
    </row>
    <row r="188" spans="1:6" ht="14.25" thickBot="1">
      <c r="A188" s="1853" t="s">
        <v>1412</v>
      </c>
      <c r="B188" s="1857" t="s">
        <v>2137</v>
      </c>
      <c r="C188" s="1867"/>
      <c r="D188" s="1867"/>
      <c r="E188" s="1867"/>
      <c r="F188" s="1859">
        <v>0.05</v>
      </c>
    </row>
    <row r="189" spans="1:6" ht="24.75" thickBot="1">
      <c r="A189" s="1853" t="s">
        <v>1412</v>
      </c>
      <c r="B189" s="1857" t="s">
        <v>2138</v>
      </c>
      <c r="C189" s="1867"/>
      <c r="D189" s="1867"/>
      <c r="E189" s="1867"/>
      <c r="F189" s="1859">
        <v>0.05</v>
      </c>
    </row>
    <row r="190" spans="1:6" ht="24.75" thickBot="1">
      <c r="A190" s="1853" t="s">
        <v>1412</v>
      </c>
      <c r="B190" s="1857" t="s">
        <v>2139</v>
      </c>
      <c r="C190" s="1867"/>
      <c r="D190" s="1867"/>
      <c r="E190" s="1867"/>
      <c r="F190" s="1859">
        <v>0.05</v>
      </c>
    </row>
    <row r="191" spans="1:6" ht="24.75" thickBot="1">
      <c r="A191" s="1853" t="s">
        <v>1412</v>
      </c>
      <c r="B191" s="1857" t="s">
        <v>2140</v>
      </c>
      <c r="C191" s="1867"/>
      <c r="D191" s="1867"/>
      <c r="E191" s="1867"/>
      <c r="F191" s="1859">
        <v>0.05</v>
      </c>
    </row>
    <row r="192" spans="1:6" ht="24.75" thickBot="1">
      <c r="A192" s="1853" t="s">
        <v>1412</v>
      </c>
      <c r="B192" s="1857" t="s">
        <v>2141</v>
      </c>
      <c r="C192" s="1867"/>
      <c r="D192" s="1867"/>
      <c r="E192" s="1867"/>
      <c r="F192" s="1859">
        <v>0.05</v>
      </c>
    </row>
    <row r="193" spans="1:6" ht="24.75" thickBot="1">
      <c r="A193" s="1853" t="s">
        <v>1412</v>
      </c>
      <c r="B193" s="1857" t="s">
        <v>2142</v>
      </c>
      <c r="C193" s="1867"/>
      <c r="D193" s="1867"/>
      <c r="E193" s="1867"/>
      <c r="F193" s="1859">
        <v>0.05</v>
      </c>
    </row>
    <row r="194" spans="1:6" ht="24.75" thickBot="1">
      <c r="A194" s="1853" t="s">
        <v>1412</v>
      </c>
      <c r="B194" s="1857" t="s">
        <v>2143</v>
      </c>
      <c r="C194" s="1867"/>
      <c r="D194" s="1867"/>
      <c r="E194" s="1867"/>
      <c r="F194" s="1859">
        <v>0.05</v>
      </c>
    </row>
    <row r="195" spans="1:6" ht="14.25" thickBot="1">
      <c r="A195" s="1853" t="s">
        <v>1412</v>
      </c>
      <c r="B195" s="1857" t="s">
        <v>2144</v>
      </c>
      <c r="C195" s="1867"/>
      <c r="D195" s="1867"/>
      <c r="E195" s="1867"/>
      <c r="F195" s="1859">
        <v>0.05</v>
      </c>
    </row>
    <row r="196" spans="1:6" ht="24.75" thickBot="1">
      <c r="A196" s="1853" t="s">
        <v>1412</v>
      </c>
      <c r="B196" s="1857" t="s">
        <v>2145</v>
      </c>
      <c r="C196" s="1867"/>
      <c r="D196" s="1867"/>
      <c r="E196" s="1867"/>
      <c r="F196" s="1859">
        <v>0.05</v>
      </c>
    </row>
    <row r="197" spans="1:6" ht="24.75" thickBot="1">
      <c r="A197" s="1853" t="s">
        <v>1412</v>
      </c>
      <c r="B197" s="1857" t="s">
        <v>2146</v>
      </c>
      <c r="C197" s="1867"/>
      <c r="D197" s="1867"/>
      <c r="E197" s="1867"/>
      <c r="F197" s="1859">
        <v>0.05</v>
      </c>
    </row>
    <row r="198" spans="1:6" ht="24.75" thickBot="1">
      <c r="A198" s="1853" t="s">
        <v>1412</v>
      </c>
      <c r="B198" s="1857" t="s">
        <v>2147</v>
      </c>
      <c r="C198" s="1867"/>
      <c r="D198" s="1867"/>
      <c r="E198" s="1867"/>
      <c r="F198" s="1859">
        <v>0.05</v>
      </c>
    </row>
    <row r="199" spans="1:6" ht="24.75" thickBot="1">
      <c r="A199" s="1853" t="s">
        <v>1412</v>
      </c>
      <c r="B199" s="1857" t="s">
        <v>2148</v>
      </c>
      <c r="C199" s="1867"/>
      <c r="D199" s="1867"/>
      <c r="E199" s="1867"/>
      <c r="F199" s="1859">
        <v>0.05</v>
      </c>
    </row>
    <row r="200" spans="1:6" ht="24.75" thickBot="1">
      <c r="A200" s="1853" t="s">
        <v>1412</v>
      </c>
      <c r="B200" s="1857" t="s">
        <v>2149</v>
      </c>
      <c r="C200" s="1867"/>
      <c r="D200" s="1867"/>
      <c r="E200" s="1867"/>
      <c r="F200" s="1859">
        <v>0.05</v>
      </c>
    </row>
    <row r="201" spans="1:6" ht="24.75" thickBot="1">
      <c r="A201" s="1853" t="s">
        <v>1412</v>
      </c>
      <c r="B201" s="1857" t="s">
        <v>2150</v>
      </c>
      <c r="C201" s="1867"/>
      <c r="D201" s="1867"/>
      <c r="E201" s="1867"/>
      <c r="F201" s="1859">
        <v>0.05</v>
      </c>
    </row>
    <row r="202" spans="1:6" ht="24.75" thickBot="1">
      <c r="A202" s="1853" t="s">
        <v>1412</v>
      </c>
      <c r="B202" s="1857" t="s">
        <v>2151</v>
      </c>
      <c r="C202" s="1867"/>
      <c r="D202" s="1867"/>
      <c r="E202" s="1867"/>
      <c r="F202" s="1859">
        <v>0.05</v>
      </c>
    </row>
    <row r="203" spans="1:6" ht="24.75" thickBot="1">
      <c r="A203" s="1853" t="s">
        <v>1412</v>
      </c>
      <c r="B203" s="1857" t="s">
        <v>2152</v>
      </c>
      <c r="C203" s="1867"/>
      <c r="D203" s="1867"/>
      <c r="E203" s="1867"/>
      <c r="F203" s="1859">
        <v>0.05</v>
      </c>
    </row>
    <row r="204" spans="1:6" ht="14.25" thickBot="1">
      <c r="A204" s="1853" t="s">
        <v>1412</v>
      </c>
      <c r="B204" s="1857" t="s">
        <v>2153</v>
      </c>
      <c r="C204" s="1867"/>
      <c r="D204" s="1867"/>
      <c r="E204" s="1867"/>
      <c r="F204" s="1859">
        <v>0.05</v>
      </c>
    </row>
    <row r="205" spans="1:6" ht="14.25" thickBot="1">
      <c r="A205" s="1861" t="s">
        <v>1412</v>
      </c>
      <c r="B205" s="1868" t="s">
        <v>2154</v>
      </c>
      <c r="C205" s="1864"/>
      <c r="D205" s="1864"/>
      <c r="E205" s="1864"/>
      <c r="F205" s="1869">
        <v>0.05</v>
      </c>
    </row>
    <row r="206" spans="1:6" ht="14.25" thickBot="1">
      <c r="A206" s="1853" t="s">
        <v>1414</v>
      </c>
      <c r="B206" s="1854" t="s">
        <v>2155</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2156</v>
      </c>
      <c r="C210" s="1858">
        <v>0.15</v>
      </c>
      <c r="D210" s="1858">
        <v>0.15</v>
      </c>
      <c r="E210" s="1858">
        <v>0.15</v>
      </c>
      <c r="F210" s="1859">
        <v>0.13800000000000001</v>
      </c>
    </row>
    <row r="211" spans="1:6" ht="14.25" thickBot="1">
      <c r="A211" s="1853" t="s">
        <v>1414</v>
      </c>
      <c r="B211" s="1857" t="s">
        <v>2157</v>
      </c>
      <c r="C211" s="1858">
        <v>0.13700000000000001</v>
      </c>
      <c r="D211" s="1858">
        <v>0.13500000000000001</v>
      </c>
      <c r="E211" s="1858">
        <v>0.13600000000000001</v>
      </c>
      <c r="F211" s="1859">
        <v>0.1</v>
      </c>
    </row>
    <row r="212" spans="1:6" ht="14.25" thickBot="1">
      <c r="A212" s="1853" t="s">
        <v>1414</v>
      </c>
      <c r="B212" s="1857" t="s">
        <v>2158</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2159</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2160</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2161</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2162</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2163</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2164</v>
      </c>
      <c r="C231" s="1858">
        <v>0.128</v>
      </c>
      <c r="D231" s="1858">
        <v>0.125</v>
      </c>
      <c r="E231" s="1858">
        <v>0.13200000000000001</v>
      </c>
      <c r="F231" s="1866"/>
    </row>
    <row r="232" spans="1:6" ht="14.25" thickBot="1">
      <c r="A232" s="1853" t="s">
        <v>1414</v>
      </c>
      <c r="B232" s="1857" t="s">
        <v>2165</v>
      </c>
      <c r="C232" s="1858">
        <v>0.14499999999999999</v>
      </c>
      <c r="D232" s="1858">
        <v>0.14399999999999999</v>
      </c>
      <c r="E232" s="1858">
        <v>0.14599999999999999</v>
      </c>
      <c r="F232" s="1859">
        <v>0.13800000000000001</v>
      </c>
    </row>
    <row r="233" spans="1:6" ht="14.25" thickBot="1">
      <c r="A233" s="1853" t="s">
        <v>1414</v>
      </c>
      <c r="B233" s="1857" t="s">
        <v>2166</v>
      </c>
      <c r="C233" s="1858">
        <v>0.14499999999999999</v>
      </c>
      <c r="D233" s="1858">
        <v>0.14299999999999999</v>
      </c>
      <c r="E233" s="1858">
        <v>0.14199999999999999</v>
      </c>
      <c r="F233" s="1866"/>
    </row>
    <row r="234" spans="1:6" ht="14.25" thickBot="1">
      <c r="A234" s="1853" t="s">
        <v>1414</v>
      </c>
      <c r="B234" s="1857" t="s">
        <v>2167</v>
      </c>
      <c r="C234" s="1858">
        <v>0.14000000000000001</v>
      </c>
      <c r="D234" s="1858">
        <v>0.14000000000000001</v>
      </c>
      <c r="E234" s="1858">
        <v>0.14399999999999999</v>
      </c>
      <c r="F234" s="1866"/>
    </row>
    <row r="235" spans="1:6" ht="14.25" thickBot="1">
      <c r="A235" s="1853" t="s">
        <v>1414</v>
      </c>
      <c r="B235" s="1857" t="s">
        <v>2168</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2169</v>
      </c>
      <c r="C237" s="1867"/>
      <c r="D237" s="1867"/>
      <c r="E237" s="1867"/>
      <c r="F237" s="1859">
        <v>0.05</v>
      </c>
    </row>
    <row r="238" spans="1:6" ht="24.75" thickBot="1">
      <c r="A238" s="1853" t="s">
        <v>1414</v>
      </c>
      <c r="B238" s="1857" t="s">
        <v>2170</v>
      </c>
      <c r="C238" s="1867"/>
      <c r="D238" s="1867"/>
      <c r="E238" s="1867"/>
      <c r="F238" s="1859">
        <v>0.05</v>
      </c>
    </row>
    <row r="239" spans="1:6" ht="24.75" thickBot="1">
      <c r="A239" s="1853" t="s">
        <v>1414</v>
      </c>
      <c r="B239" s="1857" t="s">
        <v>2171</v>
      </c>
      <c r="C239" s="1867"/>
      <c r="D239" s="1867"/>
      <c r="E239" s="1867"/>
      <c r="F239" s="1859">
        <v>0.05</v>
      </c>
    </row>
    <row r="240" spans="1:6" ht="24.75" thickBot="1">
      <c r="A240" s="1853" t="s">
        <v>1414</v>
      </c>
      <c r="B240" s="1857" t="s">
        <v>2172</v>
      </c>
      <c r="C240" s="1867"/>
      <c r="D240" s="1867"/>
      <c r="E240" s="1867"/>
      <c r="F240" s="1859">
        <v>0.05</v>
      </c>
    </row>
    <row r="241" spans="1:6" ht="24.75" thickBot="1">
      <c r="A241" s="1853" t="s">
        <v>1414</v>
      </c>
      <c r="B241" s="1857" t="s">
        <v>2173</v>
      </c>
      <c r="C241" s="1867"/>
      <c r="D241" s="1867"/>
      <c r="E241" s="1867"/>
      <c r="F241" s="1859">
        <v>0.05</v>
      </c>
    </row>
    <row r="242" spans="1:6" ht="24.75" thickBot="1">
      <c r="A242" s="1853" t="s">
        <v>1414</v>
      </c>
      <c r="B242" s="1857" t="s">
        <v>2174</v>
      </c>
      <c r="C242" s="1867"/>
      <c r="D242" s="1867"/>
      <c r="E242" s="1867"/>
      <c r="F242" s="1859">
        <v>0.05</v>
      </c>
    </row>
    <row r="243" spans="1:6" ht="24.75" thickBot="1">
      <c r="A243" s="1853" t="s">
        <v>1414</v>
      </c>
      <c r="B243" s="1857" t="s">
        <v>2175</v>
      </c>
      <c r="C243" s="1867"/>
      <c r="D243" s="1867"/>
      <c r="E243" s="1867"/>
      <c r="F243" s="1859">
        <v>0.05</v>
      </c>
    </row>
    <row r="244" spans="1:6" ht="24.75" thickBot="1">
      <c r="A244" s="1861" t="s">
        <v>1414</v>
      </c>
      <c r="B244" s="1868" t="s">
        <v>2176</v>
      </c>
      <c r="C244" s="1864"/>
      <c r="D244" s="1864"/>
      <c r="E244" s="1864"/>
      <c r="F244" s="1869">
        <v>0.05</v>
      </c>
    </row>
    <row r="245" spans="1:6" ht="14.25" thickBot="1">
      <c r="A245" s="1853" t="s">
        <v>1416</v>
      </c>
      <c r="B245" s="1854" t="s">
        <v>2177</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2178</v>
      </c>
      <c r="C247" s="1858">
        <v>0.15</v>
      </c>
      <c r="D247" s="1858">
        <v>0.15</v>
      </c>
      <c r="E247" s="1858">
        <v>0.15</v>
      </c>
      <c r="F247" s="1859">
        <v>0.15</v>
      </c>
    </row>
    <row r="248" spans="1:6" ht="14.25" thickBot="1">
      <c r="A248" s="1853" t="s">
        <v>1416</v>
      </c>
      <c r="B248" s="1857" t="s">
        <v>2179</v>
      </c>
      <c r="C248" s="1858">
        <v>0.15</v>
      </c>
      <c r="D248" s="1858">
        <v>0.15</v>
      </c>
      <c r="E248" s="1858">
        <v>0.15</v>
      </c>
      <c r="F248" s="1859">
        <v>0.14000000000000001</v>
      </c>
    </row>
    <row r="249" spans="1:6" ht="14.25" thickBot="1">
      <c r="A249" s="1853" t="s">
        <v>1416</v>
      </c>
      <c r="B249" s="1857" t="s">
        <v>2180</v>
      </c>
      <c r="C249" s="1858">
        <v>0.15</v>
      </c>
      <c r="D249" s="1858">
        <v>0.14899999999999999</v>
      </c>
      <c r="E249" s="1858">
        <v>0.15</v>
      </c>
      <c r="F249" s="1859">
        <v>0.1</v>
      </c>
    </row>
    <row r="250" spans="1:6" ht="14.25" thickBot="1">
      <c r="A250" s="1853" t="s">
        <v>1416</v>
      </c>
      <c r="B250" s="1857" t="s">
        <v>2181</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2182</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2183</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2184</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2185</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2186</v>
      </c>
      <c r="C273" s="1858">
        <v>0.14199999999999999</v>
      </c>
      <c r="D273" s="1858">
        <v>0.14299999999999999</v>
      </c>
      <c r="E273" s="1858">
        <v>0.15</v>
      </c>
      <c r="F273" s="1859">
        <v>0.1</v>
      </c>
    </row>
    <row r="274" spans="1:6" ht="14.25" thickBot="1">
      <c r="A274" s="1853" t="s">
        <v>1416</v>
      </c>
      <c r="B274" s="1857" t="s">
        <v>2187</v>
      </c>
      <c r="C274" s="1858">
        <v>0.14799999999999999</v>
      </c>
      <c r="D274" s="1858">
        <v>0.14799999999999999</v>
      </c>
      <c r="E274" s="1858">
        <v>0.15</v>
      </c>
      <c r="F274" s="1859">
        <v>6.7000000000000004E-2</v>
      </c>
    </row>
    <row r="275" spans="1:6" ht="14.25" thickBot="1">
      <c r="A275" s="1853" t="s">
        <v>1416</v>
      </c>
      <c r="B275" s="1857" t="s">
        <v>2188</v>
      </c>
      <c r="C275" s="1858">
        <v>0.15</v>
      </c>
      <c r="D275" s="1858">
        <v>0.15</v>
      </c>
      <c r="E275" s="1858">
        <v>0.15</v>
      </c>
      <c r="F275" s="1859">
        <v>0.15</v>
      </c>
    </row>
    <row r="276" spans="1:6" ht="14.25" thickBot="1">
      <c r="A276" s="1853" t="s">
        <v>1416</v>
      </c>
      <c r="B276" s="1857" t="s">
        <v>2189</v>
      </c>
      <c r="C276" s="1858">
        <v>0.14499999999999999</v>
      </c>
      <c r="D276" s="1858">
        <v>0.14299999999999999</v>
      </c>
      <c r="E276" s="1858">
        <v>0.15</v>
      </c>
      <c r="F276" s="1859">
        <v>5.8999999999999997E-2</v>
      </c>
    </row>
    <row r="277" spans="1:6" ht="14.25" thickBot="1">
      <c r="A277" s="1853" t="s">
        <v>1416</v>
      </c>
      <c r="B277" s="1857" t="s">
        <v>2190</v>
      </c>
      <c r="C277" s="1858">
        <v>0.15</v>
      </c>
      <c r="D277" s="1858">
        <v>0.15</v>
      </c>
      <c r="E277" s="1858">
        <v>0.15</v>
      </c>
      <c r="F277" s="1859">
        <v>0.121</v>
      </c>
    </row>
    <row r="278" spans="1:6" ht="14.25" thickBot="1">
      <c r="A278" s="1853" t="s">
        <v>1416</v>
      </c>
      <c r="B278" s="1857" t="s">
        <v>2191</v>
      </c>
      <c r="C278" s="1858">
        <v>0.15</v>
      </c>
      <c r="D278" s="1858">
        <v>0.15</v>
      </c>
      <c r="E278" s="1858">
        <v>0.15</v>
      </c>
      <c r="F278" s="1859">
        <v>0.13800000000000001</v>
      </c>
    </row>
    <row r="279" spans="1:6" ht="24.75" thickBot="1">
      <c r="A279" s="1853" t="s">
        <v>1416</v>
      </c>
      <c r="B279" s="1857" t="s">
        <v>2192</v>
      </c>
      <c r="C279" s="1867"/>
      <c r="D279" s="1867"/>
      <c r="E279" s="1867"/>
      <c r="F279" s="1859">
        <v>0.05</v>
      </c>
    </row>
    <row r="280" spans="1:6" ht="24.75" thickBot="1">
      <c r="A280" s="1853" t="s">
        <v>1416</v>
      </c>
      <c r="B280" s="1857" t="s">
        <v>2193</v>
      </c>
      <c r="C280" s="1867"/>
      <c r="D280" s="1867"/>
      <c r="E280" s="1867"/>
      <c r="F280" s="1859">
        <v>0.05</v>
      </c>
    </row>
    <row r="281" spans="1:6" ht="24.75" thickBot="1">
      <c r="A281" s="1853" t="s">
        <v>1416</v>
      </c>
      <c r="B281" s="1857" t="s">
        <v>2194</v>
      </c>
      <c r="C281" s="1867"/>
      <c r="D281" s="1867"/>
      <c r="E281" s="1867"/>
      <c r="F281" s="1859">
        <v>0.05</v>
      </c>
    </row>
    <row r="282" spans="1:6" ht="24.75" thickBot="1">
      <c r="A282" s="1853" t="s">
        <v>1416</v>
      </c>
      <c r="B282" s="1857" t="s">
        <v>2195</v>
      </c>
      <c r="C282" s="1867"/>
      <c r="D282" s="1867"/>
      <c r="E282" s="1867"/>
      <c r="F282" s="1859">
        <v>0.05</v>
      </c>
    </row>
    <row r="283" spans="1:6" ht="24.75" thickBot="1">
      <c r="A283" s="1853" t="s">
        <v>1416</v>
      </c>
      <c r="B283" s="1857" t="s">
        <v>2196</v>
      </c>
      <c r="C283" s="1867"/>
      <c r="D283" s="1867"/>
      <c r="E283" s="1867"/>
      <c r="F283" s="1859">
        <v>0.05</v>
      </c>
    </row>
    <row r="284" spans="1:6" ht="24.75" thickBot="1">
      <c r="A284" s="1853" t="s">
        <v>1416</v>
      </c>
      <c r="B284" s="1857" t="s">
        <v>2197</v>
      </c>
      <c r="C284" s="1867"/>
      <c r="D284" s="1867"/>
      <c r="E284" s="1867"/>
      <c r="F284" s="1859">
        <v>0.05</v>
      </c>
    </row>
    <row r="285" spans="1:6" ht="24.75" thickBot="1">
      <c r="A285" s="1853" t="s">
        <v>1416</v>
      </c>
      <c r="B285" s="1857" t="s">
        <v>2198</v>
      </c>
      <c r="C285" s="1867"/>
      <c r="D285" s="1867"/>
      <c r="E285" s="1867"/>
      <c r="F285" s="1859">
        <v>0.05</v>
      </c>
    </row>
    <row r="286" spans="1:6" ht="24.75" thickBot="1">
      <c r="A286" s="1853" t="s">
        <v>1416</v>
      </c>
      <c r="B286" s="1857" t="s">
        <v>2199</v>
      </c>
      <c r="C286" s="1867"/>
      <c r="D286" s="1867"/>
      <c r="E286" s="1867"/>
      <c r="F286" s="1859">
        <v>0.05</v>
      </c>
    </row>
    <row r="287" spans="1:6" ht="24.75" thickBot="1">
      <c r="A287" s="1853" t="s">
        <v>1416</v>
      </c>
      <c r="B287" s="1857" t="s">
        <v>2200</v>
      </c>
      <c r="C287" s="1867"/>
      <c r="D287" s="1867"/>
      <c r="E287" s="1867"/>
      <c r="F287" s="1859">
        <v>0.05</v>
      </c>
    </row>
    <row r="288" spans="1:6" ht="24.75" thickBot="1">
      <c r="A288" s="1853" t="s">
        <v>1416</v>
      </c>
      <c r="B288" s="1857" t="s">
        <v>2201</v>
      </c>
      <c r="C288" s="1867"/>
      <c r="D288" s="1867"/>
      <c r="E288" s="1867"/>
      <c r="F288" s="1859">
        <v>0.05</v>
      </c>
    </row>
    <row r="289" spans="1:6" ht="24.75" thickBot="1">
      <c r="A289" s="1861" t="s">
        <v>1416</v>
      </c>
      <c r="B289" s="1868" t="s">
        <v>2202</v>
      </c>
      <c r="C289" s="1864"/>
      <c r="D289" s="1864"/>
      <c r="E289" s="1864"/>
      <c r="F289" s="1869">
        <v>0.05</v>
      </c>
    </row>
    <row r="290" spans="1:6" ht="14.25" thickBot="1">
      <c r="A290" s="1853" t="s">
        <v>1420</v>
      </c>
      <c r="B290" s="1854" t="s">
        <v>2203</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2204</v>
      </c>
      <c r="C292" s="1858">
        <v>0.15</v>
      </c>
      <c r="D292" s="1858">
        <v>0.15</v>
      </c>
      <c r="E292" s="1858">
        <v>0.15</v>
      </c>
      <c r="F292" s="1859">
        <v>0.14699999999999999</v>
      </c>
    </row>
    <row r="293" spans="1:6" ht="14.25" thickBot="1">
      <c r="A293" s="1853" t="s">
        <v>1420</v>
      </c>
      <c r="B293" s="1857" t="s">
        <v>2205</v>
      </c>
      <c r="C293" s="1867"/>
      <c r="D293" s="1867"/>
      <c r="E293" s="1867"/>
      <c r="F293" s="1859">
        <v>0.1</v>
      </c>
    </row>
    <row r="294" spans="1:6" ht="14.25" thickBot="1">
      <c r="A294" s="1853" t="s">
        <v>1420</v>
      </c>
      <c r="B294" s="1857" t="s">
        <v>2206</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2207</v>
      </c>
      <c r="C296" s="1858">
        <v>0.15</v>
      </c>
      <c r="D296" s="1858">
        <v>0.15</v>
      </c>
      <c r="E296" s="1858">
        <v>0.15</v>
      </c>
      <c r="F296" s="1859">
        <v>0.15</v>
      </c>
    </row>
    <row r="297" spans="1:6" ht="14.25" thickBot="1">
      <c r="A297" s="1853" t="s">
        <v>1420</v>
      </c>
      <c r="B297" s="1857" t="s">
        <v>2208</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2209</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2210</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2211</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2212</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2213</v>
      </c>
      <c r="C310" s="1858">
        <v>0.15</v>
      </c>
      <c r="D310" s="1858">
        <v>0.15</v>
      </c>
      <c r="E310" s="1858">
        <v>0.15</v>
      </c>
      <c r="F310" s="1859">
        <v>0.13700000000000001</v>
      </c>
    </row>
    <row r="311" spans="1:6" ht="14.25" thickBot="1">
      <c r="A311" s="1853" t="s">
        <v>1420</v>
      </c>
      <c r="B311" s="1857" t="s">
        <v>2214</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2215</v>
      </c>
      <c r="C313" s="1858">
        <v>0.15</v>
      </c>
      <c r="D313" s="1858">
        <v>0.15</v>
      </c>
      <c r="E313" s="1858">
        <v>0.15</v>
      </c>
      <c r="F313" s="1859">
        <v>0.15</v>
      </c>
    </row>
    <row r="314" spans="1:6" ht="24.75" thickBot="1">
      <c r="A314" s="1853" t="s">
        <v>1420</v>
      </c>
      <c r="B314" s="1857" t="s">
        <v>2216</v>
      </c>
      <c r="C314" s="1867"/>
      <c r="D314" s="1867"/>
      <c r="E314" s="1867"/>
      <c r="F314" s="1859">
        <v>0.05</v>
      </c>
    </row>
    <row r="315" spans="1:6" ht="24.75" thickBot="1">
      <c r="A315" s="1853" t="s">
        <v>1420</v>
      </c>
      <c r="B315" s="1857" t="s">
        <v>2217</v>
      </c>
      <c r="C315" s="1867"/>
      <c r="D315" s="1867"/>
      <c r="E315" s="1867"/>
      <c r="F315" s="1859">
        <v>0.05</v>
      </c>
    </row>
    <row r="316" spans="1:6" ht="24.75" thickBot="1">
      <c r="A316" s="1861" t="s">
        <v>1420</v>
      </c>
      <c r="B316" s="1868" t="s">
        <v>2218</v>
      </c>
      <c r="C316" s="1864"/>
      <c r="D316" s="1864"/>
      <c r="E316" s="1864"/>
      <c r="F316" s="1869">
        <v>0.05</v>
      </c>
    </row>
    <row r="317" spans="1:6" ht="14.25" thickBot="1">
      <c r="A317" s="1853" t="s">
        <v>2219</v>
      </c>
      <c r="B317" s="1854" t="s">
        <v>2220</v>
      </c>
      <c r="C317" s="1855">
        <v>0.15</v>
      </c>
      <c r="D317" s="1855">
        <v>0.15</v>
      </c>
      <c r="E317" s="1855">
        <v>0.15</v>
      </c>
      <c r="F317" s="1856">
        <v>0.15</v>
      </c>
    </row>
    <row r="318" spans="1:6" ht="14.25" thickBot="1">
      <c r="A318" s="1853" t="s">
        <v>2219</v>
      </c>
      <c r="B318" s="1857" t="s">
        <v>2221</v>
      </c>
      <c r="C318" s="1858">
        <v>0.107</v>
      </c>
      <c r="D318" s="1858">
        <v>0.11</v>
      </c>
      <c r="E318" s="1858">
        <v>0.112</v>
      </c>
      <c r="F318" s="1866"/>
    </row>
    <row r="319" spans="1:6" ht="14.25" thickBot="1">
      <c r="A319" s="1853" t="s">
        <v>2219</v>
      </c>
      <c r="B319" s="1857" t="s">
        <v>2222</v>
      </c>
      <c r="C319" s="1858">
        <v>0.15</v>
      </c>
      <c r="D319" s="1858">
        <v>0.15</v>
      </c>
      <c r="E319" s="1858">
        <v>0.15</v>
      </c>
      <c r="F319" s="1859">
        <v>0.15</v>
      </c>
    </row>
    <row r="320" spans="1:6" ht="14.25" thickBot="1">
      <c r="A320" s="1853" t="s">
        <v>2219</v>
      </c>
      <c r="B320" s="1857" t="s">
        <v>1108</v>
      </c>
      <c r="C320" s="1858">
        <v>0.15</v>
      </c>
      <c r="D320" s="1858">
        <v>0.15</v>
      </c>
      <c r="E320" s="1858">
        <v>0.15</v>
      </c>
      <c r="F320" s="1866"/>
    </row>
    <row r="321" spans="1:6" ht="14.25" thickBot="1">
      <c r="A321" s="1853" t="s">
        <v>2219</v>
      </c>
      <c r="B321" s="1857" t="s">
        <v>2223</v>
      </c>
      <c r="C321" s="1858">
        <v>0.15</v>
      </c>
      <c r="D321" s="1858">
        <v>0.15</v>
      </c>
      <c r="E321" s="1858">
        <v>0.15</v>
      </c>
      <c r="F321" s="1866"/>
    </row>
    <row r="322" spans="1:6" ht="14.25" thickBot="1">
      <c r="A322" s="1853" t="s">
        <v>2219</v>
      </c>
      <c r="B322" s="1857" t="s">
        <v>2224</v>
      </c>
      <c r="C322" s="1858">
        <v>0.15</v>
      </c>
      <c r="D322" s="1858">
        <v>0.15</v>
      </c>
      <c r="E322" s="1858">
        <v>0.15</v>
      </c>
      <c r="F322" s="1859">
        <v>0.15</v>
      </c>
    </row>
    <row r="323" spans="1:6" ht="14.25" thickBot="1">
      <c r="A323" s="1853" t="s">
        <v>2219</v>
      </c>
      <c r="B323" s="1857" t="s">
        <v>2225</v>
      </c>
      <c r="C323" s="1858">
        <v>0.15</v>
      </c>
      <c r="D323" s="1858">
        <v>0.15</v>
      </c>
      <c r="E323" s="1858">
        <v>0.15</v>
      </c>
      <c r="F323" s="1866"/>
    </row>
    <row r="324" spans="1:6" ht="14.25" thickBot="1">
      <c r="A324" s="1853" t="s">
        <v>2219</v>
      </c>
      <c r="B324" s="1857" t="s">
        <v>2226</v>
      </c>
      <c r="C324" s="1858">
        <v>0.15</v>
      </c>
      <c r="D324" s="1858">
        <v>0.15</v>
      </c>
      <c r="E324" s="1858">
        <v>0.15</v>
      </c>
      <c r="F324" s="1866"/>
    </row>
    <row r="325" spans="1:6" ht="14.25" thickBot="1">
      <c r="A325" s="1853" t="s">
        <v>2219</v>
      </c>
      <c r="B325" s="1857" t="s">
        <v>2227</v>
      </c>
      <c r="C325" s="1858">
        <v>0.15</v>
      </c>
      <c r="D325" s="1858">
        <v>0.15</v>
      </c>
      <c r="E325" s="1858">
        <v>0.15</v>
      </c>
      <c r="F325" s="1859">
        <v>0.14699999999999999</v>
      </c>
    </row>
    <row r="326" spans="1:6" ht="14.25" thickBot="1">
      <c r="A326" s="1853" t="s">
        <v>2219</v>
      </c>
      <c r="B326" s="1857" t="s">
        <v>1177</v>
      </c>
      <c r="C326" s="1858">
        <v>0.15</v>
      </c>
      <c r="D326" s="1858">
        <v>0.15</v>
      </c>
      <c r="E326" s="1858">
        <v>0.15</v>
      </c>
      <c r="F326" s="1866"/>
    </row>
    <row r="327" spans="1:6" ht="14.25" thickBot="1">
      <c r="A327" s="1853" t="s">
        <v>2219</v>
      </c>
      <c r="B327" s="1857" t="s">
        <v>2228</v>
      </c>
      <c r="C327" s="1858">
        <v>0.15</v>
      </c>
      <c r="D327" s="1858">
        <v>0.15</v>
      </c>
      <c r="E327" s="1858">
        <v>0.15</v>
      </c>
      <c r="F327" s="1859">
        <v>0.15</v>
      </c>
    </row>
    <row r="328" spans="1:6" ht="14.25" thickBot="1">
      <c r="A328" s="1853" t="s">
        <v>2219</v>
      </c>
      <c r="B328" s="1857" t="s">
        <v>1197</v>
      </c>
      <c r="C328" s="1858">
        <v>0.15</v>
      </c>
      <c r="D328" s="1858">
        <v>0.15</v>
      </c>
      <c r="E328" s="1858">
        <v>0.15</v>
      </c>
      <c r="F328" s="1859">
        <v>0.14099999999999999</v>
      </c>
    </row>
    <row r="329" spans="1:6" ht="14.25" thickBot="1">
      <c r="A329" s="1853" t="s">
        <v>2219</v>
      </c>
      <c r="B329" s="1857" t="s">
        <v>1207</v>
      </c>
      <c r="C329" s="1858">
        <v>0.15</v>
      </c>
      <c r="D329" s="1858">
        <v>0.15</v>
      </c>
      <c r="E329" s="1858">
        <v>0.15</v>
      </c>
      <c r="F329" s="1859">
        <v>0.15</v>
      </c>
    </row>
    <row r="330" spans="1:6" ht="14.25" thickBot="1">
      <c r="A330" s="1853" t="s">
        <v>2219</v>
      </c>
      <c r="B330" s="1857" t="s">
        <v>1217</v>
      </c>
      <c r="C330" s="1858">
        <v>0.15</v>
      </c>
      <c r="D330" s="1858">
        <v>0.15</v>
      </c>
      <c r="E330" s="1858">
        <v>0.15</v>
      </c>
      <c r="F330" s="1866"/>
    </row>
    <row r="331" spans="1:6" ht="14.25" thickBot="1">
      <c r="A331" s="1853" t="s">
        <v>2219</v>
      </c>
      <c r="B331" s="1857" t="s">
        <v>2229</v>
      </c>
      <c r="C331" s="1858">
        <v>0.15</v>
      </c>
      <c r="D331" s="1858">
        <v>0.15</v>
      </c>
      <c r="E331" s="1858">
        <v>0.15</v>
      </c>
      <c r="F331" s="1859">
        <v>0.15</v>
      </c>
    </row>
    <row r="332" spans="1:6" ht="14.25" thickBot="1">
      <c r="A332" s="1853" t="s">
        <v>2219</v>
      </c>
      <c r="B332" s="1857" t="s">
        <v>1237</v>
      </c>
      <c r="C332" s="1858">
        <v>0.15</v>
      </c>
      <c r="D332" s="1858">
        <v>0.15</v>
      </c>
      <c r="E332" s="1858">
        <v>0.15</v>
      </c>
      <c r="F332" s="1859">
        <v>0.15</v>
      </c>
    </row>
    <row r="333" spans="1:6" ht="14.25" thickBot="1">
      <c r="A333" s="1853" t="s">
        <v>2219</v>
      </c>
      <c r="B333" s="1857" t="s">
        <v>2230</v>
      </c>
      <c r="C333" s="1858">
        <v>0.15</v>
      </c>
      <c r="D333" s="1858">
        <v>0.15</v>
      </c>
      <c r="E333" s="1858">
        <v>0.15</v>
      </c>
      <c r="F333" s="1859">
        <v>0.14099999999999999</v>
      </c>
    </row>
    <row r="334" spans="1:6" ht="14.25" thickBot="1">
      <c r="A334" s="1853" t="s">
        <v>2219</v>
      </c>
      <c r="B334" s="1857" t="s">
        <v>1257</v>
      </c>
      <c r="C334" s="1858">
        <v>0.15</v>
      </c>
      <c r="D334" s="1858">
        <v>0.15</v>
      </c>
      <c r="E334" s="1858">
        <v>0.15</v>
      </c>
      <c r="F334" s="1859">
        <v>0.15</v>
      </c>
    </row>
    <row r="335" spans="1:6" ht="14.25" thickBot="1">
      <c r="A335" s="1853" t="s">
        <v>2219</v>
      </c>
      <c r="B335" s="1857" t="s">
        <v>1267</v>
      </c>
      <c r="C335" s="1858">
        <v>0.15</v>
      </c>
      <c r="D335" s="1858">
        <v>0.15</v>
      </c>
      <c r="E335" s="1858">
        <v>0.15</v>
      </c>
      <c r="F335" s="1866"/>
    </row>
    <row r="336" spans="1:6" ht="14.25" thickBot="1">
      <c r="A336" s="1853" t="s">
        <v>2219</v>
      </c>
      <c r="B336" s="1857" t="s">
        <v>2231</v>
      </c>
      <c r="C336" s="1858">
        <v>0.15</v>
      </c>
      <c r="D336" s="1858">
        <v>0.15</v>
      </c>
      <c r="E336" s="1858">
        <v>0.15</v>
      </c>
      <c r="F336" s="1859">
        <v>0.11799999999999999</v>
      </c>
    </row>
    <row r="337" spans="1:6" ht="14.25" thickBot="1">
      <c r="A337" s="1861" t="s">
        <v>2219</v>
      </c>
      <c r="B337" s="1868" t="s">
        <v>1285</v>
      </c>
      <c r="C337" s="1864"/>
      <c r="D337" s="1864"/>
      <c r="E337" s="1864"/>
      <c r="F337" s="1869">
        <v>0.14299999999999999</v>
      </c>
    </row>
    <row r="338" spans="1:6" ht="14.25" thickBot="1">
      <c r="A338" s="1853" t="s">
        <v>2232</v>
      </c>
      <c r="B338" s="1854" t="s">
        <v>2233</v>
      </c>
      <c r="C338" s="1855">
        <v>0.15</v>
      </c>
      <c r="D338" s="1855">
        <v>0.15</v>
      </c>
      <c r="E338" s="1855">
        <v>0.15</v>
      </c>
      <c r="F338" s="1877"/>
    </row>
    <row r="339" spans="1:6" ht="14.25" thickBot="1">
      <c r="A339" s="1853" t="s">
        <v>2232</v>
      </c>
      <c r="B339" s="1857" t="s">
        <v>2234</v>
      </c>
      <c r="C339" s="1858">
        <v>0.15</v>
      </c>
      <c r="D339" s="1858">
        <v>0.15</v>
      </c>
      <c r="E339" s="1858">
        <v>0.15</v>
      </c>
      <c r="F339" s="1866"/>
    </row>
    <row r="340" spans="1:6" ht="14.25" thickBot="1">
      <c r="A340" s="1853" t="s">
        <v>2232</v>
      </c>
      <c r="B340" s="1857" t="s">
        <v>2235</v>
      </c>
      <c r="C340" s="1858">
        <v>0.15</v>
      </c>
      <c r="D340" s="1858">
        <v>0.15</v>
      </c>
      <c r="E340" s="1858">
        <v>0.15</v>
      </c>
      <c r="F340" s="1866"/>
    </row>
    <row r="341" spans="1:6" ht="14.25" thickBot="1">
      <c r="A341" s="1853" t="s">
        <v>2236</v>
      </c>
      <c r="B341" s="1857" t="s">
        <v>2237</v>
      </c>
      <c r="C341" s="1858">
        <v>0.15</v>
      </c>
      <c r="D341" s="1858">
        <v>0.15</v>
      </c>
      <c r="E341" s="1858">
        <v>0.15</v>
      </c>
      <c r="F341" s="1859">
        <v>0.15</v>
      </c>
    </row>
    <row r="342" spans="1:6" ht="14.25" thickBot="1">
      <c r="A342" s="1853" t="s">
        <v>2232</v>
      </c>
      <c r="B342" s="1857" t="s">
        <v>2238</v>
      </c>
      <c r="C342" s="1858">
        <v>0.15</v>
      </c>
      <c r="D342" s="1858">
        <v>0.15</v>
      </c>
      <c r="E342" s="1858">
        <v>0.15</v>
      </c>
      <c r="F342" s="1859">
        <v>0.15</v>
      </c>
    </row>
    <row r="343" spans="1:6" ht="14.25" thickBot="1">
      <c r="A343" s="1853" t="s">
        <v>2232</v>
      </c>
      <c r="B343" s="1857" t="s">
        <v>2239</v>
      </c>
      <c r="C343" s="1858">
        <v>0.15</v>
      </c>
      <c r="D343" s="1858">
        <v>0.15</v>
      </c>
      <c r="E343" s="1858">
        <v>0.15</v>
      </c>
      <c r="F343" s="1859">
        <v>0.15</v>
      </c>
    </row>
    <row r="344" spans="1:6" ht="14.25" thickBot="1">
      <c r="A344" s="1861" t="s">
        <v>2232</v>
      </c>
      <c r="B344" s="1868" t="s">
        <v>2240</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2962</v>
      </c>
      <c r="B1" s="3133"/>
      <c r="C1" s="3133"/>
      <c r="D1" s="3133"/>
      <c r="E1" s="3133"/>
      <c r="F1" s="3133"/>
    </row>
    <row r="2" spans="1:6" ht="14.25">
      <c r="A2" s="3134" t="s">
        <v>2956</v>
      </c>
      <c r="B2" s="3135" t="e">
        <f ca="1">SUMIF(B7:B14,"&lt;&gt;#ref!",B7:B14)</f>
        <v>#DIV/0!</v>
      </c>
      <c r="C2" s="3134" t="s">
        <v>2957</v>
      </c>
      <c r="D2" s="3133"/>
      <c r="E2" s="3133"/>
      <c r="F2" s="3133"/>
    </row>
    <row r="3" spans="1:6" ht="14.25">
      <c r="A3" s="3134" t="s">
        <v>2959</v>
      </c>
      <c r="B3" s="3135" t="e">
        <f ca="1">ROUND(B2*10000/E3,0)</f>
        <v>#DIV/0!</v>
      </c>
      <c r="C3" s="3134" t="s">
        <v>2081</v>
      </c>
      <c r="D3" s="3134" t="s">
        <v>2958</v>
      </c>
      <c r="E3" s="3135" t="e">
        <f ca="1">SUM(E7:E14)</f>
        <v>#REF!</v>
      </c>
      <c r="F3" s="3133"/>
    </row>
    <row r="4" spans="1:6" ht="14.25">
      <c r="A4" s="3134" t="s">
        <v>2966</v>
      </c>
      <c r="B4" s="3135" t="e">
        <f ca="1">ROUND(B2*10000/E4,0)</f>
        <v>#DIV/0!</v>
      </c>
      <c r="C4" s="3134" t="s">
        <v>2081</v>
      </c>
      <c r="D4" s="3134" t="s">
        <v>2967</v>
      </c>
      <c r="E4" s="3135" t="e">
        <f ca="1">SUM(F7:F14)</f>
        <v>#REF!</v>
      </c>
      <c r="F4" s="3133"/>
    </row>
    <row r="5" spans="1:6" ht="14.25">
      <c r="A5" s="3136"/>
      <c r="B5" s="1879"/>
      <c r="C5" s="1879"/>
      <c r="D5" s="1879"/>
      <c r="E5" s="1879"/>
      <c r="F5" s="3133"/>
    </row>
    <row r="6" spans="1:6" ht="28.5">
      <c r="A6" s="3137" t="s">
        <v>2963</v>
      </c>
      <c r="B6" s="3134" t="s">
        <v>2960</v>
      </c>
      <c r="C6" s="3135"/>
      <c r="D6" s="1879"/>
      <c r="E6" s="3134" t="s">
        <v>2961</v>
      </c>
      <c r="F6" s="3134" t="s">
        <v>2965</v>
      </c>
    </row>
    <row r="7" spans="1:6" ht="14.25">
      <c r="A7" s="259" t="s">
        <v>2964</v>
      </c>
      <c r="B7" s="3138" t="e">
        <f ca="1">SUMIF(INDIRECT("'"&amp;A7&amp;"'"&amp;"!A:A"),"总价",INDIRECT("'"&amp;A7&amp;"'"&amp;"!B:B"))</f>
        <v>#DIV/0!</v>
      </c>
      <c r="C7" s="3134" t="s">
        <v>2957</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2957</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2957</v>
      </c>
      <c r="D9" s="1879"/>
      <c r="E9" s="3139" t="e">
        <f t="shared" ca="1" si="1"/>
        <v>#REF!</v>
      </c>
      <c r="F9" s="3139" t="e">
        <f t="shared" ca="1" si="2"/>
        <v>#REF!</v>
      </c>
    </row>
    <row r="10" spans="1:6" ht="14.25">
      <c r="A10" s="259"/>
      <c r="B10" s="3138" t="e">
        <f t="shared" ca="1" si="0"/>
        <v>#REF!</v>
      </c>
      <c r="C10" s="3134" t="s">
        <v>2957</v>
      </c>
      <c r="D10" s="1879"/>
      <c r="E10" s="3139" t="e">
        <f t="shared" ca="1" si="1"/>
        <v>#REF!</v>
      </c>
      <c r="F10" s="3139" t="e">
        <f t="shared" ca="1" si="2"/>
        <v>#REF!</v>
      </c>
    </row>
    <row r="11" spans="1:6" ht="14.25">
      <c r="A11" s="259"/>
      <c r="B11" s="3138" t="e">
        <f t="shared" ca="1" si="0"/>
        <v>#REF!</v>
      </c>
      <c r="C11" s="3134" t="s">
        <v>2957</v>
      </c>
      <c r="D11" s="1879"/>
      <c r="E11" s="3139" t="e">
        <f t="shared" ca="1" si="1"/>
        <v>#REF!</v>
      </c>
      <c r="F11" s="3139" t="e">
        <f t="shared" ca="1" si="2"/>
        <v>#REF!</v>
      </c>
    </row>
    <row r="12" spans="1:6" ht="14.25">
      <c r="A12" s="259"/>
      <c r="B12" s="3138" t="e">
        <f t="shared" ca="1" si="0"/>
        <v>#REF!</v>
      </c>
      <c r="C12" s="3134" t="s">
        <v>2957</v>
      </c>
      <c r="D12" s="1879"/>
      <c r="E12" s="3139" t="e">
        <f t="shared" ca="1" si="1"/>
        <v>#REF!</v>
      </c>
      <c r="F12" s="3139" t="e">
        <f t="shared" ca="1" si="2"/>
        <v>#REF!</v>
      </c>
    </row>
    <row r="13" spans="1:6" ht="14.25">
      <c r="A13" s="259"/>
      <c r="B13" s="3138" t="e">
        <f t="shared" ca="1" si="0"/>
        <v>#REF!</v>
      </c>
      <c r="C13" s="3134" t="s">
        <v>2957</v>
      </c>
      <c r="D13" s="1879"/>
      <c r="E13" s="3139" t="e">
        <f t="shared" ca="1" si="1"/>
        <v>#REF!</v>
      </c>
      <c r="F13" s="3139" t="e">
        <f t="shared" ca="1" si="2"/>
        <v>#REF!</v>
      </c>
    </row>
    <row r="14" spans="1:6" ht="14.25">
      <c r="A14" s="3132"/>
      <c r="B14" s="3138" t="e">
        <f t="shared" ca="1" si="0"/>
        <v>#REF!</v>
      </c>
      <c r="C14" s="3134" t="s">
        <v>2957</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628</v>
      </c>
      <c r="B1" s="735"/>
      <c r="C1" s="770"/>
      <c r="D1" s="2048"/>
      <c r="E1" s="2409" t="s">
        <v>2378</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629</v>
      </c>
      <c r="B2" s="772">
        <f ca="1">IF(ISERROR(C45+J31),0,C45+J31)</f>
        <v>0</v>
      </c>
      <c r="C2" s="1347"/>
      <c r="D2" s="2053"/>
      <c r="E2" s="2054"/>
      <c r="F2" s="2054"/>
      <c r="G2" s="1587"/>
      <c r="H2" s="1359"/>
      <c r="I2" s="2055"/>
      <c r="J2" s="2055"/>
      <c r="K2" s="2056"/>
      <c r="L2" s="2055"/>
      <c r="M2" s="2055"/>
    </row>
    <row r="3" spans="1:25" ht="18" customHeight="1">
      <c r="A3" s="1642" t="s">
        <v>1687</v>
      </c>
      <c r="B3" s="1388">
        <f ca="1">ROUND(B2*10000/'数据-汇总表'!E3,0)</f>
        <v>0</v>
      </c>
      <c r="C3" s="1347"/>
      <c r="D3" s="2053"/>
      <c r="E3" s="2054"/>
      <c r="F3" s="2054"/>
      <c r="G3" s="1587"/>
      <c r="H3" s="773" t="s">
        <v>695</v>
      </c>
      <c r="I3" s="2055"/>
      <c r="J3" s="2055"/>
      <c r="K3" s="2056"/>
      <c r="L3" s="2055"/>
      <c r="M3" s="2055"/>
    </row>
    <row r="4" spans="1:25" ht="18" customHeight="1">
      <c r="A4" s="1643" t="s">
        <v>696</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697</v>
      </c>
      <c r="D5" s="2053"/>
      <c r="E5" s="2054"/>
      <c r="F5" s="2054"/>
      <c r="G5" s="1587"/>
      <c r="H5" s="773"/>
      <c r="I5" s="2055"/>
      <c r="J5" s="2055"/>
      <c r="K5" s="2056"/>
      <c r="L5" s="2055"/>
      <c r="M5" s="2055"/>
    </row>
    <row r="6" spans="1:25" ht="18" customHeight="1">
      <c r="A6" s="1826" t="s">
        <v>698</v>
      </c>
      <c r="B6" s="1818" t="s">
        <v>699</v>
      </c>
      <c r="C6" s="1818" t="s">
        <v>632</v>
      </c>
      <c r="D6" s="1818" t="s">
        <v>633</v>
      </c>
      <c r="E6" s="776" t="s">
        <v>634</v>
      </c>
      <c r="F6" s="777"/>
      <c r="G6" s="1589"/>
      <c r="H6" s="1826" t="s">
        <v>630</v>
      </c>
      <c r="I6" s="1818" t="s">
        <v>631</v>
      </c>
      <c r="J6" s="1818" t="s">
        <v>632</v>
      </c>
      <c r="K6" s="1818" t="s">
        <v>633</v>
      </c>
      <c r="L6" s="776" t="s">
        <v>634</v>
      </c>
      <c r="M6" s="777"/>
    </row>
    <row r="7" spans="1:25" ht="18" customHeight="1">
      <c r="A7" s="778">
        <v>1</v>
      </c>
      <c r="B7" s="779" t="s">
        <v>2463</v>
      </c>
      <c r="C7" s="53">
        <f ca="1">C8+C12+C14</f>
        <v>0</v>
      </c>
      <c r="D7" s="2518" t="s">
        <v>2466</v>
      </c>
      <c r="E7" s="2512"/>
      <c r="F7" s="2513"/>
      <c r="G7" s="1589"/>
      <c r="H7" s="778">
        <v>1</v>
      </c>
      <c r="I7" s="779" t="s">
        <v>2463</v>
      </c>
      <c r="J7" s="53">
        <f ca="1">J8+J12+J14</f>
        <v>0</v>
      </c>
      <c r="K7" s="2518" t="s">
        <v>2466</v>
      </c>
      <c r="L7" s="2512"/>
      <c r="M7" s="2513"/>
    </row>
    <row r="8" spans="1:25" ht="18" customHeight="1">
      <c r="A8" s="1828" t="s">
        <v>1825</v>
      </c>
      <c r="B8" s="3445" t="s">
        <v>2468</v>
      </c>
      <c r="C8" s="1823">
        <f ca="1">ROUND(F8*F10*F9*(1-F11)/10000,0)</f>
        <v>0</v>
      </c>
      <c r="D8" s="1820" t="s">
        <v>2540</v>
      </c>
      <c r="E8" s="61" t="s">
        <v>637</v>
      </c>
      <c r="F8" s="782">
        <f ca="1">INDIRECT("'数据-取费表'!u"&amp;$G$1)</f>
        <v>0</v>
      </c>
      <c r="G8" s="1589"/>
      <c r="H8" s="2526" t="s">
        <v>1825</v>
      </c>
      <c r="I8" s="3445" t="s">
        <v>2468</v>
      </c>
      <c r="J8" s="780">
        <f ca="1">ROUND(M8*M10*M9*(1-M11)/10000,0)</f>
        <v>0</v>
      </c>
      <c r="K8" s="338" t="s">
        <v>2540</v>
      </c>
      <c r="L8" s="781" t="s">
        <v>1739</v>
      </c>
      <c r="M8" s="782">
        <f ca="1">INDIRECT("'数据-取费表'!z"&amp;$G$1)</f>
        <v>0</v>
      </c>
    </row>
    <row r="9" spans="1:25" ht="18" customHeight="1">
      <c r="A9" s="2522"/>
      <c r="B9" s="3446"/>
      <c r="C9" s="1824"/>
      <c r="D9" s="1821"/>
      <c r="E9" s="61" t="s">
        <v>638</v>
      </c>
      <c r="F9" s="782">
        <f ca="1">IF(INDIRECT("'数据-取费表'!ah"&amp;$G$1)="",INDIRECT("'数据-取费表'!k"&amp;$G$1),INDIRECT("'数据-取费表'!ah"&amp;$G$1))</f>
        <v>0</v>
      </c>
      <c r="G9" s="1589"/>
      <c r="H9" s="2511"/>
      <c r="I9" s="3446"/>
      <c r="J9" s="785"/>
      <c r="K9" s="786"/>
      <c r="L9" s="781" t="s">
        <v>1740</v>
      </c>
      <c r="M9" s="782">
        <f ca="1">F9</f>
        <v>0</v>
      </c>
    </row>
    <row r="10" spans="1:25" ht="18" customHeight="1">
      <c r="A10" s="2515"/>
      <c r="B10" s="3447"/>
      <c r="C10" s="1824"/>
      <c r="D10" s="1821"/>
      <c r="E10" s="61" t="s">
        <v>639</v>
      </c>
      <c r="F10" s="782">
        <f ca="1">INDIRECT("'数据-取费表'!ai"&amp;$G$1)</f>
        <v>0</v>
      </c>
      <c r="G10" s="1589"/>
      <c r="H10" s="2511"/>
      <c r="I10" s="3447"/>
      <c r="J10" s="785"/>
      <c r="K10" s="786"/>
      <c r="L10" s="781" t="s">
        <v>1741</v>
      </c>
      <c r="M10" s="782">
        <f ca="1">INDIRECT("'数据-取费表'!ai"&amp;$G$1)</f>
        <v>0</v>
      </c>
    </row>
    <row r="11" spans="1:25" ht="18" customHeight="1">
      <c r="A11" s="783"/>
      <c r="B11" s="3448"/>
      <c r="C11" s="1824"/>
      <c r="D11" s="1821"/>
      <c r="E11" s="61" t="s">
        <v>640</v>
      </c>
      <c r="F11" s="791">
        <f ca="1">INDIRECT("'数据-取费表'!w"&amp;$G$1)</f>
        <v>0</v>
      </c>
      <c r="G11" s="1589"/>
      <c r="H11" s="2527"/>
      <c r="I11" s="3447"/>
      <c r="J11" s="785"/>
      <c r="K11" s="786"/>
      <c r="L11" s="792" t="s">
        <v>1742</v>
      </c>
      <c r="M11" s="793">
        <f ca="1">INDIRECT("'数据-取费表'!ab"&amp;$G$1)</f>
        <v>0</v>
      </c>
    </row>
    <row r="12" spans="1:25" ht="18" customHeight="1">
      <c r="A12" s="1828" t="s">
        <v>1826</v>
      </c>
      <c r="B12" s="2516" t="s">
        <v>2464</v>
      </c>
      <c r="C12" s="796">
        <f ca="1">ROUND(IF(F12="押一",F8*F10*F9/12*F13,IF(F12="押二",F8*F10*F9/12*2*F13,IF(F12="押三",F8*F10*F9/12*3*F13,C13*F13)))/10000,0)</f>
        <v>0</v>
      </c>
      <c r="D12" s="2523" t="s">
        <v>2471</v>
      </c>
      <c r="E12" s="2520" t="s">
        <v>2469</v>
      </c>
      <c r="F12" s="2643"/>
      <c r="G12" s="1589"/>
      <c r="H12" s="2583" t="s">
        <v>1826</v>
      </c>
      <c r="I12" s="2588" t="s">
        <v>2464</v>
      </c>
      <c r="J12" s="780">
        <f ca="1">ROUND(IF(M12="押一",M8*M10*M9/12*M13,IF(M12="押二",M8*M10*M9/12*2*M13,IF(M12="押三",M8*M10*M9/12*3*M13,J13*M13)))/10000,0)</f>
        <v>0</v>
      </c>
      <c r="K12" s="2523" t="s">
        <v>2471</v>
      </c>
      <c r="L12" s="2520" t="s">
        <v>2469</v>
      </c>
      <c r="M12" s="2643"/>
    </row>
    <row r="13" spans="1:25" ht="18" customHeight="1">
      <c r="A13" s="787"/>
      <c r="B13" s="2517" t="s">
        <v>2579</v>
      </c>
      <c r="C13" s="2521"/>
      <c r="D13" s="786"/>
      <c r="E13" s="2520" t="s">
        <v>2461</v>
      </c>
      <c r="F13" s="793">
        <f ca="1">'数据-取费表'!B39</f>
        <v>1.4999999999999999E-2</v>
      </c>
      <c r="G13" s="1589"/>
      <c r="H13" s="2584"/>
      <c r="I13" s="2517" t="s">
        <v>2579</v>
      </c>
      <c r="J13" s="2521"/>
      <c r="K13" s="2585"/>
      <c r="L13" s="2520" t="s">
        <v>2461</v>
      </c>
      <c r="M13" s="2514">
        <f ca="1">'数据-取费表'!B39</f>
        <v>1.4999999999999999E-2</v>
      </c>
    </row>
    <row r="14" spans="1:25" ht="18" customHeight="1" thickBot="1">
      <c r="A14" s="2559" t="s">
        <v>2473</v>
      </c>
      <c r="B14" s="2560" t="s">
        <v>2465</v>
      </c>
      <c r="C14" s="2561"/>
      <c r="D14" s="2562"/>
      <c r="E14" s="2563"/>
      <c r="F14" s="2564"/>
      <c r="G14" s="1589"/>
      <c r="H14" s="2573" t="s">
        <v>2473</v>
      </c>
      <c r="I14" s="2586" t="s">
        <v>2465</v>
      </c>
      <c r="J14" s="2587"/>
      <c r="K14" s="2562"/>
      <c r="L14" s="2563"/>
      <c r="M14" s="2576"/>
    </row>
    <row r="15" spans="1:25" ht="18" customHeight="1" thickTop="1">
      <c r="A15" s="1827" t="s">
        <v>1875</v>
      </c>
      <c r="B15" s="1825" t="s">
        <v>641</v>
      </c>
      <c r="C15" s="789">
        <f ca="1">ROUND(C31*F15,0)</f>
        <v>0</v>
      </c>
      <c r="D15" s="1832" t="s">
        <v>642</v>
      </c>
      <c r="E15" s="792" t="s">
        <v>643</v>
      </c>
      <c r="F15" s="797">
        <f ca="1">INDIRECT("'数据-取费表'!y"&amp;$G$1)</f>
        <v>0</v>
      </c>
      <c r="G15" s="1589"/>
      <c r="H15" s="1827" t="s">
        <v>1827</v>
      </c>
      <c r="I15" s="1825" t="s">
        <v>644</v>
      </c>
      <c r="J15" s="1817">
        <f ca="1">ROUND(J16*J17,0)</f>
        <v>0</v>
      </c>
      <c r="K15" s="1819" t="s">
        <v>642</v>
      </c>
      <c r="L15" s="798"/>
      <c r="M15" s="799"/>
    </row>
    <row r="16" spans="1:25" ht="18" customHeight="1">
      <c r="A16" s="800" t="s">
        <v>1876</v>
      </c>
      <c r="B16" s="781" t="s">
        <v>645</v>
      </c>
      <c r="C16" s="801">
        <f ca="1">INDIRECT("'数据-取费表'!m"&amp;$G$1)+INDIRECT("'数据-取费表'!t"&amp;$G$1)</f>
        <v>0</v>
      </c>
      <c r="D16" s="1977" t="s">
        <v>646</v>
      </c>
      <c r="E16" s="1978"/>
      <c r="F16" s="802"/>
      <c r="G16" s="1589"/>
      <c r="H16" s="800" t="s">
        <v>2072</v>
      </c>
      <c r="I16" s="2229" t="s">
        <v>2833</v>
      </c>
      <c r="J16" s="53">
        <f ca="1">C31</f>
        <v>0</v>
      </c>
      <c r="K16" s="26"/>
      <c r="L16" s="798"/>
      <c r="M16" s="799"/>
    </row>
    <row r="17" spans="1:25" s="2062" customFormat="1" ht="18" customHeight="1">
      <c r="A17" s="800" t="s">
        <v>1850</v>
      </c>
      <c r="B17" s="781" t="s">
        <v>647</v>
      </c>
      <c r="C17" s="53">
        <f ca="1">ROUND(C16*F17,0)</f>
        <v>0</v>
      </c>
      <c r="D17" s="803" t="s">
        <v>648</v>
      </c>
      <c r="E17" s="803" t="s">
        <v>649</v>
      </c>
      <c r="F17" s="804">
        <f>'数据-取费表'!B33</f>
        <v>0.03</v>
      </c>
      <c r="G17" s="1590"/>
      <c r="H17" s="800" t="s">
        <v>2073</v>
      </c>
      <c r="I17" s="781" t="s">
        <v>643</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9"/>
      <c r="H18" s="794" t="s">
        <v>1828</v>
      </c>
      <c r="I18" s="795" t="s">
        <v>651</v>
      </c>
      <c r="J18" s="796">
        <f ca="1">ROUND(J19+J24+J25+J26,0)</f>
        <v>0</v>
      </c>
      <c r="K18" s="26" t="s">
        <v>652</v>
      </c>
      <c r="L18" s="1980"/>
      <c r="M18" s="56"/>
    </row>
    <row r="19" spans="1:25" s="2062" customFormat="1" ht="18" customHeight="1">
      <c r="A19" s="800" t="s">
        <v>1852</v>
      </c>
      <c r="B19" s="781" t="s">
        <v>653</v>
      </c>
      <c r="C19" s="53">
        <f ca="1">ROUND(F19*(INDIRECT("'数据-取费表'!k"&amp;$G$1)+INDIRECT("'数据-取费表'!S"&amp;$G$1))/10000,0)</f>
        <v>0</v>
      </c>
      <c r="D19" s="781" t="s">
        <v>654</v>
      </c>
      <c r="E19" s="781" t="s">
        <v>655</v>
      </c>
      <c r="F19" s="56">
        <f>'数据-取费表'!B35</f>
        <v>200</v>
      </c>
      <c r="G19" s="1590"/>
      <c r="H19" s="800" t="s">
        <v>2072</v>
      </c>
      <c r="I19" s="781" t="s">
        <v>656</v>
      </c>
      <c r="J19" s="53">
        <f ca="1">ROUND(IF(项目基本情况!B11="自然人",J7*M19,J20+J21+J22),0)</f>
        <v>0</v>
      </c>
      <c r="K19" s="1977" t="s">
        <v>657</v>
      </c>
      <c r="L19" s="1975" t="s">
        <v>658</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1853</v>
      </c>
      <c r="B20" s="781" t="s">
        <v>659</v>
      </c>
      <c r="C20" s="53">
        <f ca="1">ROUND(C16*F20,0)</f>
        <v>0</v>
      </c>
      <c r="D20" s="781" t="s">
        <v>648</v>
      </c>
      <c r="E20" s="781" t="s">
        <v>649</v>
      </c>
      <c r="F20" s="806">
        <f>'数据-取费表'!B36</f>
        <v>1.4999999999999999E-2</v>
      </c>
      <c r="G20" s="1590"/>
      <c r="H20" s="800" t="s">
        <v>1832</v>
      </c>
      <c r="I20" s="781" t="s">
        <v>660</v>
      </c>
      <c r="J20" s="53">
        <f ca="1">ROUND(J7*M20/1.05,1)</f>
        <v>0</v>
      </c>
      <c r="K20" s="1975" t="s">
        <v>661</v>
      </c>
      <c r="L20" s="781" t="s">
        <v>649</v>
      </c>
      <c r="M20" s="806">
        <f>'数据-取费表'!B41</f>
        <v>5.6000000000000001E-2</v>
      </c>
      <c r="N20" s="2061"/>
      <c r="O20" s="2061"/>
      <c r="P20" s="2061"/>
      <c r="Q20" s="2061"/>
      <c r="R20" s="2061"/>
      <c r="S20" s="2061"/>
      <c r="T20" s="2061"/>
      <c r="U20" s="2061"/>
      <c r="V20" s="2061"/>
      <c r="W20" s="2061"/>
      <c r="X20" s="2061"/>
      <c r="Y20" s="2061"/>
    </row>
    <row r="21" spans="1:25" ht="18" customHeight="1">
      <c r="A21" s="800" t="s">
        <v>1877</v>
      </c>
      <c r="B21" s="781" t="s">
        <v>662</v>
      </c>
      <c r="C21" s="53">
        <f ca="1">SUM(C16:C20)</f>
        <v>0</v>
      </c>
      <c r="D21" s="260" t="s">
        <v>663</v>
      </c>
      <c r="E21" s="1980"/>
      <c r="F21" s="56"/>
      <c r="G21" s="1589"/>
      <c r="H21" s="1828" t="s">
        <v>1850</v>
      </c>
      <c r="I21" s="781" t="s">
        <v>664</v>
      </c>
      <c r="J21" s="53">
        <f ca="1">IF(K21="按租金收入计税",ROUND(J7*M21,1),ROUND(C31*F35*0.7,1))</f>
        <v>0</v>
      </c>
      <c r="K21" s="808" t="s">
        <v>665</v>
      </c>
      <c r="L21" s="781" t="s">
        <v>649</v>
      </c>
      <c r="M21" s="806">
        <f>IF(K21="按租金收入计税",'数据-取费表'!B51,'数据-取费表'!B50)</f>
        <v>1.2E-2</v>
      </c>
    </row>
    <row r="22" spans="1:25" s="2062" customFormat="1" ht="18" customHeight="1">
      <c r="A22" s="800" t="s">
        <v>1878</v>
      </c>
      <c r="B22" s="781" t="s">
        <v>666</v>
      </c>
      <c r="C22" s="53">
        <f ca="1">ROUND(C21*F22,0)</f>
        <v>0</v>
      </c>
      <c r="D22" s="809" t="s">
        <v>667</v>
      </c>
      <c r="E22" s="781" t="s">
        <v>649</v>
      </c>
      <c r="F22" s="806">
        <f>'数据-取费表'!B37</f>
        <v>1.4999999999999999E-2</v>
      </c>
      <c r="G22" s="1590"/>
      <c r="H22" s="1830" t="s">
        <v>1851</v>
      </c>
      <c r="I22" s="1820" t="s">
        <v>668</v>
      </c>
      <c r="J22" s="54">
        <f ca="1">ROUND(M22*M23/10000,0)</f>
        <v>0</v>
      </c>
      <c r="K22" s="811" t="s">
        <v>669</v>
      </c>
      <c r="L22" s="781" t="s">
        <v>670</v>
      </c>
      <c r="M22" s="637">
        <f>'数据-取费表'!B52</f>
        <v>4</v>
      </c>
      <c r="N22" s="2061"/>
      <c r="O22" s="2061"/>
      <c r="P22" s="2061"/>
      <c r="Q22" s="2061"/>
      <c r="R22" s="2061"/>
      <c r="S22" s="2061"/>
      <c r="T22" s="2061"/>
      <c r="U22" s="2061"/>
      <c r="V22" s="2061"/>
      <c r="W22" s="2061"/>
      <c r="X22" s="2061"/>
      <c r="Y22" s="2061"/>
    </row>
    <row r="23" spans="1:25" s="2062" customFormat="1" ht="18" customHeight="1">
      <c r="A23" s="800" t="s">
        <v>1879</v>
      </c>
      <c r="B23" s="781" t="s">
        <v>671</v>
      </c>
      <c r="C23" s="53" t="s">
        <v>1</v>
      </c>
      <c r="D23" s="809" t="s">
        <v>672</v>
      </c>
      <c r="E23" s="781" t="s">
        <v>673</v>
      </c>
      <c r="F23" s="806">
        <f>'数据-取费表'!B38</f>
        <v>0.02</v>
      </c>
      <c r="G23" s="1590"/>
      <c r="H23" s="1831"/>
      <c r="I23" s="1822"/>
      <c r="J23" s="69"/>
      <c r="K23" s="813"/>
      <c r="L23" s="781" t="s">
        <v>674</v>
      </c>
      <c r="M23" s="782">
        <f ca="1">INDIRECT("'数据-取费表'!r"&amp;$G$1)</f>
        <v>0</v>
      </c>
      <c r="N23" s="2061"/>
      <c r="O23" s="2061"/>
      <c r="P23" s="2061"/>
      <c r="Q23" s="2061"/>
      <c r="R23" s="2061"/>
      <c r="S23" s="2061"/>
      <c r="T23" s="2061"/>
      <c r="U23" s="2061"/>
      <c r="V23" s="2061"/>
      <c r="W23" s="2061"/>
      <c r="X23" s="2061"/>
      <c r="Y23" s="2061"/>
    </row>
    <row r="24" spans="1:25" ht="18" customHeight="1">
      <c r="A24" s="800" t="s">
        <v>1880</v>
      </c>
      <c r="B24" s="781" t="s">
        <v>675</v>
      </c>
      <c r="C24" s="53"/>
      <c r="D24" s="2594" t="str">
        <f>IF(F25&lt;=1,"单利计息。","复利计息。")&amp;"建造成本、管理费用、销售费用产生的利息。"</f>
        <v>复利计息。建造成本、管理费用、销售费用产生的利息。</v>
      </c>
      <c r="E24" s="1980"/>
      <c r="F24" s="56"/>
      <c r="G24" s="1589"/>
      <c r="H24" s="1829" t="s">
        <v>2073</v>
      </c>
      <c r="I24" s="781" t="s">
        <v>676</v>
      </c>
      <c r="J24" s="53">
        <f ca="1">ROUND(J16*M24,0)</f>
        <v>0</v>
      </c>
      <c r="K24" s="1975" t="s">
        <v>677</v>
      </c>
      <c r="L24" s="781" t="s">
        <v>649</v>
      </c>
      <c r="M24" s="814">
        <f ca="1">INDIRECT("'数据-取费表'!Ak"&amp;$G$1)</f>
        <v>0</v>
      </c>
    </row>
    <row r="25" spans="1:25" s="2062" customFormat="1" ht="18" customHeight="1">
      <c r="A25" s="800" t="s">
        <v>1876</v>
      </c>
      <c r="B25" s="781" t="s">
        <v>2441</v>
      </c>
      <c r="C25" s="53">
        <f ca="1">ROUND(IF('数据-取费表'!B22&lt;=1,(C21+C22)*F26*F25/2,(C21+C22)*(POWER((1+F26),F25/2)-1)),0)</f>
        <v>0</v>
      </c>
      <c r="D25" s="2593" t="str">
        <f>IF(F25&lt;=1,"(建造成本+管理费用)×利率×(建设周期÷2)","(建造成本+管理费用)×((1+利率)^(建设周期÷2)-1)")</f>
        <v>(建造成本+管理费用)×((1+利率)^(建设周期÷2)-1)</v>
      </c>
      <c r="E25" s="781" t="s">
        <v>678</v>
      </c>
      <c r="F25" s="637">
        <f>'数据-取费表'!B20</f>
        <v>2</v>
      </c>
      <c r="G25" s="1590"/>
      <c r="H25" s="800" t="s">
        <v>1879</v>
      </c>
      <c r="I25" s="781" t="s">
        <v>679</v>
      </c>
      <c r="J25" s="53">
        <f ca="1">ROUND(J15*M25,0)</f>
        <v>0</v>
      </c>
      <c r="K25" s="1975" t="s">
        <v>680</v>
      </c>
      <c r="L25" s="781" t="s">
        <v>649</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1850</v>
      </c>
      <c r="B26" s="781" t="s">
        <v>681</v>
      </c>
      <c r="C26" s="53">
        <f ca="1">ROUND(IF('数据-取费表'!B22&lt;=1,F23*F26*F25/2,F23*(POWER((1+F26),F25/2)-1)),4)</f>
        <v>1E-3</v>
      </c>
      <c r="D26" s="2593" t="str">
        <f>IF(F25&lt;=1,"销售费用×利率×(建设周期÷2)","销售费用×((1+利率)^(建设周期÷2)-1)")</f>
        <v>销售费用×((1+利率)^(建设周期÷2)-1)</v>
      </c>
      <c r="E26" s="781" t="s">
        <v>682</v>
      </c>
      <c r="F26" s="816">
        <f ca="1">'数据-取费表'!B40</f>
        <v>4.7500000000000001E-2</v>
      </c>
      <c r="G26" s="1590"/>
      <c r="H26" s="800" t="s">
        <v>1880</v>
      </c>
      <c r="I26" s="781" t="s">
        <v>666</v>
      </c>
      <c r="J26" s="53">
        <f ca="1">ROUND(J7*M26,0)</f>
        <v>0</v>
      </c>
      <c r="K26" s="1975" t="s">
        <v>683</v>
      </c>
      <c r="L26" s="781" t="s">
        <v>649</v>
      </c>
      <c r="M26" s="791">
        <f ca="1">INDIRECT("'数据-取费表'!Am"&amp;$G$1)</f>
        <v>0</v>
      </c>
      <c r="N26" s="2061"/>
      <c r="O26" s="2061"/>
      <c r="P26" s="2061"/>
      <c r="Q26" s="2061"/>
      <c r="R26" s="2061"/>
      <c r="S26" s="2061"/>
      <c r="T26" s="2061"/>
      <c r="U26" s="2061"/>
      <c r="V26" s="2061"/>
      <c r="W26" s="2061"/>
      <c r="X26" s="2061"/>
      <c r="Y26" s="2061"/>
    </row>
    <row r="27" spans="1:25" ht="18" customHeight="1">
      <c r="A27" s="800" t="s">
        <v>1882</v>
      </c>
      <c r="B27" s="781" t="s">
        <v>684</v>
      </c>
      <c r="C27" s="53"/>
      <c r="D27" s="260" t="s">
        <v>685</v>
      </c>
      <c r="E27" s="1980"/>
      <c r="F27" s="56"/>
      <c r="G27" s="1589"/>
      <c r="H27" s="794" t="s">
        <v>1829</v>
      </c>
      <c r="I27" s="3034" t="s">
        <v>2830</v>
      </c>
      <c r="J27" s="796">
        <f ca="1">J7-J18</f>
        <v>0</v>
      </c>
      <c r="K27" s="1977" t="s">
        <v>700</v>
      </c>
      <c r="L27" s="1979"/>
      <c r="M27" s="817"/>
    </row>
    <row r="28" spans="1:25" ht="18" customHeight="1">
      <c r="A28" s="800" t="s">
        <v>1876</v>
      </c>
      <c r="B28" s="781" t="s">
        <v>2442</v>
      </c>
      <c r="C28" s="53">
        <f ca="1">ROUND((C21+C22)*F28,0)</f>
        <v>0</v>
      </c>
      <c r="D28" s="809" t="s">
        <v>701</v>
      </c>
      <c r="E28" s="792" t="s">
        <v>702</v>
      </c>
      <c r="F28" s="791">
        <f ca="1">INDIRECT("'数据-取费表'!q"&amp;$G$1)</f>
        <v>0</v>
      </c>
      <c r="G28" s="1589"/>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9"/>
      <c r="H29" s="783"/>
      <c r="I29" s="784"/>
      <c r="J29" s="785"/>
      <c r="K29" s="818" t="s">
        <v>707</v>
      </c>
      <c r="L29" s="781" t="s">
        <v>708</v>
      </c>
      <c r="M29" s="819">
        <f ca="1">INDIRECT("'数据-取费表'!ag"&amp;$G$1)</f>
        <v>0</v>
      </c>
    </row>
    <row r="30" spans="1:25" s="2062" customFormat="1" ht="18" customHeight="1">
      <c r="A30" s="800" t="s">
        <v>1883</v>
      </c>
      <c r="B30" s="781" t="s">
        <v>687</v>
      </c>
      <c r="C30" s="53">
        <f>ROUND(F30/(1+'数据-取费表'!C42),4)</f>
        <v>5.33E-2</v>
      </c>
      <c r="D30" s="809" t="s">
        <v>709</v>
      </c>
      <c r="E30" s="781" t="s">
        <v>649</v>
      </c>
      <c r="F30" s="806">
        <f>'数据-取费表'!B41</f>
        <v>5.6000000000000001E-2</v>
      </c>
      <c r="G30" s="1590"/>
      <c r="H30" s="787"/>
      <c r="I30" s="788"/>
      <c r="J30" s="789"/>
      <c r="K30" s="813"/>
      <c r="L30" s="781" t="s">
        <v>710</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2831</v>
      </c>
      <c r="C31" s="2566">
        <f ca="1">ROUND((C21+C22+C25+C28)/(1-F23-C26-C29-C30),0)</f>
        <v>0</v>
      </c>
      <c r="D31" s="2567"/>
      <c r="E31" s="2568"/>
      <c r="F31" s="2569"/>
      <c r="G31" s="1590"/>
      <c r="H31" s="820" t="s">
        <v>1873</v>
      </c>
      <c r="I31" s="3035" t="s">
        <v>2832</v>
      </c>
      <c r="J31" s="822">
        <f ca="1">ROUND(J28/(1+F45)^F46,0)</f>
        <v>0</v>
      </c>
      <c r="K31" s="823" t="s">
        <v>688</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89">
        <f ca="1">ROUND(C33+C38+C39+C40,0)</f>
        <v>0</v>
      </c>
      <c r="D32" s="1819" t="s">
        <v>652</v>
      </c>
      <c r="E32" s="2509"/>
      <c r="F32" s="2513"/>
      <c r="G32" s="2060"/>
      <c r="H32" s="2063"/>
      <c r="I32" s="2064"/>
      <c r="J32" s="2065"/>
      <c r="K32" s="2066"/>
      <c r="L32" s="2067"/>
      <c r="M32" s="2068"/>
    </row>
    <row r="33" spans="1:18" ht="18" customHeight="1">
      <c r="A33" s="800" t="s">
        <v>1877</v>
      </c>
      <c r="B33" s="781" t="s">
        <v>656</v>
      </c>
      <c r="C33" s="53">
        <f ca="1">ROUND(IF(项目基本情况!B11="自然人",C7*F33,C34+C35+C36),1)</f>
        <v>0</v>
      </c>
      <c r="D33" s="1977" t="s">
        <v>657</v>
      </c>
      <c r="E33" s="1975" t="s">
        <v>690</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1876</v>
      </c>
      <c r="B34" s="781" t="s">
        <v>660</v>
      </c>
      <c r="C34" s="53">
        <f ca="1">ROUND(C7*F34/1.05,1)</f>
        <v>0</v>
      </c>
      <c r="D34" s="1975" t="s">
        <v>661</v>
      </c>
      <c r="E34" s="781" t="s">
        <v>649</v>
      </c>
      <c r="F34" s="806">
        <f>'数据-取费表'!B41</f>
        <v>5.6000000000000001E-2</v>
      </c>
      <c r="G34" s="2060"/>
      <c r="H34" s="2069"/>
      <c r="I34" s="2070"/>
      <c r="J34" s="2071"/>
      <c r="K34" s="2072"/>
      <c r="L34" s="2073"/>
      <c r="M34" s="2074"/>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0"/>
      <c r="H35" s="2075"/>
      <c r="I35" s="2075"/>
      <c r="J35" s="2075"/>
      <c r="K35" s="2076"/>
      <c r="L35" s="2075"/>
      <c r="M35" s="2075"/>
    </row>
    <row r="36" spans="1:18" ht="18" customHeight="1">
      <c r="A36" s="810" t="s">
        <v>1881</v>
      </c>
      <c r="B36" s="338" t="s">
        <v>668</v>
      </c>
      <c r="C36" s="54">
        <f ca="1">ROUND(F36*F37/10000,1)</f>
        <v>0</v>
      </c>
      <c r="D36" s="811" t="s">
        <v>669</v>
      </c>
      <c r="E36" s="781" t="s">
        <v>670</v>
      </c>
      <c r="F36" s="637">
        <f>'数据-取费表'!B52</f>
        <v>4</v>
      </c>
      <c r="G36" s="2060"/>
      <c r="H36" s="2063"/>
      <c r="I36" s="3444"/>
      <c r="J36" s="2077"/>
      <c r="K36" s="2078"/>
      <c r="L36" s="2077"/>
      <c r="M36" s="2077"/>
    </row>
    <row r="37" spans="1:18" ht="18" customHeight="1">
      <c r="A37" s="812"/>
      <c r="B37" s="790"/>
      <c r="C37" s="69"/>
      <c r="D37" s="813"/>
      <c r="E37" s="781" t="s">
        <v>674</v>
      </c>
      <c r="F37" s="782">
        <f ca="1">INDIRECT("'数据-取费表'!r"&amp;$G$1)</f>
        <v>0</v>
      </c>
      <c r="G37" s="2060"/>
      <c r="H37" s="2063"/>
      <c r="I37" s="3444"/>
      <c r="J37" s="2075"/>
      <c r="K37" s="2076"/>
      <c r="L37" s="2075"/>
      <c r="M37" s="2075"/>
    </row>
    <row r="38" spans="1:18" ht="18" customHeight="1">
      <c r="A38" s="800" t="s">
        <v>1878</v>
      </c>
      <c r="B38" s="781" t="s">
        <v>676</v>
      </c>
      <c r="C38" s="53">
        <f ca="1">ROUND(C31*F38,1)</f>
        <v>0</v>
      </c>
      <c r="D38" s="1975" t="s">
        <v>691</v>
      </c>
      <c r="E38" s="781" t="s">
        <v>649</v>
      </c>
      <c r="F38" s="814">
        <f ca="1">INDIRECT("'数据-取费表'!Ak"&amp;$G$1)</f>
        <v>0</v>
      </c>
      <c r="G38" s="2060"/>
      <c r="H38" s="2075"/>
      <c r="I38" s="2079"/>
      <c r="J38" s="1986"/>
      <c r="K38" s="2080"/>
      <c r="L38" s="2075"/>
      <c r="M38" s="2075"/>
    </row>
    <row r="39" spans="1:18" ht="18" customHeight="1">
      <c r="A39" s="800" t="s">
        <v>1879</v>
      </c>
      <c r="B39" s="781" t="s">
        <v>679</v>
      </c>
      <c r="C39" s="53">
        <f ca="1">ROUND(C15*F39,1)</f>
        <v>0</v>
      </c>
      <c r="D39" s="1975" t="s">
        <v>680</v>
      </c>
      <c r="E39" s="781" t="s">
        <v>649</v>
      </c>
      <c r="F39" s="815">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49"/>
      <c r="D41" s="1350"/>
      <c r="E41" s="1350"/>
      <c r="F41" s="1351"/>
      <c r="G41" s="2060"/>
      <c r="H41" s="2060"/>
      <c r="I41" s="2060"/>
      <c r="J41" s="2060"/>
      <c r="K41" s="2081"/>
      <c r="L41" s="2060"/>
      <c r="M41" s="2060"/>
    </row>
    <row r="42" spans="1:18" ht="18" customHeight="1">
      <c r="A42" s="800" t="s">
        <v>1877</v>
      </c>
      <c r="B42" s="832" t="s">
        <v>693</v>
      </c>
      <c r="C42" s="826">
        <f ca="1">C7-C32</f>
        <v>0</v>
      </c>
      <c r="D42" s="1977" t="s">
        <v>694</v>
      </c>
      <c r="E42" s="1979"/>
      <c r="F42" s="817"/>
      <c r="G42" s="2060"/>
      <c r="H42" s="2060"/>
      <c r="I42" s="2060"/>
      <c r="J42" s="2060"/>
      <c r="K42" s="2081"/>
      <c r="L42" s="2060"/>
      <c r="M42" s="2060"/>
    </row>
    <row r="43" spans="1:18" ht="18" customHeight="1">
      <c r="A43" s="800" t="s">
        <v>1878</v>
      </c>
      <c r="B43" s="832" t="s">
        <v>711</v>
      </c>
      <c r="C43" s="833">
        <f ca="1">ROUND(C15*F43,0)</f>
        <v>0</v>
      </c>
      <c r="D43" s="1352" t="s">
        <v>712</v>
      </c>
      <c r="E43" s="3152" t="s">
        <v>2975</v>
      </c>
      <c r="F43" s="3153">
        <f ca="1">INDIRECT("'数据-取费表'!j"&amp;$G$1)</f>
        <v>0</v>
      </c>
      <c r="G43" s="2060"/>
      <c r="H43" s="2060"/>
      <c r="I43" s="2060"/>
      <c r="J43" s="2060"/>
      <c r="K43" s="2081"/>
      <c r="L43" s="2060"/>
      <c r="M43" s="2060"/>
    </row>
    <row r="44" spans="1:18" ht="18" customHeight="1">
      <c r="A44" s="800" t="s">
        <v>1879</v>
      </c>
      <c r="B44" s="832" t="s">
        <v>713</v>
      </c>
      <c r="C44" s="1353">
        <f ca="1">C42-C43</f>
        <v>0</v>
      </c>
      <c r="D44" s="460" t="s">
        <v>714</v>
      </c>
      <c r="E44" s="461"/>
      <c r="F44" s="462"/>
      <c r="G44" s="2060"/>
      <c r="H44" s="2060"/>
      <c r="I44" s="2060"/>
      <c r="J44" s="2060"/>
      <c r="K44" s="2081"/>
      <c r="L44" s="2060"/>
      <c r="M44" s="2060"/>
    </row>
    <row r="45" spans="1:18" ht="18" customHeight="1">
      <c r="A45" s="800" t="s">
        <v>1880</v>
      </c>
      <c r="B45" s="1352" t="s">
        <v>715</v>
      </c>
      <c r="C45" s="3061">
        <f ca="1">ROUND(-PV(F45,F46,C44,0),0)</f>
        <v>0</v>
      </c>
      <c r="D45" s="1354" t="s">
        <v>716</v>
      </c>
      <c r="E45" s="803" t="s">
        <v>717</v>
      </c>
      <c r="F45" s="827">
        <f ca="1">INDIRECT("'数据-取费表'!h"&amp;$G$1)</f>
        <v>0</v>
      </c>
      <c r="G45" s="2060"/>
      <c r="H45" s="2060"/>
      <c r="I45" s="2060"/>
      <c r="J45" s="2060"/>
      <c r="K45" s="2081"/>
      <c r="L45" s="2060"/>
      <c r="M45" s="2060"/>
    </row>
    <row r="46" spans="1:18" ht="18" customHeight="1" thickBot="1">
      <c r="A46" s="828"/>
      <c r="B46" s="1355"/>
      <c r="C46" s="1356"/>
      <c r="D46" s="1357"/>
      <c r="E46" s="3154" t="s">
        <v>2978</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2346</v>
      </c>
      <c r="J47" s="2377"/>
      <c r="K47" s="2378"/>
      <c r="L47" s="2379" t="str">
        <f ca="1">IF(M48="住宅",0,IF(L49&gt;J52,L61,J61))</f>
        <v>0</v>
      </c>
      <c r="O47" s="2416" t="s">
        <v>2414</v>
      </c>
      <c r="P47" s="1589"/>
      <c r="Q47" s="1601"/>
      <c r="R47" s="1589"/>
    </row>
    <row r="48" spans="1:18" s="2057" customFormat="1" ht="18" customHeight="1" thickBot="1">
      <c r="A48" s="2082"/>
      <c r="C48" s="2085"/>
      <c r="D48" s="2086"/>
      <c r="E48" s="2086"/>
      <c r="F48" s="2087"/>
      <c r="G48" s="2088"/>
      <c r="I48" s="2380" t="s">
        <v>2347</v>
      </c>
      <c r="J48" s="2385"/>
      <c r="K48" s="2386" t="s">
        <v>2353</v>
      </c>
      <c r="L48" s="2387">
        <f ca="1">INDIRECT("'数据-取费表'!d"&amp;$G$1)</f>
        <v>0</v>
      </c>
      <c r="M48" s="3149" t="str">
        <f>IF(ISNUMBER(FIND("住宅",C1)),"住宅","非住宅")</f>
        <v>非住宅</v>
      </c>
      <c r="O48" s="2417" t="s">
        <v>2379</v>
      </c>
      <c r="P48" s="2418" t="s">
        <v>2380</v>
      </c>
      <c r="Q48" s="2419" t="s">
        <v>2381</v>
      </c>
      <c r="R48" s="2418" t="s">
        <v>2382</v>
      </c>
    </row>
    <row r="49" spans="1:18" s="2057" customFormat="1" ht="18" customHeight="1" thickBot="1">
      <c r="A49" s="2082"/>
      <c r="D49" s="2089"/>
      <c r="E49" s="2090"/>
      <c r="F49" s="2087"/>
      <c r="G49" s="2088"/>
      <c r="H49" s="2091"/>
      <c r="I49" s="2381" t="s">
        <v>2348</v>
      </c>
      <c r="J49" s="2388"/>
      <c r="K49" s="2389" t="s">
        <v>2355</v>
      </c>
      <c r="L49" s="2390">
        <f ca="1">INDIRECT("'数据-取费表'!f"&amp;$G$1)</f>
        <v>0</v>
      </c>
      <c r="O49" s="2420" t="s">
        <v>2383</v>
      </c>
      <c r="P49" s="2421" t="s">
        <v>2409</v>
      </c>
      <c r="Q49" s="2422">
        <f ca="1">C41+J31</f>
        <v>0</v>
      </c>
      <c r="R49" s="2421" t="s">
        <v>2384</v>
      </c>
    </row>
    <row r="50" spans="1:18" s="2057" customFormat="1" ht="18" customHeight="1" thickBot="1">
      <c r="A50" s="2082"/>
      <c r="D50" s="2092"/>
      <c r="E50" s="2092"/>
      <c r="F50" s="2086"/>
      <c r="G50" s="2093"/>
      <c r="H50" s="2091"/>
      <c r="I50" s="2381" t="s">
        <v>2349</v>
      </c>
      <c r="J50" s="2391"/>
      <c r="K50" s="2392" t="s">
        <v>2356</v>
      </c>
      <c r="L50" s="2393"/>
      <c r="O50" s="2420" t="s">
        <v>2385</v>
      </c>
      <c r="P50" s="2421" t="s">
        <v>2410</v>
      </c>
      <c r="Q50" s="2422" t="str">
        <f ca="1">J61</f>
        <v>0</v>
      </c>
      <c r="R50" s="2421" t="s">
        <v>2386</v>
      </c>
    </row>
    <row r="51" spans="1:18" s="2057" customFormat="1" ht="18" customHeight="1" thickBot="1">
      <c r="A51" s="2094"/>
      <c r="D51" s="2092"/>
      <c r="E51" s="2092"/>
      <c r="F51" s="2083"/>
      <c r="H51" s="2091"/>
      <c r="I51" s="2381" t="s">
        <v>2350</v>
      </c>
      <c r="J51" s="2394">
        <f>SUMPRODUCT((I64:I66=J48)*(J63:L63=J49)*(J64:L66))</f>
        <v>0</v>
      </c>
      <c r="K51" s="2392" t="s">
        <v>2357</v>
      </c>
      <c r="L51" s="2393"/>
      <c r="O51" s="2423" t="s">
        <v>2387</v>
      </c>
      <c r="P51" s="2421" t="s">
        <v>2411</v>
      </c>
      <c r="Q51" s="2422">
        <f ca="1">C31</f>
        <v>0</v>
      </c>
      <c r="R51" s="2421" t="s">
        <v>2384</v>
      </c>
    </row>
    <row r="52" spans="1:18" s="2057" customFormat="1" ht="18" customHeight="1" thickBot="1">
      <c r="A52" s="2094"/>
      <c r="F52" s="2083"/>
      <c r="I52" s="2382" t="s">
        <v>2351</v>
      </c>
      <c r="J52" s="2395">
        <f>IF(J50="",J51,J50+J51-YEAR('数据-取费表'!B3))</f>
        <v>0</v>
      </c>
      <c r="K52" s="2381" t="s">
        <v>2358</v>
      </c>
      <c r="L52" s="2396">
        <f ca="1">ROUND(-PV(INDIRECT("'数据-取费表'!h"&amp;$G$1),L49,(C40-C14*J36),0),0)</f>
        <v>0</v>
      </c>
      <c r="O52" s="2423" t="s">
        <v>2388</v>
      </c>
      <c r="P52" s="2421" t="s">
        <v>2389</v>
      </c>
      <c r="Q52" s="2424" t="e">
        <f ca="1">J59</f>
        <v>#VALUE!</v>
      </c>
      <c r="R52" s="2425"/>
    </row>
    <row r="53" spans="1:18" s="2057" customFormat="1" ht="18" customHeight="1" thickBot="1">
      <c r="A53" s="2094"/>
      <c r="F53" s="2083"/>
      <c r="I53" s="2383" t="s">
        <v>2425</v>
      </c>
      <c r="J53" s="2397"/>
      <c r="K53" s="2383" t="s">
        <v>2424</v>
      </c>
      <c r="L53" s="2397"/>
      <c r="O53" s="2423" t="s">
        <v>2390</v>
      </c>
      <c r="P53" s="2421" t="s">
        <v>2391</v>
      </c>
      <c r="Q53" s="2424">
        <f>J53</f>
        <v>0</v>
      </c>
      <c r="R53" s="2425"/>
    </row>
    <row r="54" spans="1:18" s="2057" customFormat="1" ht="43.5" thickBot="1">
      <c r="A54" s="2094"/>
      <c r="I54" s="2384" t="s">
        <v>2352</v>
      </c>
      <c r="J54" s="2398">
        <f ca="1">IF(M48="住宅",J52,IF(J52&gt;L49,L49-'数据-取费表'!B25,J52))</f>
        <v>0</v>
      </c>
      <c r="K54" s="3449"/>
      <c r="L54" s="3450"/>
      <c r="O54" s="2423" t="s">
        <v>2392</v>
      </c>
      <c r="P54" s="2421" t="s">
        <v>2393</v>
      </c>
      <c r="Q54" s="2422">
        <f ca="1">J54</f>
        <v>0</v>
      </c>
      <c r="R54" s="2421" t="s">
        <v>2394</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2395</v>
      </c>
      <c r="P55" s="2421" t="s">
        <v>2412</v>
      </c>
      <c r="Q55" s="2422">
        <f ca="1">Q49+Q50</f>
        <v>0</v>
      </c>
      <c r="R55" s="2425" t="s">
        <v>2396</v>
      </c>
    </row>
    <row r="56" spans="1:18" s="2057" customFormat="1" ht="16.5" thickBot="1">
      <c r="A56" s="2094"/>
      <c r="B56" s="2095"/>
      <c r="C56" s="2095"/>
      <c r="I56" s="3126" t="s">
        <v>2359</v>
      </c>
      <c r="J56" s="3150" t="e">
        <f ca="1">ROUND(IF(J48="钢混",J58/J51,1-(1-2%)*(J51-J58)/J51),3)</f>
        <v>#VALUE!</v>
      </c>
      <c r="K56" s="2399" t="s">
        <v>2360</v>
      </c>
      <c r="L56" s="2400"/>
      <c r="O56" s="2426" t="s">
        <v>2415</v>
      </c>
      <c r="P56" s="1589"/>
      <c r="Q56" s="1601"/>
      <c r="R56" s="1589"/>
    </row>
    <row r="57" spans="1:18" s="2057" customFormat="1" ht="43.5" thickBot="1">
      <c r="A57" s="2094"/>
      <c r="B57" s="2095"/>
      <c r="C57" s="2095"/>
      <c r="I57" s="2401" t="s">
        <v>2361</v>
      </c>
      <c r="J57" s="3149" t="s">
        <v>1679</v>
      </c>
      <c r="K57" s="2381" t="s">
        <v>2366</v>
      </c>
      <c r="L57" s="2390">
        <f ca="1">IF(L49&lt;J52,"——",L49-J52)</f>
        <v>0</v>
      </c>
      <c r="O57" s="2417" t="s">
        <v>2379</v>
      </c>
      <c r="P57" s="2418" t="s">
        <v>2380</v>
      </c>
      <c r="Q57" s="2419" t="s">
        <v>2381</v>
      </c>
      <c r="R57" s="2418" t="s">
        <v>2382</v>
      </c>
    </row>
    <row r="58" spans="1:18" s="2057" customFormat="1" ht="29.25" thickBot="1">
      <c r="A58" s="2094"/>
      <c r="B58" s="2095"/>
      <c r="C58" s="2095"/>
      <c r="I58" s="2402" t="s">
        <v>2362</v>
      </c>
      <c r="J58" s="2404" t="str">
        <f ca="1">IF(OR(M48="住宅",J52&lt;L49,J57="是"),"——",J52-L49)</f>
        <v>——</v>
      </c>
      <c r="K58" s="2381" t="s">
        <v>2367</v>
      </c>
      <c r="L58" s="2390">
        <f ca="1">IF(L49&lt;J52,"——",IF(L56="比较法",L50,IF(L56="基准地价",L51,L52)))</f>
        <v>0</v>
      </c>
      <c r="O58" s="2420" t="s">
        <v>2383</v>
      </c>
      <c r="P58" s="2421" t="s">
        <v>2409</v>
      </c>
      <c r="Q58" s="2422">
        <f ca="1">C41+J31</f>
        <v>0</v>
      </c>
      <c r="R58" s="2421" t="s">
        <v>2384</v>
      </c>
    </row>
    <row r="59" spans="1:18" s="2057" customFormat="1" ht="29.25" thickBot="1">
      <c r="A59" s="2094"/>
      <c r="B59" s="2095"/>
      <c r="C59" s="2095"/>
      <c r="I59" s="2402" t="s">
        <v>2363</v>
      </c>
      <c r="J59" s="3151" t="e">
        <f ca="1">IF(J56&lt;0.4,0.4,J56)</f>
        <v>#VALUE!</v>
      </c>
      <c r="K59" s="2381" t="s">
        <v>2368</v>
      </c>
      <c r="L59" s="2390">
        <f ca="1">IF(ISERROR(POWER(1+L53,L48-L49)*(POWER(1+L53,L49)-1)/(POWER(1+L53,L48)-1)),0,POWER(1+L53,L48-L49)*(POWER(1+L53,L49)-1)/(POWER(1+L53,L48)-1))</f>
        <v>0</v>
      </c>
      <c r="O59" s="2420" t="s">
        <v>2385</v>
      </c>
      <c r="P59" s="2421" t="s">
        <v>2416</v>
      </c>
      <c r="Q59" s="2422" t="e">
        <f ca="1">L61</f>
        <v>#DIV/0!</v>
      </c>
      <c r="R59" s="2425" t="s">
        <v>2418</v>
      </c>
    </row>
    <row r="60" spans="1:18" s="2057" customFormat="1" ht="29.25" thickBot="1">
      <c r="A60" s="2094"/>
      <c r="B60" s="2095"/>
      <c r="C60" s="2095"/>
      <c r="I60" s="2402" t="s">
        <v>2364</v>
      </c>
      <c r="J60" s="2404" t="str">
        <f ca="1">IF(OR(M48="住宅",J52&lt;L49,J57="是"),"——",ROUND(C30*J59,0))</f>
        <v>——</v>
      </c>
      <c r="K60" s="2381" t="s">
        <v>2369</v>
      </c>
      <c r="L60" s="2390">
        <f ca="1">IF(ISERROR(POWER(1+L53,L48-J52)*(POWER(1+L53,J52)-1)/(POWER(1+L53,L48)-1)),0,POWER(1+L53,L48-J52)*(POWER(1+L53,J52)-1)/(POWER(1+L53,L48)-1))</f>
        <v>0</v>
      </c>
      <c r="O60" s="2423" t="s">
        <v>2387</v>
      </c>
      <c r="P60" s="2421" t="s">
        <v>2417</v>
      </c>
      <c r="Q60" s="2422">
        <f>IF(L56="比较法",L50,IF(L56="基准地价",L51,0))</f>
        <v>0</v>
      </c>
      <c r="R60" s="2421" t="s">
        <v>2384</v>
      </c>
    </row>
    <row r="61" spans="1:18" s="2057" customFormat="1" ht="15.75" thickBot="1">
      <c r="A61" s="2094"/>
      <c r="B61" s="2095"/>
      <c r="C61" s="2095"/>
      <c r="I61" s="2403" t="s">
        <v>2365</v>
      </c>
      <c r="J61" s="2405" t="str">
        <f ca="1">IF(OR(M48="住宅",J52&lt;L49,J57="是"),"0",ROUND(J60/(1+J53)^J54,0))</f>
        <v>0</v>
      </c>
      <c r="K61" s="2406" t="s">
        <v>2370</v>
      </c>
      <c r="L61" s="2405" t="e">
        <f ca="1">IF(OR(M48="住宅",L49&lt;J52),0,ROUND(L58*(L59/L60-1),0))</f>
        <v>#DIV/0!</v>
      </c>
      <c r="O61" s="2423" t="s">
        <v>2388</v>
      </c>
      <c r="P61" s="2421" t="s">
        <v>2397</v>
      </c>
      <c r="Q61" s="2424">
        <f>L53</f>
        <v>0</v>
      </c>
      <c r="R61" s="2425"/>
    </row>
    <row r="62" spans="1:18" s="2057" customFormat="1" ht="20.25" thickBot="1">
      <c r="A62" s="2094"/>
      <c r="B62" s="2095"/>
      <c r="C62" s="2095"/>
      <c r="K62" s="2084"/>
      <c r="O62" s="2423" t="s">
        <v>2390</v>
      </c>
      <c r="P62" s="2421" t="s">
        <v>2398</v>
      </c>
      <c r="Q62" s="2422">
        <f ca="1">L59</f>
        <v>0</v>
      </c>
      <c r="R62" s="2425" t="s">
        <v>2399</v>
      </c>
    </row>
    <row r="63" spans="1:18" s="2057" customFormat="1" ht="20.25" thickBot="1">
      <c r="A63" s="2094"/>
      <c r="B63" s="2095"/>
      <c r="C63" s="2095"/>
      <c r="I63" s="2407" t="s">
        <v>2371</v>
      </c>
      <c r="J63" s="2408" t="s">
        <v>2372</v>
      </c>
      <c r="K63" s="2408" t="s">
        <v>2373</v>
      </c>
      <c r="L63" s="2408" t="s">
        <v>2354</v>
      </c>
      <c r="M63" s="3128" t="s">
        <v>2954</v>
      </c>
      <c r="O63" s="2423" t="s">
        <v>2392</v>
      </c>
      <c r="P63" s="2421" t="s">
        <v>2400</v>
      </c>
      <c r="Q63" s="2422">
        <f ca="1">L60</f>
        <v>0</v>
      </c>
      <c r="R63" s="2425" t="s">
        <v>2401</v>
      </c>
    </row>
    <row r="64" spans="1:18" s="2057" customFormat="1" ht="15.75" thickBot="1">
      <c r="A64" s="2094"/>
      <c r="B64" s="2095"/>
      <c r="C64" s="2095"/>
      <c r="I64" s="2407" t="s">
        <v>2374</v>
      </c>
      <c r="J64" s="2408">
        <v>70</v>
      </c>
      <c r="K64" s="2408">
        <v>50</v>
      </c>
      <c r="L64" s="2408">
        <v>80</v>
      </c>
      <c r="M64" s="3129">
        <v>0.02</v>
      </c>
      <c r="O64" s="2420" t="s">
        <v>2395</v>
      </c>
      <c r="P64" s="2421" t="s">
        <v>2412</v>
      </c>
      <c r="Q64" s="2422" t="e">
        <f ca="1">Q58+Q59</f>
        <v>#DIV/0!</v>
      </c>
      <c r="R64" s="2425" t="s">
        <v>2396</v>
      </c>
    </row>
    <row r="65" spans="1:18" s="2057" customFormat="1" ht="16.5" thickBot="1">
      <c r="A65" s="2094"/>
      <c r="B65" s="2095"/>
      <c r="C65" s="2095"/>
      <c r="I65" s="2407" t="s">
        <v>2375</v>
      </c>
      <c r="J65" s="2408">
        <v>50</v>
      </c>
      <c r="K65" s="2408">
        <v>35</v>
      </c>
      <c r="L65" s="2408">
        <v>60</v>
      </c>
      <c r="M65" s="3130">
        <v>0</v>
      </c>
      <c r="O65" s="2426" t="s">
        <v>2419</v>
      </c>
      <c r="P65" s="1589"/>
      <c r="Q65" s="1601"/>
      <c r="R65" s="1589"/>
    </row>
    <row r="66" spans="1:18" s="2057" customFormat="1" ht="15.75" thickBot="1">
      <c r="A66" s="2094"/>
      <c r="B66" s="2095"/>
      <c r="C66" s="2095"/>
      <c r="I66" s="2407" t="s">
        <v>2376</v>
      </c>
      <c r="J66" s="2408">
        <v>40</v>
      </c>
      <c r="K66" s="2408">
        <v>30</v>
      </c>
      <c r="L66" s="2408">
        <v>50</v>
      </c>
      <c r="M66" s="3129">
        <v>0.02</v>
      </c>
      <c r="O66" s="2417" t="s">
        <v>2379</v>
      </c>
      <c r="P66" s="2418" t="s">
        <v>2380</v>
      </c>
      <c r="Q66" s="2419" t="s">
        <v>2381</v>
      </c>
      <c r="R66" s="2418" t="s">
        <v>2382</v>
      </c>
    </row>
    <row r="67" spans="1:18" s="2057" customFormat="1" ht="15.75" thickBot="1">
      <c r="A67" s="2094"/>
      <c r="B67" s="2095"/>
      <c r="C67" s="2095"/>
      <c r="K67" s="2084"/>
      <c r="O67" s="2420" t="s">
        <v>2383</v>
      </c>
      <c r="P67" s="2421" t="s">
        <v>2409</v>
      </c>
      <c r="Q67" s="2422">
        <f ca="1">C41+J31</f>
        <v>0</v>
      </c>
      <c r="R67" s="2421" t="s">
        <v>2384</v>
      </c>
    </row>
    <row r="68" spans="1:18" s="2057" customFormat="1" ht="20.25" thickBot="1">
      <c r="A68" s="2094"/>
      <c r="B68" s="2095"/>
      <c r="C68" s="2095"/>
      <c r="K68" s="2084"/>
      <c r="O68" s="2420" t="s">
        <v>2385</v>
      </c>
      <c r="P68" s="2421" t="s">
        <v>2416</v>
      </c>
      <c r="Q68" s="2422" t="e">
        <f ca="1">L61</f>
        <v>#DIV/0!</v>
      </c>
      <c r="R68" s="2425" t="s">
        <v>2418</v>
      </c>
    </row>
    <row r="69" spans="1:18" s="2057" customFormat="1" ht="21.75" thickBot="1">
      <c r="A69" s="2094"/>
      <c r="B69" s="2095"/>
      <c r="C69" s="2095"/>
      <c r="K69" s="2084"/>
      <c r="O69" s="2423" t="s">
        <v>2387</v>
      </c>
      <c r="P69" s="2421" t="s">
        <v>2417</v>
      </c>
      <c r="Q69" s="2427">
        <f ca="1">L52</f>
        <v>0</v>
      </c>
      <c r="R69" s="2428" t="s">
        <v>2420</v>
      </c>
    </row>
    <row r="70" spans="1:18" s="2057" customFormat="1" ht="20.25" thickBot="1">
      <c r="A70" s="2094"/>
      <c r="B70" s="2095"/>
      <c r="C70" s="2095"/>
      <c r="K70" s="2084"/>
      <c r="O70" s="2423" t="s">
        <v>2388</v>
      </c>
      <c r="P70" s="2429" t="s">
        <v>2402</v>
      </c>
      <c r="Q70" s="2422">
        <f ca="1">ROUND(Q71-Q72*Q73,0)</f>
        <v>0</v>
      </c>
      <c r="R70" s="2425"/>
    </row>
    <row r="71" spans="1:18" s="2057" customFormat="1" ht="15.75" thickBot="1">
      <c r="A71" s="2094"/>
      <c r="B71" s="2095"/>
      <c r="C71" s="2095"/>
      <c r="K71" s="2084"/>
      <c r="O71" s="2423" t="s">
        <v>2403</v>
      </c>
      <c r="P71" s="2429" t="s">
        <v>2404</v>
      </c>
      <c r="Q71" s="2422">
        <f ca="1">C42</f>
        <v>0</v>
      </c>
      <c r="R71" s="2421" t="s">
        <v>2384</v>
      </c>
    </row>
    <row r="72" spans="1:18" s="2057" customFormat="1" ht="15.75" thickBot="1">
      <c r="A72" s="2094"/>
      <c r="B72" s="2095"/>
      <c r="C72" s="2095"/>
      <c r="K72" s="2084"/>
      <c r="O72" s="2423" t="s">
        <v>2405</v>
      </c>
      <c r="P72" s="2429" t="s">
        <v>2406</v>
      </c>
      <c r="Q72" s="2422">
        <f ca="1">C15</f>
        <v>0</v>
      </c>
      <c r="R72" s="2421" t="s">
        <v>2384</v>
      </c>
    </row>
    <row r="73" spans="1:18" s="2057" customFormat="1" ht="15.75" thickBot="1">
      <c r="A73" s="2094"/>
      <c r="B73" s="2095"/>
      <c r="C73" s="2095"/>
      <c r="K73" s="2084"/>
      <c r="O73" s="2423" t="s">
        <v>2407</v>
      </c>
      <c r="P73" s="2429" t="s">
        <v>2408</v>
      </c>
      <c r="Q73" s="2424">
        <f ca="1">F43</f>
        <v>0</v>
      </c>
      <c r="R73" s="2425"/>
    </row>
    <row r="74" spans="1:18" s="2057" customFormat="1" ht="15.75" thickBot="1">
      <c r="A74" s="2094"/>
      <c r="B74" s="2095"/>
      <c r="C74" s="2095"/>
      <c r="K74" s="2084"/>
      <c r="O74" s="2423" t="s">
        <v>2390</v>
      </c>
      <c r="P74" s="2421" t="s">
        <v>2397</v>
      </c>
      <c r="Q74" s="2424">
        <f>L53</f>
        <v>0</v>
      </c>
      <c r="R74" s="2425"/>
    </row>
    <row r="75" spans="1:18" s="2057" customFormat="1" ht="20.25" thickBot="1">
      <c r="A75" s="2094"/>
      <c r="B75" s="2095"/>
      <c r="C75" s="2095"/>
      <c r="K75" s="2084"/>
      <c r="O75" s="2423" t="s">
        <v>2392</v>
      </c>
      <c r="P75" s="2421" t="s">
        <v>2398</v>
      </c>
      <c r="Q75" s="2422">
        <f ca="1">L59</f>
        <v>0</v>
      </c>
      <c r="R75" s="2425" t="s">
        <v>2399</v>
      </c>
    </row>
    <row r="76" spans="1:18" s="2057" customFormat="1" ht="20.25" thickBot="1">
      <c r="A76" s="2094"/>
      <c r="B76" s="2095"/>
      <c r="C76" s="2095"/>
      <c r="K76" s="2084"/>
      <c r="O76" s="2423" t="s">
        <v>2421</v>
      </c>
      <c r="P76" s="2421" t="s">
        <v>2400</v>
      </c>
      <c r="Q76" s="2422">
        <f ca="1">L60</f>
        <v>0</v>
      </c>
      <c r="R76" s="2425" t="s">
        <v>2401</v>
      </c>
    </row>
    <row r="77" spans="1:18" s="2057" customFormat="1" ht="15.75" thickBot="1">
      <c r="A77" s="2094"/>
      <c r="B77" s="2095"/>
      <c r="C77" s="2095"/>
      <c r="K77" s="2084"/>
      <c r="O77" s="2420" t="s">
        <v>2395</v>
      </c>
      <c r="P77" s="2421" t="s">
        <v>2412</v>
      </c>
      <c r="Q77" s="2422" t="e">
        <f ca="1">Q67+Q68</f>
        <v>#DIV/0!</v>
      </c>
      <c r="R77" s="2425" t="s">
        <v>2396</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3" t="s">
        <v>2582</v>
      </c>
      <c r="C1" s="3453"/>
      <c r="D1" s="3453"/>
      <c r="E1" s="3453"/>
      <c r="F1" s="3453"/>
      <c r="G1" s="3452" t="s">
        <v>2583</v>
      </c>
      <c r="H1" s="3452"/>
      <c r="I1" s="3452"/>
      <c r="J1" s="3452"/>
      <c r="K1" s="3452"/>
      <c r="L1" s="3452"/>
      <c r="N1" s="3452" t="s">
        <v>2584</v>
      </c>
      <c r="O1" s="3452"/>
      <c r="P1" s="3452"/>
      <c r="Q1" s="3452"/>
      <c r="R1" s="2677"/>
      <c r="S1" s="3452" t="s">
        <v>2585</v>
      </c>
      <c r="T1" s="3452"/>
      <c r="U1" s="3452"/>
      <c r="V1" s="3452"/>
      <c r="X1" s="3451" t="s">
        <v>2646</v>
      </c>
      <c r="Y1" s="3452"/>
      <c r="Z1" s="3452"/>
      <c r="AA1" s="3452"/>
      <c r="AB1" s="3452"/>
      <c r="AD1" s="3451" t="s">
        <v>2651</v>
      </c>
      <c r="AE1" s="3452"/>
      <c r="AF1" s="3452"/>
      <c r="AG1" s="3452"/>
      <c r="AH1" s="3452"/>
    </row>
    <row r="2" spans="1:34" s="2779" customFormat="1" ht="14.25" thickBot="1">
      <c r="B2" s="2788" t="s">
        <v>2586</v>
      </c>
      <c r="C2" s="2788" t="s">
        <v>2649</v>
      </c>
      <c r="D2" s="2780" t="s">
        <v>1645</v>
      </c>
      <c r="E2" s="2780" t="s">
        <v>1952</v>
      </c>
      <c r="F2" s="2788" t="s">
        <v>2650</v>
      </c>
      <c r="G2" s="2783"/>
      <c r="H2" s="2782"/>
      <c r="I2" s="2788" t="s">
        <v>2969</v>
      </c>
      <c r="J2" s="2780" t="s">
        <v>2971</v>
      </c>
      <c r="K2" s="2780" t="s">
        <v>2972</v>
      </c>
      <c r="L2" s="2788" t="s">
        <v>2973</v>
      </c>
      <c r="N2" s="2788" t="s">
        <v>2586</v>
      </c>
      <c r="O2" s="2780" t="s">
        <v>2970</v>
      </c>
      <c r="P2" s="2780" t="s">
        <v>1952</v>
      </c>
      <c r="Q2" s="2788" t="s">
        <v>2650</v>
      </c>
      <c r="R2" s="2781"/>
      <c r="S2" s="2788" t="s">
        <v>2586</v>
      </c>
      <c r="T2" s="2780" t="s">
        <v>2970</v>
      </c>
      <c r="U2" s="2780" t="s">
        <v>1952</v>
      </c>
      <c r="V2" s="2788" t="s">
        <v>2650</v>
      </c>
      <c r="X2" s="2788" t="s">
        <v>2586</v>
      </c>
      <c r="Y2" s="2788" t="s">
        <v>2649</v>
      </c>
      <c r="Z2" s="2780" t="s">
        <v>1645</v>
      </c>
      <c r="AA2" s="2780" t="s">
        <v>1952</v>
      </c>
      <c r="AB2" s="2788" t="s">
        <v>2650</v>
      </c>
      <c r="AD2" s="2788" t="s">
        <v>2586</v>
      </c>
      <c r="AE2" s="2788" t="s">
        <v>2649</v>
      </c>
      <c r="AF2" s="2780" t="s">
        <v>1645</v>
      </c>
      <c r="AG2" s="2780" t="s">
        <v>1952</v>
      </c>
      <c r="AH2" s="2788" t="s">
        <v>2650</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2981</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2980</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60">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2647</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2587</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5"/>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2588</v>
      </c>
      <c r="B7" s="2692">
        <f t="shared" si="18"/>
        <v>419.31181600000002</v>
      </c>
      <c r="C7" s="2692">
        <f t="shared" si="18"/>
        <v>313.95436800000004</v>
      </c>
      <c r="D7" s="2692">
        <f t="shared" si="3"/>
        <v>313.95436800000004</v>
      </c>
      <c r="E7" s="2692">
        <f t="shared" si="19"/>
        <v>596.63028431999999</v>
      </c>
      <c r="F7" s="2692">
        <f t="shared" si="19"/>
        <v>274.74220703999998</v>
      </c>
      <c r="G7" s="3455"/>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2589</v>
      </c>
      <c r="B8" s="2692">
        <f t="shared" si="18"/>
        <v>405.524</v>
      </c>
      <c r="C8" s="2692">
        <f t="shared" si="18"/>
        <v>307.79840000000002</v>
      </c>
      <c r="D8" s="2692">
        <f t="shared" si="3"/>
        <v>307.79840000000002</v>
      </c>
      <c r="E8" s="2692">
        <f t="shared" si="19"/>
        <v>574.67759999999998</v>
      </c>
      <c r="F8" s="2692">
        <f t="shared" si="19"/>
        <v>270.20280000000002</v>
      </c>
      <c r="G8" s="3456"/>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971</v>
      </c>
      <c r="B9" s="2684">
        <v>392</v>
      </c>
      <c r="C9" s="2684">
        <v>302</v>
      </c>
      <c r="D9" s="2684">
        <f t="shared" si="3"/>
        <v>302</v>
      </c>
      <c r="E9" s="2684">
        <v>553</v>
      </c>
      <c r="F9" s="2685">
        <v>266</v>
      </c>
      <c r="G9" s="3460">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970</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5"/>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960</v>
      </c>
      <c r="B11" s="2692">
        <f t="shared" si="27"/>
        <v>360.06949782209392</v>
      </c>
      <c r="C11" s="2692">
        <f t="shared" si="27"/>
        <v>289.84672674747821</v>
      </c>
      <c r="D11" s="2692">
        <f t="shared" si="28"/>
        <v>289.84672674747821</v>
      </c>
      <c r="E11" s="2692">
        <f t="shared" si="29"/>
        <v>501.06543001181495</v>
      </c>
      <c r="F11" s="2692">
        <f t="shared" si="29"/>
        <v>256.82882500744967</v>
      </c>
      <c r="G11" s="3455"/>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969</v>
      </c>
      <c r="B12" s="2692">
        <f t="shared" si="27"/>
        <v>346.720748986128</v>
      </c>
      <c r="C12" s="2692">
        <f t="shared" si="27"/>
        <v>284.30282172386285</v>
      </c>
      <c r="D12" s="2692">
        <f t="shared" si="28"/>
        <v>284.30282172386285</v>
      </c>
      <c r="E12" s="2692">
        <f t="shared" si="29"/>
        <v>479.58023546306947</v>
      </c>
      <c r="F12" s="2692">
        <f t="shared" si="29"/>
        <v>253.25788877571213</v>
      </c>
      <c r="G12" s="3456"/>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968</v>
      </c>
      <c r="B13" s="2684">
        <v>333</v>
      </c>
      <c r="C13" s="2684">
        <v>277</v>
      </c>
      <c r="D13" s="2684">
        <f t="shared" si="28"/>
        <v>277</v>
      </c>
      <c r="E13" s="2684">
        <v>459</v>
      </c>
      <c r="F13" s="2685">
        <v>249</v>
      </c>
      <c r="G13" s="3454">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967</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5"/>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966</v>
      </c>
      <c r="B15" s="2692">
        <f t="shared" si="31"/>
        <v>322.34053690220776</v>
      </c>
      <c r="C15" s="2692">
        <f t="shared" si="31"/>
        <v>271.46160770422546</v>
      </c>
      <c r="D15" s="2692">
        <f t="shared" si="28"/>
        <v>271.46160770422546</v>
      </c>
      <c r="E15" s="2692">
        <f t="shared" si="32"/>
        <v>442.69434542172456</v>
      </c>
      <c r="F15" s="2692">
        <f t="shared" si="32"/>
        <v>241.34030753190925</v>
      </c>
      <c r="G15" s="3455"/>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965</v>
      </c>
      <c r="B16" s="2692">
        <f t="shared" si="31"/>
        <v>319.87748030386797</v>
      </c>
      <c r="C16" s="2692">
        <f t="shared" si="31"/>
        <v>269.60135833173649</v>
      </c>
      <c r="D16" s="2692">
        <f t="shared" si="28"/>
        <v>269.60135833173649</v>
      </c>
      <c r="E16" s="2692">
        <f t="shared" si="32"/>
        <v>439.18089823583784</v>
      </c>
      <c r="F16" s="2692">
        <f t="shared" si="32"/>
        <v>239.23503918706311</v>
      </c>
      <c r="G16" s="3456"/>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964</v>
      </c>
      <c r="B17" s="2706">
        <v>318</v>
      </c>
      <c r="C17" s="2706">
        <v>268</v>
      </c>
      <c r="D17" s="2706">
        <f t="shared" si="28"/>
        <v>268</v>
      </c>
      <c r="E17" s="2706">
        <v>437</v>
      </c>
      <c r="F17" s="2707">
        <v>237</v>
      </c>
      <c r="G17" s="3454">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963</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5"/>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962</v>
      </c>
      <c r="B19" s="2692">
        <f t="shared" si="33"/>
        <v>314.72141172386546</v>
      </c>
      <c r="C19" s="2692">
        <f t="shared" si="33"/>
        <v>263.03901319069001</v>
      </c>
      <c r="D19" s="2692">
        <f t="shared" si="28"/>
        <v>263.03901319069001</v>
      </c>
      <c r="E19" s="2692">
        <f t="shared" si="34"/>
        <v>433.65745506782821</v>
      </c>
      <c r="F19" s="2692">
        <f t="shared" si="34"/>
        <v>233.23005080045735</v>
      </c>
      <c r="G19" s="3455"/>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961</v>
      </c>
      <c r="B20" s="2711">
        <f t="shared" si="33"/>
        <v>307.34512863658733</v>
      </c>
      <c r="C20" s="2711">
        <f t="shared" si="33"/>
        <v>257.80556031626975</v>
      </c>
      <c r="D20" s="2711">
        <f t="shared" si="28"/>
        <v>257.80556031626975</v>
      </c>
      <c r="E20" s="2711">
        <f t="shared" si="34"/>
        <v>422.70928459677179</v>
      </c>
      <c r="F20" s="2711">
        <f t="shared" si="34"/>
        <v>229.73803270336617</v>
      </c>
      <c r="G20" s="3456"/>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2648</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2590</v>
      </c>
      <c r="B21" s="2684">
        <v>299</v>
      </c>
      <c r="C21" s="2684">
        <v>252</v>
      </c>
      <c r="D21" s="2684">
        <f t="shared" si="28"/>
        <v>252</v>
      </c>
      <c r="E21" s="2684">
        <v>409</v>
      </c>
      <c r="F21" s="2685">
        <v>227</v>
      </c>
      <c r="G21" s="3457">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2591</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8"/>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2592</v>
      </c>
      <c r="B23" s="2692">
        <f t="shared" si="37"/>
        <v>288.2649053828776</v>
      </c>
      <c r="C23" s="2692">
        <f t="shared" si="37"/>
        <v>243.64564425013293</v>
      </c>
      <c r="D23" s="2692">
        <f t="shared" si="28"/>
        <v>243.64564425013293</v>
      </c>
      <c r="E23" s="2692">
        <f t="shared" si="38"/>
        <v>393.31080825986544</v>
      </c>
      <c r="F23" s="2692">
        <f t="shared" si="38"/>
        <v>223.07903790551154</v>
      </c>
      <c r="G23" s="3458"/>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2593</v>
      </c>
      <c r="B24" s="2692">
        <f t="shared" si="37"/>
        <v>282.50186729015837</v>
      </c>
      <c r="C24" s="2692">
        <f t="shared" si="37"/>
        <v>238.09796174155468</v>
      </c>
      <c r="D24" s="2692">
        <f t="shared" si="28"/>
        <v>238.09796174155468</v>
      </c>
      <c r="E24" s="2692">
        <f t="shared" si="38"/>
        <v>385.33438646014054</v>
      </c>
      <c r="F24" s="2692">
        <f t="shared" si="38"/>
        <v>221.55034055567739</v>
      </c>
      <c r="G24" s="3459"/>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2594</v>
      </c>
      <c r="B25" s="2722">
        <v>278</v>
      </c>
      <c r="C25" s="2722">
        <v>234</v>
      </c>
      <c r="D25" s="2722">
        <f t="shared" si="28"/>
        <v>234</v>
      </c>
      <c r="E25" s="2722">
        <v>379</v>
      </c>
      <c r="F25" s="2723">
        <v>220</v>
      </c>
      <c r="G25" s="3454">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2595</v>
      </c>
      <c r="B26" s="2692">
        <f>B25/(1+N25)</f>
        <v>275.49301357645425</v>
      </c>
      <c r="C26" s="2692">
        <f>C25/(1+O25)</f>
        <v>232.41954707985698</v>
      </c>
      <c r="D26" s="2692">
        <f t="shared" si="28"/>
        <v>232.41954707985698</v>
      </c>
      <c r="E26" s="2692">
        <f t="shared" ref="E26:F28" si="39">E25/(1+P25)</f>
        <v>375.32184591008121</v>
      </c>
      <c r="F26" s="2692">
        <f t="shared" si="39"/>
        <v>218.03766105054513</v>
      </c>
      <c r="G26" s="3455"/>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2596</v>
      </c>
      <c r="B27" s="2692">
        <f>B26/(1+N26)</f>
        <v>275.24529281292263</v>
      </c>
      <c r="C27" s="2692">
        <f>C26/(1+O26)</f>
        <v>231.74747938962707</v>
      </c>
      <c r="D27" s="2692">
        <f t="shared" si="28"/>
        <v>231.74747938962707</v>
      </c>
      <c r="E27" s="2692">
        <f t="shared" si="39"/>
        <v>375.35938184826603</v>
      </c>
      <c r="F27" s="2692">
        <f t="shared" si="39"/>
        <v>216.78033510692495</v>
      </c>
      <c r="G27" s="3455"/>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2597</v>
      </c>
      <c r="B28" s="2692">
        <f>B27/(1+N27)</f>
        <v>275.19025476197027</v>
      </c>
      <c r="C28" s="2724">
        <v>232</v>
      </c>
      <c r="D28" s="2724">
        <f t="shared" si="28"/>
        <v>232</v>
      </c>
      <c r="E28" s="2692">
        <f t="shared" si="39"/>
        <v>375.65990977608692</v>
      </c>
      <c r="F28" s="2692">
        <f t="shared" si="39"/>
        <v>214.12518283971252</v>
      </c>
      <c r="G28" s="3456"/>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2598</v>
      </c>
      <c r="B29" s="2684">
        <v>275</v>
      </c>
      <c r="C29" s="2684">
        <v>232</v>
      </c>
      <c r="D29" s="2684">
        <f t="shared" si="28"/>
        <v>232</v>
      </c>
      <c r="E29" s="2684">
        <v>376</v>
      </c>
      <c r="F29" s="2685">
        <v>213</v>
      </c>
      <c r="G29" s="3454">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2599</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5">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2600</v>
      </c>
      <c r="B31" s="2692">
        <f t="shared" si="40"/>
        <v>275.19335084830601</v>
      </c>
      <c r="C31" s="2692">
        <f t="shared" si="40"/>
        <v>230.18088050139744</v>
      </c>
      <c r="D31" s="2692">
        <f t="shared" si="28"/>
        <v>230.18088050139744</v>
      </c>
      <c r="E31" s="2692">
        <f t="shared" si="41"/>
        <v>377.58482925212331</v>
      </c>
      <c r="F31" s="2692">
        <f t="shared" si="41"/>
        <v>210.90687997847917</v>
      </c>
      <c r="G31" s="3455">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2601</v>
      </c>
      <c r="B32" s="2692">
        <f t="shared" si="40"/>
        <v>276.29854502841971</v>
      </c>
      <c r="C32" s="2692">
        <f t="shared" si="40"/>
        <v>229.79023709833027</v>
      </c>
      <c r="D32" s="2692">
        <f t="shared" si="28"/>
        <v>229.79023709833027</v>
      </c>
      <c r="E32" s="2692">
        <f t="shared" si="41"/>
        <v>379.78759731655936</v>
      </c>
      <c r="F32" s="2692">
        <f t="shared" si="41"/>
        <v>211.32953905659235</v>
      </c>
      <c r="G32" s="3456">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2602</v>
      </c>
      <c r="B33" s="2684">
        <v>269</v>
      </c>
      <c r="C33" s="2684">
        <v>221</v>
      </c>
      <c r="D33" s="2684">
        <f t="shared" si="28"/>
        <v>221</v>
      </c>
      <c r="E33" s="2684">
        <v>373</v>
      </c>
      <c r="F33" s="2685">
        <v>196</v>
      </c>
      <c r="G33" s="3454">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2603</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5">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2604</v>
      </c>
      <c r="B35" s="2692">
        <f t="shared" si="42"/>
        <v>242.95398227588385</v>
      </c>
      <c r="C35" s="2692">
        <f t="shared" si="42"/>
        <v>199.59137053614126</v>
      </c>
      <c r="D35" s="2692">
        <f t="shared" si="28"/>
        <v>199.59137053614126</v>
      </c>
      <c r="E35" s="2692">
        <f t="shared" si="43"/>
        <v>335.92189522342125</v>
      </c>
      <c r="F35" s="2692">
        <f t="shared" si="43"/>
        <v>183.10139991109489</v>
      </c>
      <c r="G35" s="3455">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2605</v>
      </c>
      <c r="B36" s="2692">
        <f t="shared" si="42"/>
        <v>232.06990378821649</v>
      </c>
      <c r="C36" s="2692">
        <f t="shared" si="42"/>
        <v>192.74878854286936</v>
      </c>
      <c r="D36" s="2692">
        <f t="shared" si="28"/>
        <v>192.74878854286936</v>
      </c>
      <c r="E36" s="2692">
        <f t="shared" si="43"/>
        <v>319.71247284992984</v>
      </c>
      <c r="F36" s="2692">
        <f t="shared" si="43"/>
        <v>175.67053622862409</v>
      </c>
      <c r="G36" s="3456">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2606</v>
      </c>
      <c r="B37" s="2684">
        <v>220</v>
      </c>
      <c r="C37" s="2684">
        <v>187</v>
      </c>
      <c r="D37" s="2684">
        <f t="shared" si="28"/>
        <v>187</v>
      </c>
      <c r="E37" s="2684">
        <v>301</v>
      </c>
      <c r="F37" s="2685">
        <v>168</v>
      </c>
      <c r="G37" s="3454">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2607</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5">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2608</v>
      </c>
      <c r="B39" s="2692">
        <f t="shared" si="44"/>
        <v>210.630522469011</v>
      </c>
      <c r="C39" s="2692">
        <f t="shared" si="44"/>
        <v>181.69567812247232</v>
      </c>
      <c r="D39" s="2692">
        <f t="shared" si="28"/>
        <v>181.69567812247232</v>
      </c>
      <c r="E39" s="2692">
        <f t="shared" si="45"/>
        <v>286.13517466736738</v>
      </c>
      <c r="F39" s="2692">
        <f t="shared" si="45"/>
        <v>165.47535084591149</v>
      </c>
      <c r="G39" s="3455">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2609</v>
      </c>
      <c r="B40" s="2692">
        <f t="shared" si="44"/>
        <v>208.83454537875372</v>
      </c>
      <c r="C40" s="2692">
        <f t="shared" si="44"/>
        <v>183.77230517090351</v>
      </c>
      <c r="D40" s="2692">
        <f t="shared" si="28"/>
        <v>183.77230517090351</v>
      </c>
      <c r="E40" s="2692">
        <f t="shared" si="45"/>
        <v>281.10342338870947</v>
      </c>
      <c r="F40" s="2692">
        <f t="shared" si="45"/>
        <v>168.97309388942256</v>
      </c>
      <c r="G40" s="3456">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2610</v>
      </c>
      <c r="B41" s="2722">
        <v>214</v>
      </c>
      <c r="C41" s="2722">
        <v>188</v>
      </c>
      <c r="D41" s="2722">
        <f t="shared" si="28"/>
        <v>188</v>
      </c>
      <c r="E41" s="2722">
        <v>289</v>
      </c>
      <c r="F41" s="2723">
        <v>166</v>
      </c>
      <c r="G41" s="3454">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2611</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5">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2612</v>
      </c>
      <c r="B43" s="2692">
        <f t="shared" si="46"/>
        <v>206.31694671589116</v>
      </c>
      <c r="C43" s="2692">
        <f t="shared" si="46"/>
        <v>183.61041121036101</v>
      </c>
      <c r="D43" s="2692">
        <f t="shared" si="28"/>
        <v>183.61041121036101</v>
      </c>
      <c r="E43" s="2692">
        <f t="shared" si="47"/>
        <v>276.66850301795557</v>
      </c>
      <c r="F43" s="2692">
        <f t="shared" si="47"/>
        <v>165.1360938278614</v>
      </c>
      <c r="G43" s="3455">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2613</v>
      </c>
      <c r="B44" s="2725">
        <f t="shared" si="46"/>
        <v>196.62341248059772</v>
      </c>
      <c r="C44" s="2725">
        <f t="shared" si="46"/>
        <v>170.99125648199012</v>
      </c>
      <c r="D44" s="2725">
        <f t="shared" si="28"/>
        <v>170.99125648199012</v>
      </c>
      <c r="E44" s="2725">
        <f t="shared" si="47"/>
        <v>266.07857570490052</v>
      </c>
      <c r="F44" s="2725">
        <f t="shared" si="47"/>
        <v>154.53499328828505</v>
      </c>
      <c r="G44" s="3456">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2614</v>
      </c>
      <c r="B45" s="2684">
        <v>188</v>
      </c>
      <c r="C45" s="2684">
        <v>165</v>
      </c>
      <c r="D45" s="2684">
        <f t="shared" si="28"/>
        <v>165</v>
      </c>
      <c r="E45" s="2684">
        <v>254</v>
      </c>
      <c r="F45" s="2685">
        <v>148</v>
      </c>
      <c r="G45" s="3454">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2615</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5">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2616</v>
      </c>
      <c r="B47" s="2692">
        <f t="shared" si="50"/>
        <v>168.82017748715555</v>
      </c>
      <c r="C47" s="2692">
        <f t="shared" si="50"/>
        <v>148.06267029972753</v>
      </c>
      <c r="D47" s="2692">
        <f t="shared" si="28"/>
        <v>148.06267029972753</v>
      </c>
      <c r="E47" s="2692">
        <f t="shared" si="51"/>
        <v>216.46288379323747</v>
      </c>
      <c r="F47" s="2692">
        <f t="shared" si="51"/>
        <v>134.23529411764704</v>
      </c>
      <c r="G47" s="3455">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2617</v>
      </c>
      <c r="B48" s="2692">
        <f t="shared" si="50"/>
        <v>163.84913591779542</v>
      </c>
      <c r="C48" s="2692">
        <f t="shared" si="50"/>
        <v>145.0283378746594</v>
      </c>
      <c r="D48" s="2692">
        <f t="shared" si="28"/>
        <v>145.0283378746594</v>
      </c>
      <c r="E48" s="2692">
        <f t="shared" si="51"/>
        <v>204.95180722891567</v>
      </c>
      <c r="F48" s="2692">
        <f t="shared" si="51"/>
        <v>125.95920303605313</v>
      </c>
      <c r="G48" s="3456">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2618</v>
      </c>
      <c r="B49" s="2706">
        <v>159</v>
      </c>
      <c r="C49" s="2706">
        <v>141</v>
      </c>
      <c r="D49" s="2706">
        <f t="shared" si="28"/>
        <v>141</v>
      </c>
      <c r="E49" s="2706">
        <v>195</v>
      </c>
      <c r="F49" s="2707">
        <v>122</v>
      </c>
      <c r="G49" s="3454">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2619</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5">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2620</v>
      </c>
      <c r="B51" s="2692">
        <f t="shared" si="54"/>
        <v>146.57412060301507</v>
      </c>
      <c r="C51" s="2692">
        <f t="shared" si="54"/>
        <v>136.46831955922866</v>
      </c>
      <c r="D51" s="2692">
        <f t="shared" si="28"/>
        <v>136.46831955922866</v>
      </c>
      <c r="E51" s="2692">
        <f t="shared" si="55"/>
        <v>166.73864894795128</v>
      </c>
      <c r="F51" s="2692">
        <f t="shared" si="55"/>
        <v>115.05882352941177</v>
      </c>
      <c r="G51" s="3455">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2621</v>
      </c>
      <c r="B52" s="2692">
        <f t="shared" si="54"/>
        <v>144.04145728643215</v>
      </c>
      <c r="C52" s="2692">
        <f t="shared" si="54"/>
        <v>136.12396694214877</v>
      </c>
      <c r="D52" s="2692">
        <f t="shared" si="28"/>
        <v>136.12396694214877</v>
      </c>
      <c r="E52" s="2692">
        <f t="shared" si="55"/>
        <v>158.32225913621264</v>
      </c>
      <c r="F52" s="2692">
        <f t="shared" si="55"/>
        <v>114.04278074866311</v>
      </c>
      <c r="G52" s="3456">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2622</v>
      </c>
      <c r="B53" s="2706">
        <v>138</v>
      </c>
      <c r="C53" s="2706">
        <v>131</v>
      </c>
      <c r="D53" s="2706">
        <f t="shared" si="28"/>
        <v>131</v>
      </c>
      <c r="E53" s="2706">
        <v>155</v>
      </c>
      <c r="F53" s="2707">
        <v>114</v>
      </c>
      <c r="G53" s="3454">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2623</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5">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2624</v>
      </c>
      <c r="B55" s="2692">
        <f t="shared" si="58"/>
        <v>124.29032258064517</v>
      </c>
      <c r="C55" s="2692">
        <f t="shared" si="58"/>
        <v>123.8968609865471</v>
      </c>
      <c r="D55" s="2692">
        <f t="shared" si="28"/>
        <v>123.8968609865471</v>
      </c>
      <c r="E55" s="2692">
        <f t="shared" si="59"/>
        <v>138.00507614213197</v>
      </c>
      <c r="F55" s="2692">
        <f t="shared" si="59"/>
        <v>107.96106557377048</v>
      </c>
      <c r="G55" s="3455">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2625</v>
      </c>
      <c r="B56" s="2692">
        <f t="shared" si="58"/>
        <v>122.57204301075269</v>
      </c>
      <c r="C56" s="2692">
        <f t="shared" si="58"/>
        <v>123.4932735426009</v>
      </c>
      <c r="D56" s="2692">
        <f t="shared" si="28"/>
        <v>123.4932735426009</v>
      </c>
      <c r="E56" s="2692">
        <f t="shared" si="59"/>
        <v>129.82233502538071</v>
      </c>
      <c r="F56" s="2692">
        <f t="shared" si="59"/>
        <v>107.39446721311475</v>
      </c>
      <c r="G56" s="3456">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2626</v>
      </c>
      <c r="B57" s="2722">
        <v>121</v>
      </c>
      <c r="C57" s="2722">
        <v>122</v>
      </c>
      <c r="D57" s="2722">
        <f t="shared" si="28"/>
        <v>122</v>
      </c>
      <c r="E57" s="2722">
        <v>124</v>
      </c>
      <c r="F57" s="2723">
        <v>107</v>
      </c>
      <c r="G57" s="3454">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2627</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5">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2628</v>
      </c>
      <c r="B59" s="2692">
        <f t="shared" si="62"/>
        <v>116.99099099099099</v>
      </c>
      <c r="C59" s="2692">
        <f t="shared" si="62"/>
        <v>118.84848484848486</v>
      </c>
      <c r="D59" s="2692">
        <f t="shared" si="28"/>
        <v>118.84848484848486</v>
      </c>
      <c r="E59" s="2692">
        <f t="shared" si="63"/>
        <v>117.60960960960961</v>
      </c>
      <c r="F59" s="2692">
        <f t="shared" si="63"/>
        <v>104</v>
      </c>
      <c r="G59" s="3455">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2629</v>
      </c>
      <c r="B60" s="2725">
        <f t="shared" si="62"/>
        <v>112.48648648648648</v>
      </c>
      <c r="C60" s="2725">
        <f t="shared" si="62"/>
        <v>115.21212121212122</v>
      </c>
      <c r="D60" s="2725">
        <f t="shared" si="28"/>
        <v>115.21212121212122</v>
      </c>
      <c r="E60" s="2725">
        <f t="shared" si="63"/>
        <v>110.4024024024024</v>
      </c>
      <c r="F60" s="2725">
        <f t="shared" si="63"/>
        <v>104</v>
      </c>
      <c r="G60" s="3456">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2630</v>
      </c>
      <c r="B61" s="2743">
        <v>111</v>
      </c>
      <c r="C61" s="2743">
        <v>114</v>
      </c>
      <c r="D61" s="2743">
        <f t="shared" si="28"/>
        <v>114</v>
      </c>
      <c r="E61" s="2743">
        <v>108</v>
      </c>
      <c r="F61" s="2744">
        <v>104</v>
      </c>
      <c r="G61" s="3454">
        <v>2003</v>
      </c>
      <c r="H61" s="2733">
        <v>4</v>
      </c>
      <c r="I61" s="2745"/>
      <c r="J61" s="2745"/>
      <c r="K61" s="2745"/>
      <c r="L61" s="2745"/>
      <c r="N61" s="2746"/>
      <c r="O61" s="2745"/>
      <c r="P61" s="2745"/>
      <c r="Q61" s="2745"/>
      <c r="S61" s="2746"/>
      <c r="T61" s="2745"/>
      <c r="U61" s="2745"/>
      <c r="V61" s="2745"/>
      <c r="X61" s="2737"/>
      <c r="Y61" s="2737"/>
      <c r="Z61" s="2737"/>
    </row>
    <row r="62" spans="1:26">
      <c r="A62" s="2678" t="s">
        <v>2631</v>
      </c>
      <c r="B62" s="2747">
        <f t="shared" ref="B62:C64" si="64">B63+(B$61-B$65)/4</f>
        <v>109.75</v>
      </c>
      <c r="C62" s="2747">
        <f t="shared" si="64"/>
        <v>112.25</v>
      </c>
      <c r="D62" s="2747">
        <f t="shared" si="28"/>
        <v>112.25</v>
      </c>
      <c r="E62" s="2747">
        <f t="shared" ref="E62:F64" si="65">E63+(E$61-E$65)/4</f>
        <v>107.25</v>
      </c>
      <c r="F62" s="2747">
        <f t="shared" si="65"/>
        <v>103.5</v>
      </c>
      <c r="G62" s="3455">
        <v>2003</v>
      </c>
      <c r="H62" s="2703">
        <v>3</v>
      </c>
      <c r="I62" s="2745"/>
      <c r="J62" s="2745"/>
      <c r="K62" s="2745"/>
      <c r="L62" s="2745"/>
      <c r="X62" s="2737"/>
      <c r="Y62" s="2737"/>
      <c r="Z62" s="2737"/>
    </row>
    <row r="63" spans="1:26">
      <c r="A63" s="2678" t="s">
        <v>2632</v>
      </c>
      <c r="B63" s="2747">
        <f t="shared" si="64"/>
        <v>108.5</v>
      </c>
      <c r="C63" s="2747">
        <f t="shared" si="64"/>
        <v>110.5</v>
      </c>
      <c r="D63" s="2747">
        <f t="shared" si="28"/>
        <v>110.5</v>
      </c>
      <c r="E63" s="2747">
        <f t="shared" si="65"/>
        <v>106.5</v>
      </c>
      <c r="F63" s="2747">
        <f t="shared" si="65"/>
        <v>103</v>
      </c>
      <c r="G63" s="3455">
        <v>2003</v>
      </c>
      <c r="H63" s="2683">
        <v>2</v>
      </c>
      <c r="I63" s="2745"/>
      <c r="J63" s="2745"/>
      <c r="K63" s="2745"/>
      <c r="L63" s="2745"/>
      <c r="X63" s="2737"/>
      <c r="Y63" s="2737"/>
      <c r="Z63" s="2737"/>
    </row>
    <row r="64" spans="1:26" ht="13.5" thickBot="1">
      <c r="A64" s="2678" t="s">
        <v>2633</v>
      </c>
      <c r="B64" s="2747">
        <f t="shared" si="64"/>
        <v>107.25</v>
      </c>
      <c r="C64" s="2747">
        <f t="shared" si="64"/>
        <v>108.75</v>
      </c>
      <c r="D64" s="2747">
        <f t="shared" si="28"/>
        <v>108.75</v>
      </c>
      <c r="E64" s="2747">
        <f t="shared" si="65"/>
        <v>105.75</v>
      </c>
      <c r="F64" s="2747">
        <f t="shared" si="65"/>
        <v>102.5</v>
      </c>
      <c r="G64" s="3456">
        <v>2003</v>
      </c>
      <c r="H64" s="2748">
        <v>1</v>
      </c>
      <c r="I64" s="2745"/>
      <c r="J64" s="2745"/>
      <c r="K64" s="2745"/>
      <c r="L64" s="2745"/>
      <c r="S64" s="2687"/>
      <c r="T64" s="2688"/>
      <c r="U64" s="2688"/>
      <c r="X64" s="2737"/>
      <c r="Y64" s="2737"/>
      <c r="Z64" s="2737"/>
    </row>
    <row r="65" spans="1:26" ht="13.5" thickBot="1">
      <c r="A65" s="2678" t="s">
        <v>2634</v>
      </c>
      <c r="B65" s="2749">
        <v>106</v>
      </c>
      <c r="C65" s="2749">
        <v>107</v>
      </c>
      <c r="D65" s="2749">
        <f t="shared" si="28"/>
        <v>107</v>
      </c>
      <c r="E65" s="2749">
        <v>105</v>
      </c>
      <c r="F65" s="2750">
        <v>102</v>
      </c>
      <c r="G65" s="3454">
        <v>2002</v>
      </c>
      <c r="H65" s="2698">
        <v>4</v>
      </c>
      <c r="I65" s="2745"/>
      <c r="J65" s="2745"/>
      <c r="K65" s="2745"/>
      <c r="L65" s="2745"/>
      <c r="N65" s="2746"/>
      <c r="O65" s="2745"/>
      <c r="P65" s="2745"/>
      <c r="Q65" s="2745"/>
      <c r="S65" s="2746"/>
      <c r="T65" s="2745"/>
      <c r="U65" s="2745"/>
      <c r="V65" s="2745"/>
      <c r="X65" s="2737"/>
      <c r="Y65" s="2737"/>
      <c r="Z65" s="2737"/>
    </row>
    <row r="66" spans="1:26">
      <c r="A66" s="2678" t="s">
        <v>2635</v>
      </c>
      <c r="B66" s="2747">
        <f t="shared" ref="B66:C68" si="66">B67+(B$65-B$69)/4</f>
        <v>105</v>
      </c>
      <c r="C66" s="2747">
        <f t="shared" si="66"/>
        <v>106</v>
      </c>
      <c r="D66" s="2747">
        <f t="shared" si="28"/>
        <v>106</v>
      </c>
      <c r="E66" s="2747">
        <f t="shared" ref="E66:F68" si="67">E67+(E$65-E$69)/4</f>
        <v>104.5</v>
      </c>
      <c r="F66" s="2747">
        <f t="shared" si="67"/>
        <v>101.5</v>
      </c>
      <c r="G66" s="3455">
        <v>2002</v>
      </c>
      <c r="H66" s="2703">
        <v>3</v>
      </c>
      <c r="I66" s="2745"/>
      <c r="J66" s="2745"/>
      <c r="K66" s="2745"/>
      <c r="L66" s="2745"/>
      <c r="X66" s="2737"/>
      <c r="Y66" s="2737"/>
      <c r="Z66" s="2737"/>
    </row>
    <row r="67" spans="1:26">
      <c r="A67" s="2678" t="s">
        <v>2636</v>
      </c>
      <c r="B67" s="2747">
        <f t="shared" si="66"/>
        <v>104</v>
      </c>
      <c r="C67" s="2747">
        <f t="shared" si="66"/>
        <v>105</v>
      </c>
      <c r="D67" s="2747">
        <f t="shared" si="28"/>
        <v>105</v>
      </c>
      <c r="E67" s="2747">
        <f t="shared" si="67"/>
        <v>104</v>
      </c>
      <c r="F67" s="2747">
        <f t="shared" si="67"/>
        <v>101</v>
      </c>
      <c r="G67" s="3455">
        <v>2002</v>
      </c>
      <c r="H67" s="2683">
        <v>2</v>
      </c>
      <c r="I67" s="2745"/>
      <c r="J67" s="2745"/>
      <c r="K67" s="2745"/>
      <c r="L67" s="2745"/>
      <c r="X67" s="2737"/>
      <c r="Y67" s="2737"/>
      <c r="Z67" s="2737"/>
    </row>
    <row r="68" spans="1:26" s="2714" customFormat="1" ht="13.5" thickBot="1">
      <c r="A68" s="2710" t="s">
        <v>2637</v>
      </c>
      <c r="B68" s="2751">
        <f t="shared" si="66"/>
        <v>103</v>
      </c>
      <c r="C68" s="2751">
        <f t="shared" si="66"/>
        <v>104</v>
      </c>
      <c r="D68" s="2751">
        <f t="shared" si="28"/>
        <v>104</v>
      </c>
      <c r="E68" s="2751">
        <f t="shared" si="67"/>
        <v>103.5</v>
      </c>
      <c r="F68" s="2751">
        <f t="shared" si="67"/>
        <v>100.5</v>
      </c>
      <c r="G68" s="3456">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2638</v>
      </c>
      <c r="G71" s="2761"/>
      <c r="N71" s="2761"/>
      <c r="S71" s="2761"/>
    </row>
    <row r="72" spans="1:26" s="2760" customFormat="1">
      <c r="A72" s="2760" t="s">
        <v>2639</v>
      </c>
      <c r="G72" s="2761"/>
      <c r="N72" s="2761"/>
      <c r="S72" s="2761"/>
    </row>
    <row r="73" spans="1:26" s="2760" customFormat="1">
      <c r="A73" s="2760" t="s">
        <v>2640</v>
      </c>
      <c r="G73" s="2761"/>
      <c r="I73" s="2762"/>
      <c r="J73" s="2762"/>
      <c r="K73" s="2762"/>
      <c r="L73" s="2762"/>
      <c r="N73" s="2763"/>
      <c r="O73" s="2762"/>
      <c r="P73" s="2762"/>
      <c r="Q73" s="2762"/>
      <c r="S73" s="2763"/>
      <c r="T73" s="2762"/>
      <c r="U73" s="2762"/>
      <c r="V73" s="2762"/>
    </row>
    <row r="74" spans="1:26" s="2760" customFormat="1">
      <c r="A74" s="2760" t="s">
        <v>2641</v>
      </c>
      <c r="G74" s="2761"/>
      <c r="N74" s="2761"/>
      <c r="S74" s="2761"/>
    </row>
    <row r="81" spans="7:22" ht="13.5" thickBot="1"/>
    <row r="82" spans="7:22">
      <c r="G82" s="2686"/>
      <c r="S82" s="2764" t="s">
        <v>2642</v>
      </c>
      <c r="T82" s="2765" t="s">
        <v>2643</v>
      </c>
      <c r="U82" s="2765" t="s">
        <v>2644</v>
      </c>
      <c r="V82" s="2765" t="s">
        <v>2645</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2755</v>
      </c>
    </row>
    <row r="8" spans="1:4" ht="18.75">
      <c r="A8" s="1792" t="s">
        <v>1907</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2029</v>
      </c>
    </row>
    <row r="11" spans="1:4" ht="18.75">
      <c r="A11" s="1778" t="str">
        <f>TEXT(项目基本情况!D3,"yyyy年m月d日;;")&amp;IF(项目基本情况!B3=项目基本情况!D3,"（评估专业人员勘察现场之日）","")</f>
        <v>2018年1月4日（评估专业人员勘察现场之日）</v>
      </c>
    </row>
    <row r="12" spans="1:4" ht="18.75">
      <c r="A12" s="1795" t="s">
        <v>2028</v>
      </c>
    </row>
    <row r="13" spans="1:4" ht="18.75">
      <c r="A13" s="1789" t="s">
        <v>2953</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2075</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2077</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2078</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K15" sqref="K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2645" t="s">
        <v>719</v>
      </c>
      <c r="C1" s="2646" t="s">
        <v>720</v>
      </c>
      <c r="D1" s="2647" t="s">
        <v>923</v>
      </c>
      <c r="E1" s="2648"/>
      <c r="F1" s="2831" t="s">
        <v>2999</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466</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519</v>
      </c>
      <c r="B3" s="848">
        <f>C49</f>
        <v>29836</v>
      </c>
      <c r="C3" s="849" t="s">
        <v>722</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521</v>
      </c>
      <c r="B4" s="510"/>
      <c r="C4" s="3389" t="s">
        <v>522</v>
      </c>
      <c r="D4" s="3390"/>
      <c r="E4" s="3414" t="s">
        <v>523</v>
      </c>
      <c r="F4" s="3415"/>
      <c r="G4" s="3389" t="s">
        <v>524</v>
      </c>
      <c r="H4" s="3390"/>
      <c r="I4" s="3389" t="s">
        <v>525</v>
      </c>
      <c r="J4" s="3390"/>
      <c r="K4" s="850" t="s">
        <v>526</v>
      </c>
      <c r="L4" s="2131"/>
      <c r="M4" s="2132"/>
      <c r="N4" s="2132"/>
      <c r="O4" s="2132"/>
      <c r="P4" s="3391" t="s">
        <v>527</v>
      </c>
      <c r="Q4" s="3392"/>
      <c r="R4" s="3377" t="s">
        <v>523</v>
      </c>
      <c r="S4" s="3378"/>
      <c r="T4" s="3377" t="s">
        <v>524</v>
      </c>
      <c r="U4" s="3378"/>
      <c r="V4" s="3397" t="s">
        <v>525</v>
      </c>
      <c r="W4" s="3397"/>
      <c r="X4" s="1564"/>
      <c r="Y4" s="3377" t="s">
        <v>527</v>
      </c>
      <c r="Z4" s="3378"/>
      <c r="AA4" s="3372" t="s">
        <v>523</v>
      </c>
      <c r="AB4" s="3372" t="s">
        <v>524</v>
      </c>
      <c r="AC4" s="3372" t="s">
        <v>525</v>
      </c>
    </row>
    <row r="5" spans="1:29" ht="15">
      <c r="A5" s="512"/>
      <c r="B5" s="513"/>
      <c r="C5" s="3400" t="s">
        <v>2939</v>
      </c>
      <c r="D5" s="3401"/>
      <c r="E5" s="3461" t="s">
        <v>3029</v>
      </c>
      <c r="F5" s="3417"/>
      <c r="G5" s="3462" t="s">
        <v>3030</v>
      </c>
      <c r="H5" s="3401"/>
      <c r="I5" s="3462" t="s">
        <v>3034</v>
      </c>
      <c r="J5" s="3401"/>
      <c r="K5" s="85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2943</v>
      </c>
      <c r="D6" s="3399"/>
      <c r="E6" s="3463" t="s">
        <v>3032</v>
      </c>
      <c r="F6" s="3420"/>
      <c r="G6" s="3398" t="s">
        <v>3031</v>
      </c>
      <c r="H6" s="3399"/>
      <c r="I6" s="3398" t="s">
        <v>3033</v>
      </c>
      <c r="J6" s="3399"/>
      <c r="K6" s="851" t="s">
        <v>528</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529</v>
      </c>
      <c r="C7" s="516">
        <f>'数据-取费表'!B2</f>
        <v>43104</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375" t="s">
        <v>530</v>
      </c>
      <c r="Q7" s="3384"/>
      <c r="R7" s="1565" t="s">
        <v>13</v>
      </c>
      <c r="S7" s="1566">
        <f t="shared" ref="S7:S15" si="0">F7</f>
        <v>100</v>
      </c>
      <c r="T7" s="1565" t="s">
        <v>13</v>
      </c>
      <c r="U7" s="1566">
        <f t="shared" ref="U7:U15" si="1">H7</f>
        <v>100</v>
      </c>
      <c r="V7" s="1565" t="s">
        <v>13</v>
      </c>
      <c r="W7" s="1566">
        <f t="shared" ref="W7:W15" si="2">J7</f>
        <v>100</v>
      </c>
      <c r="X7" s="1567"/>
      <c r="Y7" s="3375" t="s">
        <v>530</v>
      </c>
      <c r="Z7" s="3376"/>
      <c r="AA7" s="1568">
        <f>D7/F7</f>
        <v>1</v>
      </c>
      <c r="AB7" s="1568">
        <f>D7/H7</f>
        <v>1</v>
      </c>
      <c r="AC7" s="1568">
        <f>D7/J7</f>
        <v>1</v>
      </c>
    </row>
    <row r="8" spans="1:29" s="1216" customFormat="1" ht="15.75" thickBot="1">
      <c r="A8" s="2936"/>
      <c r="B8" s="2943"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3"/>
      <c r="M8" s="2134"/>
      <c r="N8" s="2134"/>
      <c r="O8" s="2134"/>
      <c r="P8" s="3375" t="s">
        <v>533</v>
      </c>
      <c r="Q8" s="3376"/>
      <c r="R8" s="1565" t="s">
        <v>13</v>
      </c>
      <c r="S8" s="1566">
        <f t="shared" si="0"/>
        <v>100</v>
      </c>
      <c r="T8" s="1565" t="s">
        <v>13</v>
      </c>
      <c r="U8" s="1566">
        <f t="shared" si="1"/>
        <v>100</v>
      </c>
      <c r="V8" s="1565" t="s">
        <v>13</v>
      </c>
      <c r="W8" s="1566">
        <f t="shared" si="2"/>
        <v>100</v>
      </c>
      <c r="X8" s="1567"/>
      <c r="Y8" s="3375" t="s">
        <v>533</v>
      </c>
      <c r="Z8" s="3376"/>
      <c r="AA8" s="1568">
        <f t="shared" ref="AA8:AA46" si="3">D8/F8</f>
        <v>1</v>
      </c>
      <c r="AB8" s="1568">
        <f t="shared" ref="AB8:AB46" si="4">D8/H8</f>
        <v>1</v>
      </c>
      <c r="AC8" s="1568">
        <f t="shared" ref="AC8:AC46" si="5">D8/J8</f>
        <v>1</v>
      </c>
    </row>
    <row r="9" spans="1:29" s="1216" customFormat="1" ht="15">
      <c r="A9" s="2937"/>
      <c r="B9" s="2944" t="s">
        <v>2764</v>
      </c>
      <c r="C9" s="3174" t="s">
        <v>3018</v>
      </c>
      <c r="D9" s="253">
        <v>100</v>
      </c>
      <c r="E9" s="3174" t="s">
        <v>3018</v>
      </c>
      <c r="F9" s="856">
        <f>SUMIF(63:63,E9,64:64)-SUMIF(63:63,C9,64:64)+100</f>
        <v>100</v>
      </c>
      <c r="G9" s="3174" t="s">
        <v>3018</v>
      </c>
      <c r="H9" s="253">
        <f>SUMIF(63:63,G9,64:64)-SUMIF(63:63,C9,64:64)+100</f>
        <v>100</v>
      </c>
      <c r="I9" s="3174" t="s">
        <v>3018</v>
      </c>
      <c r="J9" s="253">
        <f>SUMIF(63:63,I9,64:64)-SUMIF(63:63,C9,64:64)+100</f>
        <v>100</v>
      </c>
      <c r="K9" s="852"/>
      <c r="L9" s="2133"/>
      <c r="M9" s="2134"/>
      <c r="N9" s="2134"/>
      <c r="O9" s="2135"/>
      <c r="P9" s="3383" t="s">
        <v>535</v>
      </c>
      <c r="Q9" s="1147" t="str">
        <f t="shared" ref="Q9:Q15" si="6">B9</f>
        <v>用途</v>
      </c>
      <c r="R9" s="1565" t="s">
        <v>8</v>
      </c>
      <c r="S9" s="1566">
        <f t="shared" si="0"/>
        <v>100</v>
      </c>
      <c r="T9" s="1565" t="s">
        <v>8</v>
      </c>
      <c r="U9" s="1566">
        <f t="shared" si="1"/>
        <v>100</v>
      </c>
      <c r="V9" s="1565" t="s">
        <v>8</v>
      </c>
      <c r="W9" s="1566">
        <f t="shared" si="2"/>
        <v>100</v>
      </c>
      <c r="X9" s="1567"/>
      <c r="Y9" s="3340" t="s">
        <v>536</v>
      </c>
      <c r="Z9" s="1146" t="str">
        <f t="shared" ref="Z9:Z15" si="7">Q9</f>
        <v>用途</v>
      </c>
      <c r="AA9" s="1568">
        <f t="shared" si="3"/>
        <v>1</v>
      </c>
      <c r="AB9" s="1568">
        <f t="shared" si="4"/>
        <v>1</v>
      </c>
      <c r="AC9" s="1568">
        <f t="shared" si="5"/>
        <v>1</v>
      </c>
    </row>
    <row r="10" spans="1:29" s="1334" customFormat="1" ht="27">
      <c r="A10" s="2938"/>
      <c r="B10" s="2943" t="s">
        <v>2765</v>
      </c>
      <c r="C10" s="858" t="s">
        <v>3019</v>
      </c>
      <c r="D10" s="254">
        <v>100</v>
      </c>
      <c r="E10" s="858" t="s">
        <v>3019</v>
      </c>
      <c r="F10" s="860">
        <f>SUMIF(65:65,E10,66:66)-SUMIF(65:65,C10,66:66)+100</f>
        <v>100</v>
      </c>
      <c r="G10" s="858" t="s">
        <v>3019</v>
      </c>
      <c r="H10" s="254">
        <f>SUMIF(65:65,G10,66:66)-SUMIF(65:65,C10,66:66)+100</f>
        <v>100</v>
      </c>
      <c r="I10" s="858" t="s">
        <v>3019</v>
      </c>
      <c r="J10" s="254">
        <f>SUMIF(65:65,I10,66:66)-SUMIF(65:65,C10,66:66)+100</f>
        <v>100</v>
      </c>
      <c r="K10" s="861">
        <v>1</v>
      </c>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75" thickBot="1">
      <c r="A11" s="2939"/>
      <c r="B11" s="2943" t="s">
        <v>2766</v>
      </c>
      <c r="C11" s="530">
        <f>市场比较法!C13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83"/>
      <c r="Q11" s="1147" t="str">
        <f t="shared" si="6"/>
        <v>容积率</v>
      </c>
      <c r="R11" s="1565" t="s">
        <v>11</v>
      </c>
      <c r="S11" s="1566">
        <f t="shared" si="0"/>
        <v>103</v>
      </c>
      <c r="T11" s="1565" t="s">
        <v>11</v>
      </c>
      <c r="U11" s="1566">
        <f t="shared" si="1"/>
        <v>103</v>
      </c>
      <c r="V11" s="1565" t="s">
        <v>11</v>
      </c>
      <c r="W11" s="1566">
        <f t="shared" si="2"/>
        <v>103</v>
      </c>
      <c r="X11" s="1567"/>
      <c r="Y11" s="3340"/>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83"/>
      <c r="Q12" s="1147">
        <f t="shared" si="6"/>
        <v>111</v>
      </c>
      <c r="R12" s="1565" t="s">
        <v>11</v>
      </c>
      <c r="S12" s="1566">
        <f t="shared" si="0"/>
        <v>100</v>
      </c>
      <c r="T12" s="1565" t="s">
        <v>11</v>
      </c>
      <c r="U12" s="1566">
        <f t="shared" si="1"/>
        <v>100</v>
      </c>
      <c r="V12" s="1565" t="s">
        <v>11</v>
      </c>
      <c r="W12" s="1566">
        <f t="shared" si="2"/>
        <v>100</v>
      </c>
      <c r="X12" s="1567"/>
      <c r="Y12" s="3340"/>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83"/>
      <c r="Q13" s="1147">
        <f t="shared" si="6"/>
        <v>111</v>
      </c>
      <c r="R13" s="1565" t="s">
        <v>11</v>
      </c>
      <c r="S13" s="1566">
        <f t="shared" si="0"/>
        <v>100</v>
      </c>
      <c r="T13" s="1565" t="s">
        <v>11</v>
      </c>
      <c r="U13" s="1566">
        <f t="shared" si="1"/>
        <v>100</v>
      </c>
      <c r="V13" s="1565" t="s">
        <v>11</v>
      </c>
      <c r="W13" s="1566">
        <f t="shared" si="2"/>
        <v>100</v>
      </c>
      <c r="X13" s="1567"/>
      <c r="Y13" s="3340"/>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83"/>
      <c r="Q14" s="1147">
        <f t="shared" si="6"/>
        <v>111</v>
      </c>
      <c r="R14" s="1565" t="s">
        <v>11</v>
      </c>
      <c r="S14" s="1566">
        <f t="shared" si="0"/>
        <v>100</v>
      </c>
      <c r="T14" s="1565" t="s">
        <v>11</v>
      </c>
      <c r="U14" s="1566">
        <f t="shared" si="1"/>
        <v>100</v>
      </c>
      <c r="V14" s="1565" t="s">
        <v>11</v>
      </c>
      <c r="W14" s="1566">
        <f t="shared" si="2"/>
        <v>100</v>
      </c>
      <c r="X14" s="1567"/>
      <c r="Y14" s="3340"/>
      <c r="Z14" s="1146">
        <f t="shared" si="7"/>
        <v>111</v>
      </c>
      <c r="AA14" s="1568">
        <f t="shared" si="3"/>
        <v>1</v>
      </c>
      <c r="AB14" s="1568">
        <f t="shared" si="4"/>
        <v>1</v>
      </c>
      <c r="AC14" s="1568">
        <f t="shared" si="5"/>
        <v>1</v>
      </c>
    </row>
    <row r="15" spans="1:29" ht="99.75">
      <c r="A15" s="2933" t="s">
        <v>2762</v>
      </c>
      <c r="B15" s="166" t="s">
        <v>294</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市场比较法!K17</f>
        <v>2</v>
      </c>
      <c r="L15" s="2140"/>
      <c r="M15" s="2132"/>
      <c r="N15" s="2132"/>
      <c r="O15" s="2139"/>
      <c r="P15" s="3385" t="s">
        <v>540</v>
      </c>
      <c r="Q15" s="1569" t="str">
        <f t="shared" si="6"/>
        <v>居住社区成熟度</v>
      </c>
      <c r="R15" s="1570" t="s">
        <v>11</v>
      </c>
      <c r="S15" s="1571">
        <f t="shared" si="0"/>
        <v>100</v>
      </c>
      <c r="T15" s="1570" t="s">
        <v>11</v>
      </c>
      <c r="U15" s="1571">
        <f t="shared" si="1"/>
        <v>100</v>
      </c>
      <c r="V15" s="1570" t="s">
        <v>11</v>
      </c>
      <c r="W15" s="1571">
        <f t="shared" si="2"/>
        <v>100</v>
      </c>
      <c r="X15" s="1564"/>
      <c r="Y15" s="3385" t="s">
        <v>540</v>
      </c>
      <c r="Z15" s="1572" t="str">
        <f t="shared" si="7"/>
        <v>居住社区成熟度</v>
      </c>
      <c r="AA15" s="1573">
        <f t="shared" si="3"/>
        <v>1</v>
      </c>
      <c r="AB15" s="1573">
        <f t="shared" si="4"/>
        <v>1</v>
      </c>
      <c r="AC15" s="1573">
        <f t="shared" si="5"/>
        <v>1</v>
      </c>
    </row>
    <row r="16" spans="1:29" ht="15">
      <c r="A16" s="529"/>
      <c r="B16" s="866"/>
      <c r="C16" s="573" t="str">
        <f>市场比较法!C18</f>
        <v>一般</v>
      </c>
      <c r="D16" s="552"/>
      <c r="E16" s="573" t="str">
        <f>市场比较法!E18</f>
        <v>一般</v>
      </c>
      <c r="F16" s="554"/>
      <c r="G16" s="573" t="str">
        <f>市场比较法!G18</f>
        <v>一般</v>
      </c>
      <c r="H16" s="556"/>
      <c r="I16" s="573" t="str">
        <f>市场比较法!I18</f>
        <v>一般</v>
      </c>
      <c r="J16" s="552"/>
      <c r="K16" s="867"/>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市场比较法!K23</f>
        <v>2</v>
      </c>
      <c r="L17" s="2140"/>
      <c r="M17" s="2132"/>
      <c r="N17" s="2132"/>
      <c r="O17" s="2139"/>
      <c r="P17" s="3386"/>
      <c r="Q17" s="1569" t="str">
        <f>B17</f>
        <v>交通便捷度</v>
      </c>
      <c r="R17" s="1570" t="s">
        <v>11</v>
      </c>
      <c r="S17" s="1571">
        <f>F17</f>
        <v>100</v>
      </c>
      <c r="T17" s="1570" t="s">
        <v>11</v>
      </c>
      <c r="U17" s="1571">
        <f>H17</f>
        <v>100</v>
      </c>
      <c r="V17" s="1570" t="s">
        <v>11</v>
      </c>
      <c r="W17" s="1571">
        <f>J17</f>
        <v>100</v>
      </c>
      <c r="X17" s="1564"/>
      <c r="Y17" s="3386"/>
      <c r="Z17" s="1572" t="str">
        <f>Q17</f>
        <v>交通便捷度</v>
      </c>
      <c r="AA17" s="1573">
        <f t="shared" si="3"/>
        <v>1</v>
      </c>
      <c r="AB17" s="1573">
        <f t="shared" si="4"/>
        <v>1</v>
      </c>
      <c r="AC17" s="1573">
        <f t="shared" si="5"/>
        <v>1</v>
      </c>
    </row>
    <row r="18" spans="1:29" ht="15">
      <c r="A18" s="529"/>
      <c r="B18" s="592"/>
      <c r="C18" s="870" t="str">
        <f>市场比较法!C24</f>
        <v>较好</v>
      </c>
      <c r="D18" s="556"/>
      <c r="E18" s="573" t="str">
        <f>市场比较法!E28</f>
        <v>较好</v>
      </c>
      <c r="F18" s="560"/>
      <c r="G18" s="573" t="str">
        <f>市场比较法!G28</f>
        <v>较好</v>
      </c>
      <c r="H18" s="552"/>
      <c r="I18" s="573" t="str">
        <f>市场比较法!I28</f>
        <v>较好</v>
      </c>
      <c r="J18" s="552"/>
      <c r="K18" s="867"/>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2" t="s">
        <v>2552</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市场比较法!K29</f>
        <v>1</v>
      </c>
      <c r="L19" s="2140"/>
      <c r="M19" s="2132"/>
      <c r="N19" s="2132"/>
      <c r="O19" s="2139"/>
      <c r="P19" s="3386"/>
      <c r="Q19" s="1569" t="str">
        <f>B19</f>
        <v>公共配套设施</v>
      </c>
      <c r="R19" s="1570" t="s">
        <v>11</v>
      </c>
      <c r="S19" s="1571">
        <f>F19</f>
        <v>100</v>
      </c>
      <c r="T19" s="1570" t="s">
        <v>11</v>
      </c>
      <c r="U19" s="1571">
        <f>H19</f>
        <v>100</v>
      </c>
      <c r="V19" s="1570" t="s">
        <v>11</v>
      </c>
      <c r="W19" s="1571">
        <f>J19</f>
        <v>100</v>
      </c>
      <c r="X19" s="1564"/>
      <c r="Y19" s="3386"/>
      <c r="Z19" s="1572" t="str">
        <f>Q19</f>
        <v>公共配套设施</v>
      </c>
      <c r="AA19" s="1573">
        <f t="shared" si="3"/>
        <v>1</v>
      </c>
      <c r="AB19" s="1573">
        <f t="shared" si="4"/>
        <v>1</v>
      </c>
      <c r="AC19" s="1573">
        <f t="shared" si="5"/>
        <v>1</v>
      </c>
    </row>
    <row r="20" spans="1:29" ht="15">
      <c r="A20" s="529"/>
      <c r="B20" s="592"/>
      <c r="C20" s="573" t="str">
        <f>市场比较法!C30</f>
        <v>较好</v>
      </c>
      <c r="D20" s="552"/>
      <c r="E20" s="573" t="str">
        <f>市场比较法!E30</f>
        <v>较好</v>
      </c>
      <c r="F20" s="554"/>
      <c r="G20" s="573" t="str">
        <f>市场比较法!G30</f>
        <v>较好</v>
      </c>
      <c r="H20" s="552"/>
      <c r="I20" s="573" t="str">
        <f>市场比较法!I30</f>
        <v>较好</v>
      </c>
      <c r="J20" s="552"/>
      <c r="K20" s="867"/>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5" t="s">
        <v>2564</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市场比较法!K31</f>
        <v>1</v>
      </c>
      <c r="L21" s="2140"/>
      <c r="M21" s="2132"/>
      <c r="N21" s="2132"/>
      <c r="O21" s="2139"/>
      <c r="P21" s="3386"/>
      <c r="Q21" s="2601" t="str">
        <f>B21</f>
        <v>基础设施水平</v>
      </c>
      <c r="R21" s="1570" t="s">
        <v>11</v>
      </c>
      <c r="S21" s="1571">
        <f>F21</f>
        <v>100</v>
      </c>
      <c r="T21" s="1570" t="s">
        <v>11</v>
      </c>
      <c r="U21" s="1571">
        <f>H21</f>
        <v>100</v>
      </c>
      <c r="V21" s="1570" t="s">
        <v>11</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918"/>
      <c r="C22" s="870" t="str">
        <f>市场比较法!C32</f>
        <v>六通</v>
      </c>
      <c r="D22" s="552"/>
      <c r="E22" s="3177" t="s">
        <v>3026</v>
      </c>
      <c r="F22" s="554"/>
      <c r="G22" s="3177" t="s">
        <v>3026</v>
      </c>
      <c r="H22" s="552"/>
      <c r="I22" s="3177" t="s">
        <v>3026</v>
      </c>
      <c r="J22" s="552"/>
      <c r="K22" s="2621"/>
      <c r="L22" s="2140"/>
      <c r="M22" s="2132"/>
      <c r="N22" s="2132"/>
      <c r="O22" s="2139"/>
      <c r="P22" s="3386"/>
      <c r="Q22" s="2601"/>
      <c r="R22" s="1570"/>
      <c r="S22" s="1571"/>
      <c r="T22" s="1570"/>
      <c r="U22" s="1571"/>
      <c r="V22" s="1570"/>
      <c r="W22" s="1571"/>
      <c r="X22" s="2603"/>
      <c r="Y22" s="3386"/>
      <c r="Z22" s="2602"/>
      <c r="AA22" s="1573">
        <v>1</v>
      </c>
      <c r="AB22" s="1573">
        <v>1</v>
      </c>
      <c r="AC22" s="1573">
        <v>1</v>
      </c>
    </row>
    <row r="23" spans="1:29" ht="57">
      <c r="A23" s="529"/>
      <c r="B23" s="868" t="s">
        <v>296</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市场比较法!K27</f>
        <v>2</v>
      </c>
      <c r="L23" s="2140"/>
      <c r="M23" s="2132"/>
      <c r="N23" s="2132"/>
      <c r="O23" s="2139"/>
      <c r="P23" s="3386"/>
      <c r="Q23" s="1569" t="str">
        <f>B23</f>
        <v>自然及人文环境</v>
      </c>
      <c r="R23" s="1570" t="s">
        <v>11</v>
      </c>
      <c r="S23" s="1571">
        <f>F23</f>
        <v>100</v>
      </c>
      <c r="T23" s="1570" t="s">
        <v>11</v>
      </c>
      <c r="U23" s="1571">
        <f>H23</f>
        <v>100</v>
      </c>
      <c r="V23" s="1570" t="s">
        <v>11</v>
      </c>
      <c r="W23" s="1571">
        <f>J23</f>
        <v>100</v>
      </c>
      <c r="X23" s="1564"/>
      <c r="Y23" s="3386"/>
      <c r="Z23" s="1572" t="str">
        <f>Q23</f>
        <v>自然及人文环境</v>
      </c>
      <c r="AA23" s="1573">
        <f t="shared" si="3"/>
        <v>1</v>
      </c>
      <c r="AB23" s="1573">
        <f t="shared" si="4"/>
        <v>1</v>
      </c>
      <c r="AC23" s="1573">
        <f t="shared" si="5"/>
        <v>1</v>
      </c>
    </row>
    <row r="24" spans="1:29" ht="15">
      <c r="A24" s="529"/>
      <c r="B24" s="592"/>
      <c r="C24" s="573" t="str">
        <f>市场比较法!C28</f>
        <v>较好</v>
      </c>
      <c r="D24" s="552"/>
      <c r="E24" s="573" t="str">
        <f>市场比较法!E28</f>
        <v>较好</v>
      </c>
      <c r="F24" s="554"/>
      <c r="G24" s="573" t="str">
        <f>市场比较法!G28</f>
        <v>较好</v>
      </c>
      <c r="H24" s="552"/>
      <c r="I24" s="573" t="str">
        <f>市场比较法!I28</f>
        <v>较好</v>
      </c>
      <c r="J24" s="552"/>
      <c r="K24" s="867"/>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hidden="1">
      <c r="A25" s="529"/>
      <c r="B25" s="1893" t="s">
        <v>2259</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386"/>
      <c r="Q25" s="1569" t="str">
        <f t="shared" ref="Q25:Q46" si="11">B25</f>
        <v>楼层-1</v>
      </c>
      <c r="R25" s="1570" t="s">
        <v>11</v>
      </c>
      <c r="S25" s="1571">
        <f>F25</f>
        <v>100</v>
      </c>
      <c r="T25" s="1570" t="s">
        <v>11</v>
      </c>
      <c r="U25" s="1571">
        <f>H25</f>
        <v>100</v>
      </c>
      <c r="V25" s="1570" t="s">
        <v>11</v>
      </c>
      <c r="W25" s="1571">
        <f>J25</f>
        <v>100</v>
      </c>
      <c r="X25" s="1564"/>
      <c r="Y25" s="3386"/>
      <c r="Z25" s="1572" t="str">
        <f>Q25</f>
        <v>楼层-1</v>
      </c>
      <c r="AA25" s="1573">
        <f t="shared" si="3"/>
        <v>1</v>
      </c>
      <c r="AB25" s="1573">
        <f t="shared" si="4"/>
        <v>1</v>
      </c>
      <c r="AC25" s="1573">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386"/>
      <c r="Q26" s="1569" t="str">
        <f t="shared" si="11"/>
        <v>朝向</v>
      </c>
      <c r="R26" s="1570" t="s">
        <v>11</v>
      </c>
      <c r="S26" s="1571">
        <f>F26</f>
        <v>100</v>
      </c>
      <c r="T26" s="1570" t="s">
        <v>11</v>
      </c>
      <c r="U26" s="1571">
        <f>H26</f>
        <v>100</v>
      </c>
      <c r="V26" s="1570" t="s">
        <v>11</v>
      </c>
      <c r="W26" s="1571">
        <f>J26</f>
        <v>100</v>
      </c>
      <c r="X26" s="1564"/>
      <c r="Y26" s="3386"/>
      <c r="Z26" s="1572" t="str">
        <f>Q26</f>
        <v>朝向</v>
      </c>
      <c r="AA26" s="1573">
        <f t="shared" si="3"/>
        <v>1</v>
      </c>
      <c r="AB26" s="1573">
        <f t="shared" si="4"/>
        <v>1</v>
      </c>
      <c r="AC26" s="1573">
        <f t="shared" si="5"/>
        <v>1</v>
      </c>
    </row>
    <row r="27" spans="1:29" s="1216" customFormat="1" ht="15.75" thickBot="1">
      <c r="A27" s="533"/>
      <c r="B27" s="534" t="s">
        <v>724</v>
      </c>
      <c r="C27" s="525" t="str">
        <f>市场比较法!C35</f>
        <v>城市支路</v>
      </c>
      <c r="D27" s="872">
        <v>100</v>
      </c>
      <c r="E27" s="525" t="str">
        <f>市场比较法!E35</f>
        <v>城市支路</v>
      </c>
      <c r="F27" s="873">
        <f>SUMIF(90:90,E27,91:91)-SUMIF(90:90,C27,91:91)+100</f>
        <v>100</v>
      </c>
      <c r="G27" s="525" t="str">
        <f>市场比较法!G35</f>
        <v>城市支路</v>
      </c>
      <c r="H27" s="872">
        <f>SUMIF(90:90,G27,91:91)-SUMIF(90:90,C27,91:91)+100</f>
        <v>100</v>
      </c>
      <c r="I27" s="525" t="str">
        <f>市场比较法!I35</f>
        <v>城市支路</v>
      </c>
      <c r="J27" s="872">
        <f>SUMIF(90:90,I27,91:91)-SUMIF(90:90,C27,91:91)+100</f>
        <v>100</v>
      </c>
      <c r="K27" s="862"/>
      <c r="L27" s="2133"/>
      <c r="M27" s="2134"/>
      <c r="N27" s="2134"/>
      <c r="O27" s="2135"/>
      <c r="P27" s="3386"/>
      <c r="Q27" s="1147" t="str">
        <f t="shared" si="11"/>
        <v>道路级别</v>
      </c>
      <c r="R27" s="1565" t="s">
        <v>11</v>
      </c>
      <c r="S27" s="1566">
        <f>F27</f>
        <v>100</v>
      </c>
      <c r="T27" s="1565" t="s">
        <v>11</v>
      </c>
      <c r="U27" s="1566">
        <f>H27</f>
        <v>100</v>
      </c>
      <c r="V27" s="1565" t="s">
        <v>11</v>
      </c>
      <c r="W27" s="1566">
        <f>J27</f>
        <v>100</v>
      </c>
      <c r="X27" s="1567"/>
      <c r="Y27" s="338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38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386"/>
      <c r="Q29" s="1569">
        <f t="shared" si="11"/>
        <v>111</v>
      </c>
      <c r="R29" s="1570" t="s">
        <v>11</v>
      </c>
      <c r="S29" s="1571">
        <f t="shared" si="12"/>
        <v>100</v>
      </c>
      <c r="T29" s="1570" t="s">
        <v>11</v>
      </c>
      <c r="U29" s="1571">
        <f t="shared" si="13"/>
        <v>100</v>
      </c>
      <c r="V29" s="1570" t="s">
        <v>11</v>
      </c>
      <c r="W29" s="1571">
        <f t="shared" si="14"/>
        <v>100</v>
      </c>
      <c r="X29" s="1564"/>
      <c r="Y29" s="338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386"/>
      <c r="Q30" s="1569">
        <f t="shared" si="11"/>
        <v>111</v>
      </c>
      <c r="R30" s="1570" t="s">
        <v>11</v>
      </c>
      <c r="S30" s="1571">
        <f t="shared" si="12"/>
        <v>100</v>
      </c>
      <c r="T30" s="1570" t="s">
        <v>11</v>
      </c>
      <c r="U30" s="1571">
        <f t="shared" si="13"/>
        <v>100</v>
      </c>
      <c r="V30" s="1570" t="s">
        <v>11</v>
      </c>
      <c r="W30" s="1571">
        <f t="shared" si="14"/>
        <v>100</v>
      </c>
      <c r="X30" s="1564"/>
      <c r="Y30" s="338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386"/>
      <c r="Q31" s="1569">
        <f t="shared" si="11"/>
        <v>111</v>
      </c>
      <c r="R31" s="1570" t="s">
        <v>11</v>
      </c>
      <c r="S31" s="1571">
        <f t="shared" si="12"/>
        <v>100</v>
      </c>
      <c r="T31" s="1570" t="s">
        <v>11</v>
      </c>
      <c r="U31" s="1571">
        <f t="shared" si="13"/>
        <v>100</v>
      </c>
      <c r="V31" s="1570" t="s">
        <v>11</v>
      </c>
      <c r="W31" s="1571">
        <f t="shared" si="14"/>
        <v>100</v>
      </c>
      <c r="X31" s="1564"/>
      <c r="Y31" s="3386"/>
      <c r="Z31" s="1572">
        <f t="shared" si="15"/>
        <v>111</v>
      </c>
      <c r="AA31" s="1573">
        <f t="shared" si="3"/>
        <v>1</v>
      </c>
      <c r="AB31" s="1573">
        <f t="shared" si="4"/>
        <v>1</v>
      </c>
      <c r="AC31" s="1573">
        <f t="shared" si="5"/>
        <v>1</v>
      </c>
    </row>
    <row r="32" spans="1:29" ht="15">
      <c r="A32" s="2931" t="s">
        <v>2763</v>
      </c>
      <c r="B32" s="172" t="s">
        <v>725</v>
      </c>
      <c r="C32" s="3175" t="s">
        <v>3020</v>
      </c>
      <c r="D32" s="594">
        <v>100</v>
      </c>
      <c r="E32" s="3175" t="s">
        <v>3020</v>
      </c>
      <c r="F32" s="572">
        <f>SUMIF(100:100,E32,101:101)-SUMIF(100:100,C32,101:101)+100</f>
        <v>100</v>
      </c>
      <c r="G32" s="3175" t="s">
        <v>3020</v>
      </c>
      <c r="H32" s="594">
        <f>SUMIF(100:100,G32,101:101)-SUMIF(100:100,C32,101:101)+100</f>
        <v>100</v>
      </c>
      <c r="I32" s="3175" t="s">
        <v>3020</v>
      </c>
      <c r="J32" s="537">
        <f>SUMIF(100:100,I32,101:101)-SUMIF(100:100,C32,101:101)+100</f>
        <v>100</v>
      </c>
      <c r="K32" s="861">
        <v>1</v>
      </c>
      <c r="L32" s="2140"/>
      <c r="M32" s="2132"/>
      <c r="N32" s="2132"/>
      <c r="O32" s="2139"/>
      <c r="P32" s="3387" t="s">
        <v>550</v>
      </c>
      <c r="Q32" s="1569" t="str">
        <f t="shared" si="11"/>
        <v>建筑类型</v>
      </c>
      <c r="R32" s="1570" t="s">
        <v>11</v>
      </c>
      <c r="S32" s="1571">
        <f t="shared" si="12"/>
        <v>100</v>
      </c>
      <c r="T32" s="1570" t="s">
        <v>11</v>
      </c>
      <c r="U32" s="1571">
        <f t="shared" si="13"/>
        <v>100</v>
      </c>
      <c r="V32" s="1570" t="s">
        <v>11</v>
      </c>
      <c r="W32" s="1571">
        <f t="shared" si="14"/>
        <v>100</v>
      </c>
      <c r="X32" s="1564"/>
      <c r="Y32" s="3388" t="s">
        <v>550</v>
      </c>
      <c r="Z32" s="1572" t="str">
        <f t="shared" si="15"/>
        <v>建筑类型</v>
      </c>
      <c r="AA32" s="1573">
        <f t="shared" si="3"/>
        <v>1</v>
      </c>
      <c r="AB32" s="1573">
        <f t="shared" si="4"/>
        <v>1</v>
      </c>
      <c r="AC32" s="1573">
        <f t="shared" si="5"/>
        <v>1</v>
      </c>
    </row>
    <row r="33" spans="1:29" s="1335" customFormat="1" ht="15">
      <c r="A33" s="600"/>
      <c r="B33" s="524" t="s">
        <v>726</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388"/>
      <c r="Q33" s="1602" t="str">
        <f t="shared" si="11"/>
        <v>项目建筑规模</v>
      </c>
      <c r="R33" s="1574" t="s">
        <v>11</v>
      </c>
      <c r="S33" s="1575">
        <f t="shared" si="12"/>
        <v>101</v>
      </c>
      <c r="T33" s="1574" t="s">
        <v>11</v>
      </c>
      <c r="U33" s="1575">
        <f t="shared" si="13"/>
        <v>102</v>
      </c>
      <c r="V33" s="1574" t="s">
        <v>11</v>
      </c>
      <c r="W33" s="1575">
        <f t="shared" si="14"/>
        <v>100</v>
      </c>
      <c r="X33" s="1576"/>
      <c r="Y33" s="3388"/>
      <c r="Z33" s="1577" t="str">
        <f t="shared" si="15"/>
        <v>项目建筑规模</v>
      </c>
      <c r="AA33" s="1573">
        <f t="shared" si="3"/>
        <v>0.99009900990099009</v>
      </c>
      <c r="AB33" s="1573">
        <f t="shared" si="4"/>
        <v>0.98039215686274506</v>
      </c>
      <c r="AC33" s="1573">
        <f t="shared" si="5"/>
        <v>1</v>
      </c>
    </row>
    <row r="34" spans="1:29" ht="15">
      <c r="A34" s="591"/>
      <c r="B34" s="524" t="s">
        <v>727</v>
      </c>
      <c r="C34" s="3176" t="s">
        <v>3022</v>
      </c>
      <c r="D34" s="537">
        <v>100</v>
      </c>
      <c r="E34" s="3176" t="s">
        <v>3022</v>
      </c>
      <c r="F34" s="572">
        <f>SUMIF(105:105,E34,106:106)-SUMIF(105:105,C34,106:106)+100</f>
        <v>100</v>
      </c>
      <c r="G34" s="3176" t="s">
        <v>3022</v>
      </c>
      <c r="H34" s="537">
        <f>SUMIF(105:105,G34,106:106)-SUMIF(105:105,C34,106:106)+100</f>
        <v>100</v>
      </c>
      <c r="I34" s="3176" t="s">
        <v>3022</v>
      </c>
      <c r="J34" s="537">
        <f>SUMIF(105:105,I34,106:106)-SUMIF(105:105,C34,106:106)+100</f>
        <v>100</v>
      </c>
      <c r="K34" s="861">
        <v>2</v>
      </c>
      <c r="L34" s="2140"/>
      <c r="M34" s="2132"/>
      <c r="N34" s="2132"/>
      <c r="O34" s="2139"/>
      <c r="P34" s="3388"/>
      <c r="Q34" s="1569" t="str">
        <f t="shared" si="11"/>
        <v>建筑结构</v>
      </c>
      <c r="R34" s="1570" t="s">
        <v>11</v>
      </c>
      <c r="S34" s="1571">
        <f t="shared" si="12"/>
        <v>100</v>
      </c>
      <c r="T34" s="1570" t="s">
        <v>11</v>
      </c>
      <c r="U34" s="1571">
        <f t="shared" si="13"/>
        <v>100</v>
      </c>
      <c r="V34" s="1570" t="s">
        <v>11</v>
      </c>
      <c r="W34" s="1571">
        <f t="shared" si="14"/>
        <v>100</v>
      </c>
      <c r="X34" s="1564"/>
      <c r="Y34" s="3388"/>
      <c r="Z34" s="1572" t="str">
        <f t="shared" si="15"/>
        <v>建筑结构</v>
      </c>
      <c r="AA34" s="1573">
        <f t="shared" si="3"/>
        <v>1</v>
      </c>
      <c r="AB34" s="1573">
        <f t="shared" si="4"/>
        <v>1</v>
      </c>
      <c r="AC34" s="1573">
        <f t="shared" si="5"/>
        <v>1</v>
      </c>
    </row>
    <row r="35" spans="1:29" ht="15">
      <c r="A35" s="591"/>
      <c r="B35" s="524" t="s">
        <v>728</v>
      </c>
      <c r="C35" s="3171" t="s">
        <v>3023</v>
      </c>
      <c r="D35" s="537">
        <v>100</v>
      </c>
      <c r="E35" s="3171" t="s">
        <v>3023</v>
      </c>
      <c r="F35" s="572">
        <f>SUMIF(107:107,E35,108:108)-SUMIF(107:107,C35,108:108)+100</f>
        <v>100</v>
      </c>
      <c r="G35" s="3171" t="s">
        <v>3023</v>
      </c>
      <c r="H35" s="537">
        <f>SUMIF(107:107,G35,108:108)-SUMIF(107:107,C35,108:108)+100</f>
        <v>100</v>
      </c>
      <c r="I35" s="3171" t="s">
        <v>3023</v>
      </c>
      <c r="J35" s="537">
        <f>SUMIF(107:107,I35,108:108)-SUMIF(107:107,C35,108:108)+100</f>
        <v>100</v>
      </c>
      <c r="K35" s="861">
        <v>1</v>
      </c>
      <c r="L35" s="2140"/>
      <c r="M35" s="2132"/>
      <c r="N35" s="2132"/>
      <c r="O35" s="2139"/>
      <c r="P35" s="3388"/>
      <c r="Q35" s="1569" t="str">
        <f t="shared" si="11"/>
        <v>建筑品质</v>
      </c>
      <c r="R35" s="1570" t="s">
        <v>11</v>
      </c>
      <c r="S35" s="1571">
        <f t="shared" si="12"/>
        <v>100</v>
      </c>
      <c r="T35" s="1570" t="s">
        <v>11</v>
      </c>
      <c r="U35" s="1571">
        <f t="shared" si="13"/>
        <v>100</v>
      </c>
      <c r="V35" s="1570" t="s">
        <v>11</v>
      </c>
      <c r="W35" s="1571">
        <f t="shared" si="14"/>
        <v>100</v>
      </c>
      <c r="X35" s="1564"/>
      <c r="Y35" s="3388"/>
      <c r="Z35" s="1572" t="str">
        <f t="shared" si="15"/>
        <v>建筑品质</v>
      </c>
      <c r="AA35" s="1573">
        <f t="shared" si="3"/>
        <v>1</v>
      </c>
      <c r="AB35" s="1573">
        <f t="shared" si="4"/>
        <v>1</v>
      </c>
      <c r="AC35" s="1573">
        <f t="shared" si="5"/>
        <v>1</v>
      </c>
    </row>
    <row r="36" spans="1:29" ht="15">
      <c r="A36" s="591"/>
      <c r="B36" s="524" t="s">
        <v>729</v>
      </c>
      <c r="C36" s="3171" t="s">
        <v>3024</v>
      </c>
      <c r="D36" s="537">
        <v>100</v>
      </c>
      <c r="E36" s="3171" t="s">
        <v>3024</v>
      </c>
      <c r="F36" s="572">
        <f>SUMIF(109:109,E36,110:110)-SUMIF(109:109,C36,110:110)+100</f>
        <v>100</v>
      </c>
      <c r="G36" s="3171" t="s">
        <v>3024</v>
      </c>
      <c r="H36" s="537">
        <f>SUMIF(109:109,G36,110:110)-SUMIF(109:109,C36,110:110)+100</f>
        <v>100</v>
      </c>
      <c r="I36" s="3171" t="s">
        <v>3024</v>
      </c>
      <c r="J36" s="537">
        <f>SUMIF(109:109,I36,110:110)-SUMIF(109:109,C36,110:110)+100</f>
        <v>100</v>
      </c>
      <c r="K36" s="861">
        <v>1</v>
      </c>
      <c r="L36" s="2140"/>
      <c r="M36" s="2132"/>
      <c r="N36" s="2132"/>
      <c r="O36" s="2139"/>
      <c r="P36" s="3388"/>
      <c r="Q36" s="1569" t="str">
        <f t="shared" si="11"/>
        <v>公共部分装修</v>
      </c>
      <c r="R36" s="1570" t="s">
        <v>11</v>
      </c>
      <c r="S36" s="1571">
        <f t="shared" si="12"/>
        <v>100</v>
      </c>
      <c r="T36" s="1570" t="s">
        <v>11</v>
      </c>
      <c r="U36" s="1571">
        <f t="shared" si="13"/>
        <v>100</v>
      </c>
      <c r="V36" s="1570" t="s">
        <v>11</v>
      </c>
      <c r="W36" s="1571">
        <f t="shared" si="14"/>
        <v>100</v>
      </c>
      <c r="X36" s="1564"/>
      <c r="Y36" s="3388"/>
      <c r="Z36" s="1572" t="str">
        <f t="shared" si="15"/>
        <v>公共部分装修</v>
      </c>
      <c r="AA36" s="1573">
        <f t="shared" si="3"/>
        <v>1</v>
      </c>
      <c r="AB36" s="1573">
        <f t="shared" si="4"/>
        <v>1</v>
      </c>
      <c r="AC36" s="1573">
        <f t="shared" si="5"/>
        <v>1</v>
      </c>
    </row>
    <row r="37" spans="1:29" s="1216" customFormat="1" ht="15">
      <c r="A37" s="597"/>
      <c r="B37" s="524" t="s">
        <v>730</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388"/>
      <c r="Q37" s="1147" t="str">
        <f t="shared" si="11"/>
        <v>成新度</v>
      </c>
      <c r="R37" s="1565" t="s">
        <v>11</v>
      </c>
      <c r="S37" s="1566">
        <f t="shared" si="12"/>
        <v>100</v>
      </c>
      <c r="T37" s="1565" t="s">
        <v>11</v>
      </c>
      <c r="U37" s="1566">
        <f t="shared" si="13"/>
        <v>100</v>
      </c>
      <c r="V37" s="1565" t="s">
        <v>11</v>
      </c>
      <c r="W37" s="1566">
        <f t="shared" si="14"/>
        <v>100</v>
      </c>
      <c r="X37" s="1567"/>
      <c r="Y37" s="3388"/>
      <c r="Z37" s="1146" t="str">
        <f t="shared" si="15"/>
        <v>成新度</v>
      </c>
      <c r="AA37" s="1568">
        <f t="shared" si="3"/>
        <v>1</v>
      </c>
      <c r="AB37" s="1568">
        <f t="shared" si="4"/>
        <v>1</v>
      </c>
      <c r="AC37" s="1568">
        <f t="shared" si="5"/>
        <v>1</v>
      </c>
    </row>
    <row r="38" spans="1:29" ht="15">
      <c r="A38" s="591"/>
      <c r="B38" s="524" t="s">
        <v>731</v>
      </c>
      <c r="C38" s="3171" t="s">
        <v>3025</v>
      </c>
      <c r="D38" s="537">
        <v>100</v>
      </c>
      <c r="E38" s="3171" t="s">
        <v>3025</v>
      </c>
      <c r="F38" s="572">
        <f>SUMIF(114:114,E38,115:115)-SUMIF(114:114,C38,115:115)+100</f>
        <v>100</v>
      </c>
      <c r="G38" s="3171" t="s">
        <v>3025</v>
      </c>
      <c r="H38" s="537">
        <f>SUMIF(114:114,G38,115:115)-SUMIF(114:114,C38,115:115)+100</f>
        <v>100</v>
      </c>
      <c r="I38" s="3171" t="s">
        <v>3025</v>
      </c>
      <c r="J38" s="537">
        <f>SUMIF(114:114,I38,115:115)-SUMIF(114:114,C38,115:115)+100</f>
        <v>100</v>
      </c>
      <c r="K38" s="861">
        <v>1</v>
      </c>
      <c r="L38" s="2140"/>
      <c r="M38" s="2132"/>
      <c r="N38" s="2132"/>
      <c r="O38" s="2139"/>
      <c r="P38" s="3388" t="s">
        <v>550</v>
      </c>
      <c r="Q38" s="1569" t="str">
        <f t="shared" si="11"/>
        <v>物业管理</v>
      </c>
      <c r="R38" s="1570" t="s">
        <v>11</v>
      </c>
      <c r="S38" s="1571">
        <f t="shared" si="12"/>
        <v>100</v>
      </c>
      <c r="T38" s="1570" t="s">
        <v>11</v>
      </c>
      <c r="U38" s="1571">
        <f t="shared" si="13"/>
        <v>100</v>
      </c>
      <c r="V38" s="1570" t="s">
        <v>11</v>
      </c>
      <c r="W38" s="1571">
        <f t="shared" si="14"/>
        <v>100</v>
      </c>
      <c r="X38" s="1564"/>
      <c r="Y38" s="3388" t="s">
        <v>550</v>
      </c>
      <c r="Z38" s="1572" t="str">
        <f t="shared" si="15"/>
        <v>物业管理</v>
      </c>
      <c r="AA38" s="1573">
        <f t="shared" si="3"/>
        <v>1</v>
      </c>
      <c r="AB38" s="1573">
        <f t="shared" si="4"/>
        <v>1</v>
      </c>
      <c r="AC38" s="1573">
        <f t="shared" si="5"/>
        <v>1</v>
      </c>
    </row>
    <row r="39" spans="1:29" ht="15">
      <c r="A39" s="591"/>
      <c r="B39" s="1893" t="s">
        <v>2570</v>
      </c>
      <c r="C39" s="3171" t="s">
        <v>3026</v>
      </c>
      <c r="D39" s="537">
        <v>100</v>
      </c>
      <c r="E39" s="3171" t="s">
        <v>3026</v>
      </c>
      <c r="F39" s="572">
        <f>SUMIF(116:116,E39,117:117)-SUMIF(116:116,C39,117:117)+100</f>
        <v>100</v>
      </c>
      <c r="G39" s="3171" t="s">
        <v>3026</v>
      </c>
      <c r="H39" s="537">
        <f>SUMIF(116:116,G39,117:117)-SUMIF(116:116,C39,117:117)+100</f>
        <v>100</v>
      </c>
      <c r="I39" s="3171" t="s">
        <v>3026</v>
      </c>
      <c r="J39" s="537">
        <f>SUMIF(116:116,I39,117:117)-SUMIF(116:116,C39,117:117)+100</f>
        <v>100</v>
      </c>
      <c r="K39" s="861">
        <v>1</v>
      </c>
      <c r="L39" s="2140"/>
      <c r="M39" s="2132"/>
      <c r="N39" s="2132"/>
      <c r="O39" s="2139"/>
      <c r="P39" s="3388"/>
      <c r="Q39" s="1569" t="str">
        <f t="shared" si="11"/>
        <v>市政基础设施</v>
      </c>
      <c r="R39" s="1570" t="s">
        <v>11</v>
      </c>
      <c r="S39" s="1571">
        <f t="shared" si="12"/>
        <v>100</v>
      </c>
      <c r="T39" s="1570" t="s">
        <v>11</v>
      </c>
      <c r="U39" s="1571">
        <f t="shared" si="13"/>
        <v>100</v>
      </c>
      <c r="V39" s="1570" t="s">
        <v>11</v>
      </c>
      <c r="W39" s="1571">
        <f t="shared" si="14"/>
        <v>100</v>
      </c>
      <c r="X39" s="1564"/>
      <c r="Y39" s="3388"/>
      <c r="Z39" s="1572" t="str">
        <f t="shared" si="15"/>
        <v>市政基础设施</v>
      </c>
      <c r="AA39" s="1573">
        <f t="shared" si="3"/>
        <v>1</v>
      </c>
      <c r="AB39" s="1573">
        <f t="shared" si="4"/>
        <v>1</v>
      </c>
      <c r="AC39" s="1573">
        <f t="shared" si="5"/>
        <v>1</v>
      </c>
    </row>
    <row r="40" spans="1:29" ht="15" hidden="1">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388"/>
      <c r="Q40" s="1569" t="str">
        <f t="shared" si="11"/>
        <v>房型</v>
      </c>
      <c r="R40" s="1570" t="s">
        <v>11</v>
      </c>
      <c r="S40" s="1571">
        <f t="shared" si="12"/>
        <v>100</v>
      </c>
      <c r="T40" s="1570" t="s">
        <v>11</v>
      </c>
      <c r="U40" s="1571">
        <f t="shared" si="13"/>
        <v>100</v>
      </c>
      <c r="V40" s="1570" t="s">
        <v>11</v>
      </c>
      <c r="W40" s="1571">
        <f t="shared" si="14"/>
        <v>100</v>
      </c>
      <c r="X40" s="1564"/>
      <c r="Y40" s="3388"/>
      <c r="Z40" s="1572" t="str">
        <f t="shared" si="15"/>
        <v>房型</v>
      </c>
      <c r="AA40" s="1573">
        <f t="shared" si="3"/>
        <v>1</v>
      </c>
      <c r="AB40" s="1573">
        <f t="shared" si="4"/>
        <v>1</v>
      </c>
      <c r="AC40" s="1573">
        <f t="shared" si="5"/>
        <v>1</v>
      </c>
    </row>
    <row r="41" spans="1:29" s="1335" customFormat="1" ht="28.5" hidden="1">
      <c r="A41" s="600"/>
      <c r="B41" s="524" t="s">
        <v>733</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1573">
        <f t="shared" si="3"/>
        <v>1</v>
      </c>
      <c r="AB41" s="1573">
        <f t="shared" si="4"/>
        <v>1</v>
      </c>
      <c r="AC41" s="1573">
        <f t="shared" si="5"/>
        <v>1</v>
      </c>
    </row>
    <row r="42" spans="1:29" ht="15">
      <c r="A42" s="591"/>
      <c r="B42" s="524" t="s">
        <v>734</v>
      </c>
      <c r="C42" s="3171" t="s">
        <v>3027</v>
      </c>
      <c r="D42" s="537">
        <v>100</v>
      </c>
      <c r="E42" s="3171" t="s">
        <v>3027</v>
      </c>
      <c r="F42" s="572">
        <f>SUMIF(122:122,E42,123:123)-SUMIF(122:122,C42,123:123)+100</f>
        <v>100</v>
      </c>
      <c r="G42" s="3171" t="s">
        <v>3027</v>
      </c>
      <c r="H42" s="537">
        <f>SUMIF(122:122,G42,123:123)-SUMIF(122:122,C42,123:123)+100</f>
        <v>100</v>
      </c>
      <c r="I42" s="3171" t="s">
        <v>3027</v>
      </c>
      <c r="J42" s="537">
        <f>SUMIF(122:122,I42,123:123)-SUMIF(122:122,C42,123:123)+100</f>
        <v>100</v>
      </c>
      <c r="K42" s="861">
        <v>2</v>
      </c>
      <c r="L42" s="2140"/>
      <c r="M42" s="2132"/>
      <c r="N42" s="2132"/>
      <c r="O42" s="2139"/>
      <c r="P42" s="3388"/>
      <c r="Q42" s="1569" t="str">
        <f t="shared" si="11"/>
        <v>内部装修</v>
      </c>
      <c r="R42" s="1570" t="s">
        <v>11</v>
      </c>
      <c r="S42" s="1571">
        <f t="shared" si="12"/>
        <v>100</v>
      </c>
      <c r="T42" s="1570" t="s">
        <v>11</v>
      </c>
      <c r="U42" s="1571">
        <f t="shared" si="13"/>
        <v>100</v>
      </c>
      <c r="V42" s="1570" t="s">
        <v>11</v>
      </c>
      <c r="W42" s="1571">
        <f t="shared" si="14"/>
        <v>100</v>
      </c>
      <c r="X42" s="1564"/>
      <c r="Y42" s="3388"/>
      <c r="Z42" s="1572" t="str">
        <f t="shared" si="15"/>
        <v>内部装修</v>
      </c>
      <c r="AA42" s="1573">
        <f t="shared" si="3"/>
        <v>1</v>
      </c>
      <c r="AB42" s="1573">
        <f t="shared" si="4"/>
        <v>1</v>
      </c>
      <c r="AC42" s="1573">
        <f t="shared" si="5"/>
        <v>1</v>
      </c>
    </row>
    <row r="43" spans="1:29" ht="27.75" thickBot="1">
      <c r="A43" s="591"/>
      <c r="B43" s="524" t="s">
        <v>735</v>
      </c>
      <c r="C43" s="3171" t="s">
        <v>3028</v>
      </c>
      <c r="D43" s="537">
        <v>100</v>
      </c>
      <c r="E43" s="3171" t="s">
        <v>3028</v>
      </c>
      <c r="F43" s="572">
        <f>SUMIF(124:124,E43,125:125)-SUMIF(124:124,C43,125:125)+100</f>
        <v>100</v>
      </c>
      <c r="G43" s="3171" t="s">
        <v>3028</v>
      </c>
      <c r="H43" s="537">
        <f>SUMIF(124:124,G43,125:125)-SUMIF(124:124,C43,125:125)+100</f>
        <v>100</v>
      </c>
      <c r="I43" s="3171" t="s">
        <v>3028</v>
      </c>
      <c r="J43" s="537">
        <f>SUMIF(124:124,I43,125:125)-SUMIF(124:124,C43,125:125)+100</f>
        <v>100</v>
      </c>
      <c r="K43" s="861">
        <v>1</v>
      </c>
      <c r="L43" s="2140"/>
      <c r="M43" s="2132"/>
      <c r="N43" s="2132"/>
      <c r="O43" s="2139"/>
      <c r="P43" s="3388"/>
      <c r="Q43" s="1569" t="str">
        <f t="shared" si="11"/>
        <v>内部装修维护情况</v>
      </c>
      <c r="R43" s="1570" t="s">
        <v>11</v>
      </c>
      <c r="S43" s="1571">
        <f t="shared" si="12"/>
        <v>100</v>
      </c>
      <c r="T43" s="1570" t="s">
        <v>11</v>
      </c>
      <c r="U43" s="1571">
        <f t="shared" si="13"/>
        <v>100</v>
      </c>
      <c r="V43" s="1570" t="s">
        <v>11</v>
      </c>
      <c r="W43" s="1571">
        <f t="shared" si="14"/>
        <v>100</v>
      </c>
      <c r="X43" s="1564"/>
      <c r="Y43" s="338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388"/>
      <c r="Q44" s="1147">
        <f t="shared" si="11"/>
        <v>111</v>
      </c>
      <c r="R44" s="1565" t="s">
        <v>11</v>
      </c>
      <c r="S44" s="1566">
        <f t="shared" si="12"/>
        <v>100</v>
      </c>
      <c r="T44" s="1565" t="s">
        <v>11</v>
      </c>
      <c r="U44" s="1566">
        <f t="shared" si="13"/>
        <v>100</v>
      </c>
      <c r="V44" s="1565" t="s">
        <v>11</v>
      </c>
      <c r="W44" s="1566">
        <f t="shared" si="14"/>
        <v>100</v>
      </c>
      <c r="X44" s="1567"/>
      <c r="Y44" s="338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388"/>
      <c r="Q45" s="1569">
        <f t="shared" si="11"/>
        <v>111</v>
      </c>
      <c r="R45" s="1570" t="s">
        <v>11</v>
      </c>
      <c r="S45" s="1571">
        <f t="shared" si="12"/>
        <v>100</v>
      </c>
      <c r="T45" s="1570" t="s">
        <v>11</v>
      </c>
      <c r="U45" s="1571">
        <f t="shared" si="13"/>
        <v>100</v>
      </c>
      <c r="V45" s="1570" t="s">
        <v>11</v>
      </c>
      <c r="W45" s="1571">
        <f t="shared" si="14"/>
        <v>100</v>
      </c>
      <c r="X45" s="1564"/>
      <c r="Y45" s="338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6"/>
      <c r="Q46" s="1569">
        <f t="shared" si="11"/>
        <v>111</v>
      </c>
      <c r="R46" s="1570" t="s">
        <v>10</v>
      </c>
      <c r="S46" s="1571">
        <f t="shared" si="12"/>
        <v>100</v>
      </c>
      <c r="T46" s="1570" t="s">
        <v>10</v>
      </c>
      <c r="U46" s="1571">
        <f t="shared" si="13"/>
        <v>100</v>
      </c>
      <c r="V46" s="1570" t="s">
        <v>10</v>
      </c>
      <c r="W46" s="1571">
        <f t="shared" si="14"/>
        <v>100</v>
      </c>
      <c r="X46" s="1564"/>
      <c r="Y46" s="3466"/>
      <c r="Z46" s="1572">
        <f t="shared" si="15"/>
        <v>111</v>
      </c>
      <c r="AA46" s="1573">
        <f t="shared" si="3"/>
        <v>1</v>
      </c>
      <c r="AB46" s="1573">
        <f t="shared" si="4"/>
        <v>1</v>
      </c>
      <c r="AC46" s="1573">
        <f t="shared" si="5"/>
        <v>1</v>
      </c>
    </row>
    <row r="47" spans="1:29" ht="15">
      <c r="A47" s="604" t="s">
        <v>736</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83" t="str">
        <f>A47</f>
        <v>成交单价（元/平方米）</v>
      </c>
      <c r="Q47" s="3383"/>
      <c r="R47" s="3465">
        <f>E47</f>
        <v>31360</v>
      </c>
      <c r="S47" s="3465"/>
      <c r="T47" s="3465">
        <f>G47</f>
        <v>30380</v>
      </c>
      <c r="U47" s="3465"/>
      <c r="V47" s="3465">
        <f>I47</f>
        <v>31360</v>
      </c>
      <c r="W47" s="3465"/>
      <c r="X47" s="1556"/>
      <c r="Y47" s="1578"/>
      <c r="Z47" s="1556"/>
      <c r="AA47" s="1556"/>
      <c r="AB47" s="1556"/>
      <c r="AC47" s="1556"/>
    </row>
    <row r="48" spans="1:29" ht="15.75" thickBot="1">
      <c r="A48" s="612" t="s">
        <v>2768</v>
      </c>
      <c r="B48" s="884"/>
      <c r="C48" s="2655">
        <f>R49</f>
        <v>29836</v>
      </c>
      <c r="D48" s="2656"/>
      <c r="E48" s="2657">
        <f>R48</f>
        <v>30145</v>
      </c>
      <c r="F48" s="2657"/>
      <c r="G48" s="2655">
        <f>T48</f>
        <v>28917</v>
      </c>
      <c r="H48" s="2656"/>
      <c r="I48" s="2657">
        <f>V48</f>
        <v>30447</v>
      </c>
      <c r="J48" s="2656"/>
      <c r="K48" s="1604"/>
      <c r="L48" s="2142"/>
      <c r="M48" s="2143"/>
      <c r="N48" s="2143"/>
      <c r="O48" s="2143"/>
      <c r="P48" s="3383" t="str">
        <f>A48</f>
        <v>比较价格（元/平方米）</v>
      </c>
      <c r="Q48" s="3383"/>
      <c r="R48" s="3465">
        <f>IF(F1="售价",ROUND(PRODUCT(R47,AA7:AA46),0),ROUND(PRODUCT(R47,AA7:AA46),1))</f>
        <v>30145</v>
      </c>
      <c r="S48" s="3465"/>
      <c r="T48" s="3465">
        <f>IF(F1="售价",ROUND(PRODUCT(T47,AB7:AB46),0),ROUND(PRODUCT(T47,AB7:AB46),1))</f>
        <v>28917</v>
      </c>
      <c r="U48" s="3465"/>
      <c r="V48" s="3465">
        <f>IF(F1="售价",ROUND(PRODUCT(V47,AC7:AC46),0),ROUND(PRODUCT(V47,AC7:AC46),1))</f>
        <v>30447</v>
      </c>
      <c r="W48" s="3465"/>
      <c r="X48" s="1556"/>
      <c r="Y48" s="1556"/>
      <c r="Z48" s="1556"/>
      <c r="AA48" s="1556"/>
      <c r="AB48" s="1556"/>
      <c r="AC48" s="1556"/>
    </row>
    <row r="49" spans="1:29" ht="15.75" thickBot="1">
      <c r="A49" s="618" t="s">
        <v>2945</v>
      </c>
      <c r="B49" s="619"/>
      <c r="C49" s="2658">
        <f>R49</f>
        <v>29836</v>
      </c>
      <c r="D49" s="2658"/>
      <c r="E49" s="2658"/>
      <c r="F49" s="2658"/>
      <c r="G49" s="2658"/>
      <c r="H49" s="2658"/>
      <c r="I49" s="2658"/>
      <c r="J49" s="2658"/>
      <c r="K49" s="1605"/>
      <c r="L49" s="2142"/>
      <c r="M49" s="2143"/>
      <c r="N49" s="2143"/>
      <c r="O49" s="2143"/>
      <c r="P49" s="3405" t="str">
        <f>A49</f>
        <v>估价对象XX用房的比较价格（楼面单价，元/平方米）</v>
      </c>
      <c r="Q49" s="3406"/>
      <c r="R49" s="3464">
        <f>IF(F1="售价",ROUND(AVERAGE(R48:V48),0),ROUND(AVERAGE(R48:V48),1))</f>
        <v>29836</v>
      </c>
      <c r="S49" s="3464"/>
      <c r="T49" s="3464"/>
      <c r="U49" s="3464"/>
      <c r="V49" s="3464"/>
      <c r="W49" s="346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557</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558</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559</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529</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575</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531</v>
      </c>
      <c r="B61" s="645"/>
      <c r="C61" s="657" t="s">
        <v>576</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577</v>
      </c>
      <c r="B63" s="662" t="s">
        <v>534</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539</v>
      </c>
      <c r="B76" s="662" t="s">
        <v>578</v>
      </c>
      <c r="C76" s="700" t="s">
        <v>579</v>
      </c>
      <c r="D76" s="700" t="s">
        <v>580</v>
      </c>
      <c r="E76" s="700" t="s">
        <v>581</v>
      </c>
      <c r="F76" s="700" t="s">
        <v>582</v>
      </c>
      <c r="G76" s="700" t="s">
        <v>583</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586</v>
      </c>
      <c r="C78" s="705" t="s">
        <v>579</v>
      </c>
      <c r="D78" s="705" t="s">
        <v>580</v>
      </c>
      <c r="E78" s="705" t="s">
        <v>581</v>
      </c>
      <c r="F78" s="705" t="s">
        <v>582</v>
      </c>
      <c r="G78" s="705" t="s">
        <v>583</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2563</v>
      </c>
      <c r="C80" s="705" t="s">
        <v>579</v>
      </c>
      <c r="D80" s="705" t="s">
        <v>580</v>
      </c>
      <c r="E80" s="705" t="s">
        <v>581</v>
      </c>
      <c r="F80" s="705" t="s">
        <v>582</v>
      </c>
      <c r="G80" s="705" t="s">
        <v>583</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2564</v>
      </c>
      <c r="C82" s="2620" t="s">
        <v>2565</v>
      </c>
      <c r="D82" s="2620" t="s">
        <v>2566</v>
      </c>
      <c r="E82" s="2620" t="s">
        <v>2567</v>
      </c>
      <c r="F82" s="2620" t="s">
        <v>2568</v>
      </c>
      <c r="G82" s="2620" t="s">
        <v>2569</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744</v>
      </c>
      <c r="C84" s="705" t="s">
        <v>579</v>
      </c>
      <c r="D84" s="705" t="s">
        <v>580</v>
      </c>
      <c r="E84" s="705" t="s">
        <v>581</v>
      </c>
      <c r="F84" s="705" t="s">
        <v>582</v>
      </c>
      <c r="G84" s="705" t="s">
        <v>583</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2260</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746</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551</v>
      </c>
      <c r="B100" s="662" t="s">
        <v>747</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748</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749</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750</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751</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753</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2562</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754</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733</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755</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2275</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2276</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2277</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9" sqref="I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777</v>
      </c>
      <c r="C1" s="501" t="s">
        <v>720</v>
      </c>
      <c r="D1" s="846" t="s">
        <v>1678</v>
      </c>
      <c r="E1" s="503"/>
      <c r="F1" s="2831" t="s">
        <v>2999</v>
      </c>
      <c r="G1" s="1598" t="s">
        <v>721</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466</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519</v>
      </c>
      <c r="B3" s="507">
        <f>C50</f>
        <v>18566</v>
      </c>
      <c r="C3" s="849" t="s">
        <v>722</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521</v>
      </c>
      <c r="B4" s="510"/>
      <c r="C4" s="3389" t="s">
        <v>522</v>
      </c>
      <c r="D4" s="3390"/>
      <c r="E4" s="3414" t="s">
        <v>523</v>
      </c>
      <c r="F4" s="3415"/>
      <c r="G4" s="3389" t="s">
        <v>524</v>
      </c>
      <c r="H4" s="3390"/>
      <c r="I4" s="3389" t="s">
        <v>525</v>
      </c>
      <c r="J4" s="3390"/>
      <c r="K4" s="511" t="s">
        <v>526</v>
      </c>
      <c r="L4" s="2131"/>
      <c r="M4" s="2132"/>
      <c r="N4" s="2132"/>
      <c r="O4" s="2132"/>
      <c r="P4" s="3467" t="s">
        <v>527</v>
      </c>
      <c r="Q4" s="3392"/>
      <c r="R4" s="3377" t="s">
        <v>523</v>
      </c>
      <c r="S4" s="3378"/>
      <c r="T4" s="3377" t="s">
        <v>524</v>
      </c>
      <c r="U4" s="3378"/>
      <c r="V4" s="3397" t="s">
        <v>525</v>
      </c>
      <c r="W4" s="3397"/>
      <c r="X4" s="1564"/>
      <c r="Y4" s="3377" t="s">
        <v>527</v>
      </c>
      <c r="Z4" s="3378"/>
      <c r="AA4" s="3372" t="s">
        <v>523</v>
      </c>
      <c r="AB4" s="3372" t="s">
        <v>524</v>
      </c>
      <c r="AC4" s="3372" t="s">
        <v>525</v>
      </c>
    </row>
    <row r="5" spans="1:29" ht="15">
      <c r="A5" s="512"/>
      <c r="B5" s="513"/>
      <c r="C5" s="3400" t="s">
        <v>2939</v>
      </c>
      <c r="D5" s="3401"/>
      <c r="E5" s="3461" t="s">
        <v>3037</v>
      </c>
      <c r="F5" s="3417"/>
      <c r="G5" s="3400" t="s">
        <v>2941</v>
      </c>
      <c r="H5" s="3401"/>
      <c r="I5" s="3400" t="s">
        <v>2942</v>
      </c>
      <c r="J5" s="3401"/>
      <c r="K5" s="511"/>
      <c r="L5" s="2131"/>
      <c r="M5" s="2132"/>
      <c r="N5" s="2132"/>
      <c r="O5" s="2132"/>
      <c r="P5" s="3468"/>
      <c r="Q5" s="3394"/>
      <c r="R5" s="3379"/>
      <c r="S5" s="3380"/>
      <c r="T5" s="3379"/>
      <c r="U5" s="3380"/>
      <c r="V5" s="3397"/>
      <c r="W5" s="3397"/>
      <c r="X5" s="1564"/>
      <c r="Y5" s="3379"/>
      <c r="Z5" s="3380"/>
      <c r="AA5" s="3373"/>
      <c r="AB5" s="3373"/>
      <c r="AC5" s="3373"/>
    </row>
    <row r="6" spans="1:29" ht="15.75" thickBot="1">
      <c r="A6" s="514"/>
      <c r="B6" s="515"/>
      <c r="C6" s="3418" t="s">
        <v>2943</v>
      </c>
      <c r="D6" s="3399"/>
      <c r="E6" s="3463" t="s">
        <v>3038</v>
      </c>
      <c r="F6" s="3420"/>
      <c r="G6" s="3418" t="s">
        <v>2943</v>
      </c>
      <c r="H6" s="3399"/>
      <c r="I6" s="3418" t="s">
        <v>2943</v>
      </c>
      <c r="J6" s="3399"/>
      <c r="K6" s="511" t="s">
        <v>528</v>
      </c>
      <c r="L6" s="2131"/>
      <c r="M6" s="2132"/>
      <c r="N6" s="2132"/>
      <c r="O6" s="2132"/>
      <c r="P6" s="3469"/>
      <c r="Q6" s="3396"/>
      <c r="R6" s="3379"/>
      <c r="S6" s="3380"/>
      <c r="T6" s="3381"/>
      <c r="U6" s="3382"/>
      <c r="V6" s="3397"/>
      <c r="W6" s="3397"/>
      <c r="X6" s="1564"/>
      <c r="Y6" s="3381"/>
      <c r="Z6" s="3382"/>
      <c r="AA6" s="3374"/>
      <c r="AB6" s="3374"/>
      <c r="AC6" s="3374"/>
    </row>
    <row r="7" spans="1:29" s="1216" customFormat="1" ht="15.75" thickBot="1">
      <c r="A7" s="2935"/>
      <c r="B7" s="2942" t="s">
        <v>529</v>
      </c>
      <c r="C7" s="516">
        <f>'数据-取费表'!B2</f>
        <v>43104</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384" t="s">
        <v>530</v>
      </c>
      <c r="Q7" s="3384"/>
      <c r="R7" s="1565" t="s">
        <v>8</v>
      </c>
      <c r="S7" s="1566">
        <f t="shared" ref="S7:S15" si="0">F7</f>
        <v>100</v>
      </c>
      <c r="T7" s="1565" t="s">
        <v>8</v>
      </c>
      <c r="U7" s="1566">
        <f t="shared" ref="U7:U15" si="1">H7</f>
        <v>100</v>
      </c>
      <c r="V7" s="1565" t="s">
        <v>8</v>
      </c>
      <c r="W7" s="1566">
        <f t="shared" ref="W7:W15" si="2">J7</f>
        <v>100</v>
      </c>
      <c r="X7" s="1567"/>
      <c r="Y7" s="3375" t="s">
        <v>530</v>
      </c>
      <c r="Z7" s="3376"/>
      <c r="AA7" s="1568">
        <f>D7/F7</f>
        <v>1</v>
      </c>
      <c r="AB7" s="1568">
        <f>D7/H7</f>
        <v>1</v>
      </c>
      <c r="AC7" s="1568">
        <f>D7/J7</f>
        <v>1</v>
      </c>
    </row>
    <row r="8" spans="1:29" s="1216" customFormat="1" ht="15.75" thickBot="1">
      <c r="A8" s="2936"/>
      <c r="B8" s="2943" t="s">
        <v>531</v>
      </c>
      <c r="C8" s="522" t="s">
        <v>576</v>
      </c>
      <c r="D8" s="517">
        <v>100</v>
      </c>
      <c r="E8" s="3165" t="s">
        <v>3039</v>
      </c>
      <c r="F8" s="519">
        <f>SUMIF(62:62,E8,63:63)-SUMIF(62:62,C8,63:63)+100</f>
        <v>100</v>
      </c>
      <c r="G8" s="3165" t="s">
        <v>3039</v>
      </c>
      <c r="H8" s="517">
        <f>SUMIF(62:62,G8,63:63)-SUMIF(62:62,C8,63:63)+100</f>
        <v>100</v>
      </c>
      <c r="I8" s="3165" t="s">
        <v>3039</v>
      </c>
      <c r="J8" s="517">
        <f>SUMIF(62:62,I8,63:63)-SUMIF(62:62,C8,63:63)+100</f>
        <v>100</v>
      </c>
      <c r="K8" s="521"/>
      <c r="L8" s="2133"/>
      <c r="M8" s="2134"/>
      <c r="N8" s="2134"/>
      <c r="O8" s="2134"/>
      <c r="P8" s="3384" t="s">
        <v>533</v>
      </c>
      <c r="Q8" s="3376"/>
      <c r="R8" s="1565" t="s">
        <v>8</v>
      </c>
      <c r="S8" s="1566">
        <f t="shared" si="0"/>
        <v>100</v>
      </c>
      <c r="T8" s="1565" t="s">
        <v>8</v>
      </c>
      <c r="U8" s="1566">
        <f t="shared" si="1"/>
        <v>100</v>
      </c>
      <c r="V8" s="1565" t="s">
        <v>8</v>
      </c>
      <c r="W8" s="1566">
        <f t="shared" si="2"/>
        <v>100</v>
      </c>
      <c r="X8" s="1567"/>
      <c r="Y8" s="3375" t="s">
        <v>533</v>
      </c>
      <c r="Z8" s="3376"/>
      <c r="AA8" s="1568">
        <f t="shared" ref="AA8:AA47" si="3">D8/F8</f>
        <v>1</v>
      </c>
      <c r="AB8" s="1568">
        <f t="shared" ref="AB8:AB47" si="4">D8/H8</f>
        <v>1</v>
      </c>
      <c r="AC8" s="1568">
        <f t="shared" ref="AC8:AC47" si="5">D8/J8</f>
        <v>1</v>
      </c>
    </row>
    <row r="9" spans="1:29" s="1216" customFormat="1" ht="15">
      <c r="A9" s="2937"/>
      <c r="B9" s="2944" t="s">
        <v>2764</v>
      </c>
      <c r="C9" s="3174" t="s">
        <v>3068</v>
      </c>
      <c r="D9" s="253">
        <v>100</v>
      </c>
      <c r="E9" s="3174" t="s">
        <v>3068</v>
      </c>
      <c r="F9" s="253">
        <f>SUMIF(64:64,E9,65:65)-SUMIF(64:64,C9,65:65)+100</f>
        <v>100</v>
      </c>
      <c r="G9" s="3174" t="s">
        <v>3068</v>
      </c>
      <c r="H9" s="253">
        <f>SUMIF(64:64,G9,65:65)-SUMIF(64:64,C9,65:65)+100</f>
        <v>100</v>
      </c>
      <c r="I9" s="3174" t="s">
        <v>3068</v>
      </c>
      <c r="J9" s="253">
        <f>SUMIF(64:64,I9,65:65)-SUMIF(64:64,C9,65:65)+100</f>
        <v>100</v>
      </c>
      <c r="K9" s="521"/>
      <c r="L9" s="2133"/>
      <c r="M9" s="2134"/>
      <c r="N9" s="2134"/>
      <c r="O9" s="2134"/>
      <c r="P9" s="3383" t="s">
        <v>535</v>
      </c>
      <c r="Q9" s="1147" t="str">
        <f t="shared" ref="Q9:Q15" si="6">B9</f>
        <v>用途</v>
      </c>
      <c r="R9" s="1565" t="s">
        <v>8</v>
      </c>
      <c r="S9" s="1566">
        <f t="shared" si="0"/>
        <v>100</v>
      </c>
      <c r="T9" s="1565" t="s">
        <v>8</v>
      </c>
      <c r="U9" s="1566">
        <f t="shared" si="1"/>
        <v>100</v>
      </c>
      <c r="V9" s="1565" t="s">
        <v>8</v>
      </c>
      <c r="W9" s="1566">
        <f t="shared" si="2"/>
        <v>100</v>
      </c>
      <c r="X9" s="1567"/>
      <c r="Y9" s="3340" t="s">
        <v>536</v>
      </c>
      <c r="Z9" s="1146" t="str">
        <f t="shared" ref="Z9:Z15" si="7">Q9</f>
        <v>用途</v>
      </c>
      <c r="AA9" s="1568">
        <f t="shared" si="3"/>
        <v>1</v>
      </c>
      <c r="AB9" s="1568">
        <f t="shared" si="4"/>
        <v>1</v>
      </c>
      <c r="AC9" s="1568">
        <f t="shared" si="5"/>
        <v>1</v>
      </c>
    </row>
    <row r="10" spans="1:29" s="1334" customFormat="1" ht="27">
      <c r="A10" s="2938"/>
      <c r="B10" s="2943" t="s">
        <v>2765</v>
      </c>
      <c r="C10" s="858" t="s">
        <v>3040</v>
      </c>
      <c r="D10" s="254">
        <v>100</v>
      </c>
      <c r="E10" s="858" t="s">
        <v>3040</v>
      </c>
      <c r="F10" s="254">
        <f>SUMIF(66:66,E10,67:67)-SUMIF(66:66,C10,67:67)+100</f>
        <v>100</v>
      </c>
      <c r="G10" s="858" t="s">
        <v>3040</v>
      </c>
      <c r="H10" s="254">
        <f>SUMIF(66:66,G10,67:67)-SUMIF(66:66,C10,67:67)+100</f>
        <v>100</v>
      </c>
      <c r="I10" s="858" t="s">
        <v>3040</v>
      </c>
      <c r="J10" s="254">
        <f>SUMIF(66:66,I10,67:67)-SUMIF(66:66,C10,67:67)+100</f>
        <v>100</v>
      </c>
      <c r="K10" s="581">
        <f>'不动产比较法-住宅'!K10</f>
        <v>1</v>
      </c>
      <c r="L10" s="2136"/>
      <c r="M10" s="2176"/>
      <c r="N10" s="2176"/>
      <c r="O10" s="2176"/>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75" thickBot="1">
      <c r="A11" s="2939"/>
      <c r="B11" s="2943" t="s">
        <v>2766</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83"/>
      <c r="Q11" s="1147" t="str">
        <f t="shared" si="6"/>
        <v>容积率</v>
      </c>
      <c r="R11" s="1565" t="s">
        <v>8</v>
      </c>
      <c r="S11" s="1566">
        <f t="shared" si="0"/>
        <v>115</v>
      </c>
      <c r="T11" s="1565" t="s">
        <v>8</v>
      </c>
      <c r="U11" s="1566">
        <f t="shared" si="1"/>
        <v>105</v>
      </c>
      <c r="V11" s="1565" t="s">
        <v>8</v>
      </c>
      <c r="W11" s="1566">
        <f t="shared" si="2"/>
        <v>95</v>
      </c>
      <c r="X11" s="1567"/>
      <c r="Y11" s="3340"/>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71.25">
      <c r="A15" s="2933" t="s">
        <v>2762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385" t="s">
        <v>540</v>
      </c>
      <c r="Q15" s="1569" t="str">
        <f t="shared" si="6"/>
        <v>办公集聚程度</v>
      </c>
      <c r="R15" s="1570" t="s">
        <v>8</v>
      </c>
      <c r="S15" s="1571">
        <f t="shared" si="0"/>
        <v>100</v>
      </c>
      <c r="T15" s="1570" t="s">
        <v>8</v>
      </c>
      <c r="U15" s="1571">
        <f t="shared" si="1"/>
        <v>100</v>
      </c>
      <c r="V15" s="1570" t="s">
        <v>8</v>
      </c>
      <c r="W15" s="1571">
        <f t="shared" si="2"/>
        <v>97</v>
      </c>
      <c r="X15" s="1564"/>
      <c r="Y15" s="3385" t="s">
        <v>540</v>
      </c>
      <c r="Z15" s="1572" t="str">
        <f t="shared" si="7"/>
        <v>办公集聚程度</v>
      </c>
      <c r="AA15" s="1573">
        <f t="shared" si="3"/>
        <v>1</v>
      </c>
      <c r="AB15" s="1573">
        <f t="shared" si="4"/>
        <v>1</v>
      </c>
      <c r="AC15" s="1573">
        <f t="shared" si="5"/>
        <v>1.0309278350515463</v>
      </c>
    </row>
    <row r="16" spans="1:29" ht="15">
      <c r="A16" s="529"/>
      <c r="B16" s="550"/>
      <c r="C16" s="3169" t="s">
        <v>3041</v>
      </c>
      <c r="D16" s="552"/>
      <c r="E16" s="3169" t="s">
        <v>3041</v>
      </c>
      <c r="F16" s="552"/>
      <c r="G16" s="3169" t="s">
        <v>3041</v>
      </c>
      <c r="H16" s="556"/>
      <c r="I16" s="3177" t="s">
        <v>3042</v>
      </c>
      <c r="J16" s="552"/>
      <c r="K16" s="895"/>
      <c r="L16" s="2140"/>
      <c r="M16" s="2132"/>
      <c r="N16" s="2132"/>
      <c r="O16" s="2132"/>
      <c r="P16" s="3386"/>
      <c r="Q16" s="1569"/>
      <c r="R16" s="1570"/>
      <c r="S16" s="1571"/>
      <c r="T16" s="1570"/>
      <c r="U16" s="1571"/>
      <c r="V16" s="1570"/>
      <c r="W16" s="1571"/>
      <c r="X16" s="1564"/>
      <c r="Y16" s="3386"/>
      <c r="Z16" s="1572"/>
      <c r="AA16" s="1573">
        <v>1</v>
      </c>
      <c r="AB16" s="1573">
        <v>1</v>
      </c>
      <c r="AC16" s="1573">
        <v>1</v>
      </c>
    </row>
    <row r="17" spans="1:29" ht="85.5">
      <c r="A17" s="529"/>
      <c r="B17" s="557" t="s">
        <v>295</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市场比较法!K23</f>
        <v>2</v>
      </c>
      <c r="L17" s="2140"/>
      <c r="M17" s="2132"/>
      <c r="N17" s="2132"/>
      <c r="O17" s="2132"/>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63"/>
      <c r="C18" s="564" t="str">
        <f>市场比较法!C24</f>
        <v>较好</v>
      </c>
      <c r="D18" s="556"/>
      <c r="E18" s="564" t="str">
        <f>市场比较法!E24</f>
        <v>较好</v>
      </c>
      <c r="F18" s="556"/>
      <c r="G18" s="564" t="str">
        <f>市场比较法!G24</f>
        <v>较好</v>
      </c>
      <c r="H18" s="552"/>
      <c r="I18" s="564" t="str">
        <f>市场比较法!I24</f>
        <v>较好</v>
      </c>
      <c r="J18" s="552"/>
      <c r="K18" s="895"/>
      <c r="L18" s="2140"/>
      <c r="M18" s="2132"/>
      <c r="N18" s="2132"/>
      <c r="O18" s="2132"/>
      <c r="P18" s="3386"/>
      <c r="Q18" s="1569"/>
      <c r="R18" s="1570"/>
      <c r="S18" s="1571"/>
      <c r="T18" s="1570"/>
      <c r="U18" s="1571"/>
      <c r="V18" s="1570"/>
      <c r="W18" s="1571"/>
      <c r="X18" s="1564"/>
      <c r="Y18" s="3386"/>
      <c r="Z18" s="1572"/>
      <c r="AA18" s="1573">
        <v>1</v>
      </c>
      <c r="AB18" s="1573">
        <v>1</v>
      </c>
      <c r="AC18" s="1573">
        <v>1</v>
      </c>
    </row>
    <row r="19" spans="1:29" ht="42.75">
      <c r="A19" s="529"/>
      <c r="B19" s="2625" t="s">
        <v>2552</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63"/>
      <c r="C20" s="551" t="str">
        <f>市场比较法!C30</f>
        <v>较好</v>
      </c>
      <c r="D20" s="552"/>
      <c r="E20" s="551" t="str">
        <f>市场比较法!E30</f>
        <v>较好</v>
      </c>
      <c r="F20" s="552"/>
      <c r="G20" s="551" t="str">
        <f>市场比较法!G30</f>
        <v>较好</v>
      </c>
      <c r="H20" s="552"/>
      <c r="I20" s="551" t="str">
        <f>市场比较法!I30</f>
        <v>较好</v>
      </c>
      <c r="J20" s="552"/>
      <c r="K20" s="895"/>
      <c r="L20" s="2140"/>
      <c r="M20" s="2132"/>
      <c r="N20" s="2132"/>
      <c r="O20" s="2132"/>
      <c r="P20" s="3386"/>
      <c r="Q20" s="1569"/>
      <c r="R20" s="1570"/>
      <c r="S20" s="1571"/>
      <c r="T20" s="1570"/>
      <c r="U20" s="1571"/>
      <c r="V20" s="1570"/>
      <c r="W20" s="1571"/>
      <c r="X20" s="1564"/>
      <c r="Y20" s="3386"/>
      <c r="Z20" s="1572"/>
      <c r="AA20" s="1573">
        <v>1</v>
      </c>
      <c r="AB20" s="1573">
        <v>1</v>
      </c>
      <c r="AC20" s="1573">
        <v>1</v>
      </c>
    </row>
    <row r="21" spans="1:29" ht="28.5">
      <c r="A21" s="529"/>
      <c r="B21" s="2613" t="s">
        <v>2564</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575"/>
      <c r="C22" s="3180" t="s">
        <v>3043</v>
      </c>
      <c r="D22" s="552"/>
      <c r="E22" s="3180" t="s">
        <v>3043</v>
      </c>
      <c r="F22" s="552"/>
      <c r="G22" s="3180" t="s">
        <v>3043</v>
      </c>
      <c r="H22" s="552"/>
      <c r="I22" s="3180" t="s">
        <v>3043</v>
      </c>
      <c r="J22" s="552"/>
      <c r="K22" s="2624"/>
      <c r="L22" s="2140"/>
      <c r="M22" s="2132"/>
      <c r="N22" s="2132"/>
      <c r="O22" s="2132"/>
      <c r="P22" s="3386"/>
      <c r="Q22" s="2601"/>
      <c r="R22" s="1570"/>
      <c r="S22" s="1571"/>
      <c r="T22" s="1570"/>
      <c r="U22" s="1571"/>
      <c r="V22" s="1570"/>
      <c r="W22" s="1571"/>
      <c r="X22" s="2603"/>
      <c r="Y22" s="3386"/>
      <c r="Z22" s="2602"/>
      <c r="AA22" s="1573">
        <v>1</v>
      </c>
      <c r="AB22" s="1573">
        <v>1</v>
      </c>
      <c r="AC22" s="1573">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386"/>
      <c r="Q23" s="1569" t="str">
        <f>B23</f>
        <v>环境质量</v>
      </c>
      <c r="R23" s="1570" t="s">
        <v>8</v>
      </c>
      <c r="S23" s="1571">
        <f>F23</f>
        <v>100</v>
      </c>
      <c r="T23" s="1570" t="s">
        <v>8</v>
      </c>
      <c r="U23" s="1571">
        <f>H23</f>
        <v>100</v>
      </c>
      <c r="V23" s="1570" t="s">
        <v>8</v>
      </c>
      <c r="W23" s="1571">
        <f>J23</f>
        <v>98</v>
      </c>
      <c r="X23" s="1564"/>
      <c r="Y23" s="3386"/>
      <c r="Z23" s="1572" t="str">
        <f>Q23</f>
        <v>环境质量</v>
      </c>
      <c r="AA23" s="1573">
        <f t="shared" si="3"/>
        <v>1</v>
      </c>
      <c r="AB23" s="1573">
        <f t="shared" si="4"/>
        <v>1</v>
      </c>
      <c r="AC23" s="1573">
        <f t="shared" si="5"/>
        <v>1.0204081632653061</v>
      </c>
    </row>
    <row r="24" spans="1:29" ht="15">
      <c r="A24" s="529"/>
      <c r="B24" s="575"/>
      <c r="C24" s="3169" t="s">
        <v>3041</v>
      </c>
      <c r="D24" s="552"/>
      <c r="E24" s="3169" t="s">
        <v>3041</v>
      </c>
      <c r="F24" s="552"/>
      <c r="G24" s="3169" t="s">
        <v>3041</v>
      </c>
      <c r="H24" s="552"/>
      <c r="I24" s="3181" t="s">
        <v>3042</v>
      </c>
      <c r="J24" s="552"/>
      <c r="K24" s="895"/>
      <c r="L24" s="2140"/>
      <c r="M24" s="2132"/>
      <c r="N24" s="2132"/>
      <c r="O24" s="2132"/>
      <c r="P24" s="3386"/>
      <c r="Q24" s="1569"/>
      <c r="R24" s="1570"/>
      <c r="S24" s="1571"/>
      <c r="T24" s="1570"/>
      <c r="U24" s="1571"/>
      <c r="V24" s="1570"/>
      <c r="W24" s="1571"/>
      <c r="X24" s="1564"/>
      <c r="Y24" s="3386"/>
      <c r="Z24" s="1572"/>
      <c r="AA24" s="1573">
        <v>1</v>
      </c>
      <c r="AB24" s="1573">
        <v>1</v>
      </c>
      <c r="AC24" s="1573">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386"/>
      <c r="Q25" s="1569" t="str">
        <f>B25</f>
        <v>毗邻道路的类型与等级</v>
      </c>
      <c r="R25" s="1570" t="s">
        <v>8</v>
      </c>
      <c r="S25" s="1571">
        <f>F25</f>
        <v>100</v>
      </c>
      <c r="T25" s="1570" t="s">
        <v>8</v>
      </c>
      <c r="U25" s="1571">
        <f>H25</f>
        <v>100</v>
      </c>
      <c r="V25" s="1570" t="s">
        <v>8</v>
      </c>
      <c r="W25" s="1571">
        <f>J25</f>
        <v>100</v>
      </c>
      <c r="X25" s="1564"/>
      <c r="Y25" s="3386"/>
      <c r="Z25" s="1572" t="str">
        <f>Q25</f>
        <v>毗邻道路的类型与等级</v>
      </c>
      <c r="AA25" s="1573">
        <f t="shared" si="3"/>
        <v>1</v>
      </c>
      <c r="AB25" s="1573">
        <f t="shared" si="4"/>
        <v>1</v>
      </c>
      <c r="AC25" s="1573">
        <f t="shared" si="5"/>
        <v>1</v>
      </c>
    </row>
    <row r="26" spans="1:29" ht="15.75" thickBot="1">
      <c r="A26" s="512"/>
      <c r="B26" s="563"/>
      <c r="C26" s="3170" t="s">
        <v>3044</v>
      </c>
      <c r="D26" s="537"/>
      <c r="E26" s="3170" t="s">
        <v>3044</v>
      </c>
      <c r="F26" s="537"/>
      <c r="G26" s="3170" t="s">
        <v>3044</v>
      </c>
      <c r="H26" s="537"/>
      <c r="I26" s="3182" t="s">
        <v>3045</v>
      </c>
      <c r="J26" s="537"/>
      <c r="K26" s="895"/>
      <c r="L26" s="2140"/>
      <c r="M26" s="2132"/>
      <c r="N26" s="2132"/>
      <c r="O26" s="2132"/>
      <c r="P26" s="3386"/>
      <c r="Q26" s="1569"/>
      <c r="R26" s="1570"/>
      <c r="S26" s="1571"/>
      <c r="T26" s="1570"/>
      <c r="U26" s="1571"/>
      <c r="V26" s="1570"/>
      <c r="W26" s="1571"/>
      <c r="X26" s="1564"/>
      <c r="Y26" s="3386"/>
      <c r="Z26" s="1572"/>
      <c r="AA26" s="1573">
        <v>1</v>
      </c>
      <c r="AB26" s="1573">
        <v>1</v>
      </c>
      <c r="AC26" s="1573">
        <v>1</v>
      </c>
    </row>
    <row r="27" spans="1:29" ht="15" hidden="1">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386"/>
      <c r="Q27" s="1569" t="str">
        <f t="shared" ref="Q27:Q47" si="11">B27</f>
        <v>楼层</v>
      </c>
      <c r="R27" s="1570" t="s">
        <v>8</v>
      </c>
      <c r="S27" s="1571">
        <f>F27</f>
        <v>100</v>
      </c>
      <c r="T27" s="1570" t="s">
        <v>8</v>
      </c>
      <c r="U27" s="1571">
        <f>H27</f>
        <v>100</v>
      </c>
      <c r="V27" s="1570" t="s">
        <v>8</v>
      </c>
      <c r="W27" s="1571">
        <f>J27</f>
        <v>100</v>
      </c>
      <c r="X27" s="1564"/>
      <c r="Y27" s="3386"/>
      <c r="Z27" s="1572" t="str">
        <f>Q27</f>
        <v>楼层</v>
      </c>
      <c r="AA27" s="1573">
        <f t="shared" si="3"/>
        <v>1</v>
      </c>
      <c r="AB27" s="1573">
        <f t="shared" si="4"/>
        <v>1</v>
      </c>
      <c r="AC27" s="1573">
        <f t="shared" si="5"/>
        <v>1</v>
      </c>
    </row>
    <row r="28" spans="1:29" s="1216" customFormat="1" ht="15" hidden="1">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386"/>
      <c r="Q28" s="1147" t="str">
        <f t="shared" si="11"/>
        <v>朝向</v>
      </c>
      <c r="R28" s="1565" t="s">
        <v>8</v>
      </c>
      <c r="S28" s="1566">
        <f>F28</f>
        <v>100</v>
      </c>
      <c r="T28" s="1565" t="s">
        <v>8</v>
      </c>
      <c r="U28" s="1566">
        <f>H28</f>
        <v>100</v>
      </c>
      <c r="V28" s="1565" t="s">
        <v>8</v>
      </c>
      <c r="W28" s="1566">
        <f>J28</f>
        <v>100</v>
      </c>
      <c r="X28" s="1567"/>
      <c r="Y28" s="338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386"/>
      <c r="Q29" s="1569">
        <f t="shared" si="11"/>
        <v>111</v>
      </c>
      <c r="R29" s="1570" t="s">
        <v>8</v>
      </c>
      <c r="S29" s="1571">
        <f t="shared" ref="S29:S47" si="12">F29</f>
        <v>100</v>
      </c>
      <c r="T29" s="1570" t="s">
        <v>8</v>
      </c>
      <c r="U29" s="1571">
        <f t="shared" ref="U29:U47" si="13">H29</f>
        <v>100</v>
      </c>
      <c r="V29" s="1570" t="s">
        <v>8</v>
      </c>
      <c r="W29" s="1571">
        <f t="shared" ref="W29:W47" si="14">J29</f>
        <v>100</v>
      </c>
      <c r="X29" s="1564"/>
      <c r="Y29" s="338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386"/>
      <c r="Q32" s="1569">
        <f t="shared" si="11"/>
        <v>111</v>
      </c>
      <c r="R32" s="1570" t="s">
        <v>8</v>
      </c>
      <c r="S32" s="1571">
        <f t="shared" si="12"/>
        <v>100</v>
      </c>
      <c r="T32" s="1570" t="s">
        <v>8</v>
      </c>
      <c r="U32" s="1571">
        <f t="shared" si="13"/>
        <v>100</v>
      </c>
      <c r="V32" s="1570" t="s">
        <v>8</v>
      </c>
      <c r="W32" s="1571">
        <f t="shared" si="14"/>
        <v>100</v>
      </c>
      <c r="X32" s="1564"/>
      <c r="Y32" s="3386"/>
      <c r="Z32" s="1572">
        <f t="shared" si="15"/>
        <v>111</v>
      </c>
      <c r="AA32" s="1573">
        <f t="shared" si="3"/>
        <v>1</v>
      </c>
      <c r="AB32" s="1573">
        <f t="shared" si="4"/>
        <v>1</v>
      </c>
      <c r="AC32" s="1573">
        <f t="shared" si="5"/>
        <v>1</v>
      </c>
    </row>
    <row r="33" spans="1:29" ht="15">
      <c r="A33" s="2931" t="s">
        <v>2763</v>
      </c>
      <c r="B33" s="172" t="s">
        <v>780</v>
      </c>
      <c r="C33" s="3183" t="s">
        <v>3046</v>
      </c>
      <c r="D33" s="594">
        <v>100</v>
      </c>
      <c r="E33" s="3183" t="s">
        <v>3046</v>
      </c>
      <c r="F33" s="572">
        <f>SUMIF(101:101,E33,102:102)-SUMIF(101:101,C33,102:102)+100</f>
        <v>100</v>
      </c>
      <c r="G33" s="3183" t="s">
        <v>3046</v>
      </c>
      <c r="H33" s="537">
        <f>SUMIF(101:101,G33,102:102)-SUMIF(101:101,C33,102:102)+100</f>
        <v>100</v>
      </c>
      <c r="I33" s="3183" t="s">
        <v>3046</v>
      </c>
      <c r="J33" s="594">
        <f>SUMIF(101:101,I33,102:102)-SUMIF(101:101,C33,102:102)+100</f>
        <v>100</v>
      </c>
      <c r="K33" s="581">
        <v>2</v>
      </c>
      <c r="L33" s="2140"/>
      <c r="M33" s="2132"/>
      <c r="N33" s="2132"/>
      <c r="O33" s="2132"/>
      <c r="P33" s="3387" t="s">
        <v>550</v>
      </c>
      <c r="Q33" s="1569" t="str">
        <f t="shared" si="11"/>
        <v>建筑类型</v>
      </c>
      <c r="R33" s="1570" t="s">
        <v>8</v>
      </c>
      <c r="S33" s="1571">
        <f t="shared" si="12"/>
        <v>100</v>
      </c>
      <c r="T33" s="1570" t="s">
        <v>8</v>
      </c>
      <c r="U33" s="1571">
        <f t="shared" si="13"/>
        <v>100</v>
      </c>
      <c r="V33" s="1570" t="s">
        <v>8</v>
      </c>
      <c r="W33" s="1571">
        <f t="shared" si="14"/>
        <v>100</v>
      </c>
      <c r="X33" s="1564"/>
      <c r="Y33" s="3388" t="s">
        <v>550</v>
      </c>
      <c r="Z33" s="1572" t="str">
        <f t="shared" si="15"/>
        <v>建筑类型</v>
      </c>
      <c r="AA33" s="1573">
        <f t="shared" si="3"/>
        <v>1</v>
      </c>
      <c r="AB33" s="1573">
        <f t="shared" si="4"/>
        <v>1</v>
      </c>
      <c r="AC33" s="1573">
        <f t="shared" si="5"/>
        <v>1</v>
      </c>
    </row>
    <row r="34" spans="1:29" s="1335" customFormat="1" ht="15">
      <c r="A34" s="600"/>
      <c r="B34" s="524" t="s">
        <v>726</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388"/>
      <c r="Q34" s="1602" t="str">
        <f t="shared" si="11"/>
        <v>项目建筑规模</v>
      </c>
      <c r="R34" s="1574" t="s">
        <v>8</v>
      </c>
      <c r="S34" s="1575">
        <f t="shared" si="12"/>
        <v>100</v>
      </c>
      <c r="T34" s="1574" t="s">
        <v>8</v>
      </c>
      <c r="U34" s="1575">
        <f t="shared" si="13"/>
        <v>100</v>
      </c>
      <c r="V34" s="1574" t="s">
        <v>8</v>
      </c>
      <c r="W34" s="1575">
        <f t="shared" si="14"/>
        <v>96</v>
      </c>
      <c r="X34" s="1576"/>
      <c r="Y34" s="3388"/>
      <c r="Z34" s="1577" t="str">
        <f t="shared" si="15"/>
        <v>项目建筑规模</v>
      </c>
      <c r="AA34" s="1573">
        <f t="shared" si="3"/>
        <v>1</v>
      </c>
      <c r="AB34" s="1573">
        <f t="shared" si="4"/>
        <v>1</v>
      </c>
      <c r="AC34" s="1573">
        <f t="shared" si="5"/>
        <v>1.0416666666666667</v>
      </c>
    </row>
    <row r="35" spans="1:29" ht="15">
      <c r="A35" s="591"/>
      <c r="B35" s="524" t="s">
        <v>727</v>
      </c>
      <c r="C35" s="3184" t="s">
        <v>3047</v>
      </c>
      <c r="D35" s="537">
        <v>100</v>
      </c>
      <c r="E35" s="3184" t="s">
        <v>3047</v>
      </c>
      <c r="F35" s="572">
        <f>SUMIF(106:106,E35,107:107)-SUMIF(106:106,C35,107:107)+100</f>
        <v>100</v>
      </c>
      <c r="G35" s="3184" t="s">
        <v>3047</v>
      </c>
      <c r="H35" s="537">
        <f>SUMIF(106:106,G35,107:107)-SUMIF(106:106,C35,107:107)+100</f>
        <v>100</v>
      </c>
      <c r="I35" s="3184" t="s">
        <v>3047</v>
      </c>
      <c r="J35" s="537">
        <f>SUMIF(106:106,I35,107:107)-SUMIF(106:106,C35,107:107)+100</f>
        <v>100</v>
      </c>
      <c r="K35" s="581">
        <v>2</v>
      </c>
      <c r="L35" s="2140"/>
      <c r="M35" s="2132"/>
      <c r="N35" s="2132"/>
      <c r="O35" s="2132"/>
      <c r="P35" s="3388"/>
      <c r="Q35" s="1569" t="str">
        <f t="shared" si="11"/>
        <v>建筑结构</v>
      </c>
      <c r="R35" s="1570" t="s">
        <v>8</v>
      </c>
      <c r="S35" s="1571">
        <f t="shared" si="12"/>
        <v>100</v>
      </c>
      <c r="T35" s="1570" t="s">
        <v>8</v>
      </c>
      <c r="U35" s="1571">
        <f t="shared" si="13"/>
        <v>100</v>
      </c>
      <c r="V35" s="1570" t="s">
        <v>8</v>
      </c>
      <c r="W35" s="1571">
        <f t="shared" si="14"/>
        <v>100</v>
      </c>
      <c r="X35" s="1564"/>
      <c r="Y35" s="3388"/>
      <c r="Z35" s="1572" t="str">
        <f t="shared" si="15"/>
        <v>建筑结构</v>
      </c>
      <c r="AA35" s="1573">
        <f t="shared" si="3"/>
        <v>1</v>
      </c>
      <c r="AB35" s="1573">
        <f t="shared" si="4"/>
        <v>1</v>
      </c>
      <c r="AC35" s="1573">
        <f t="shared" si="5"/>
        <v>1</v>
      </c>
    </row>
    <row r="36" spans="1:29" ht="15">
      <c r="A36" s="591"/>
      <c r="B36" s="524" t="s">
        <v>763</v>
      </c>
      <c r="C36" s="3184" t="s">
        <v>3048</v>
      </c>
      <c r="D36" s="537">
        <v>100</v>
      </c>
      <c r="E36" s="3184" t="s">
        <v>3048</v>
      </c>
      <c r="F36" s="572">
        <f>SUMIF(108:108,E36,109:109)-SUMIF(108:108,C36,109:109)+100</f>
        <v>100</v>
      </c>
      <c r="G36" s="3184" t="s">
        <v>3048</v>
      </c>
      <c r="H36" s="537">
        <f>SUMIF(108:108,G36,109:109)-SUMIF(108:108,C36,109:109)+100</f>
        <v>100</v>
      </c>
      <c r="I36" s="3184" t="s">
        <v>3048</v>
      </c>
      <c r="J36" s="537">
        <f>SUMIF(108:108,I36,109:109)-SUMIF(108:108,C36,109:109)+100</f>
        <v>100</v>
      </c>
      <c r="K36" s="581">
        <v>1</v>
      </c>
      <c r="L36" s="2140"/>
      <c r="M36" s="2132"/>
      <c r="N36" s="2132"/>
      <c r="O36" s="2132"/>
      <c r="P36" s="3388"/>
      <c r="Q36" s="1569" t="str">
        <f t="shared" si="11"/>
        <v>公共部分装修</v>
      </c>
      <c r="R36" s="1570" t="s">
        <v>8</v>
      </c>
      <c r="S36" s="1571">
        <f t="shared" si="12"/>
        <v>100</v>
      </c>
      <c r="T36" s="1570" t="s">
        <v>8</v>
      </c>
      <c r="U36" s="1571">
        <f t="shared" si="13"/>
        <v>100</v>
      </c>
      <c r="V36" s="1570" t="s">
        <v>8</v>
      </c>
      <c r="W36" s="1571">
        <f t="shared" si="14"/>
        <v>100</v>
      </c>
      <c r="X36" s="1564"/>
      <c r="Y36" s="3388"/>
      <c r="Z36" s="1572" t="str">
        <f t="shared" si="15"/>
        <v>公共部分装修</v>
      </c>
      <c r="AA36" s="1573">
        <f t="shared" si="3"/>
        <v>1</v>
      </c>
      <c r="AB36" s="1573">
        <f t="shared" si="4"/>
        <v>1</v>
      </c>
      <c r="AC36" s="1573">
        <f t="shared" si="5"/>
        <v>1</v>
      </c>
    </row>
    <row r="37" spans="1:29" ht="15">
      <c r="A37" s="591"/>
      <c r="B37" s="524" t="s">
        <v>764</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388"/>
      <c r="Q37" s="1569" t="str">
        <f t="shared" si="11"/>
        <v>成新度</v>
      </c>
      <c r="R37" s="1570" t="s">
        <v>8</v>
      </c>
      <c r="S37" s="1571">
        <f t="shared" si="12"/>
        <v>100</v>
      </c>
      <c r="T37" s="1570" t="s">
        <v>8</v>
      </c>
      <c r="U37" s="1571">
        <f t="shared" si="13"/>
        <v>100</v>
      </c>
      <c r="V37" s="1570" t="s">
        <v>8</v>
      </c>
      <c r="W37" s="1571">
        <f t="shared" si="14"/>
        <v>100</v>
      </c>
      <c r="X37" s="1564"/>
      <c r="Y37" s="3388"/>
      <c r="Z37" s="1572" t="str">
        <f t="shared" si="15"/>
        <v>成新度</v>
      </c>
      <c r="AA37" s="1573">
        <f t="shared" si="3"/>
        <v>1</v>
      </c>
      <c r="AB37" s="1573">
        <f t="shared" si="4"/>
        <v>1</v>
      </c>
      <c r="AC37" s="1573">
        <f t="shared" si="5"/>
        <v>1</v>
      </c>
    </row>
    <row r="38" spans="1:29" s="1216" customFormat="1" ht="15">
      <c r="A38" s="597"/>
      <c r="B38" s="524" t="s">
        <v>781</v>
      </c>
      <c r="C38" s="3184" t="s">
        <v>3049</v>
      </c>
      <c r="D38" s="254">
        <v>100</v>
      </c>
      <c r="E38" s="3184" t="s">
        <v>3049</v>
      </c>
      <c r="F38" s="572">
        <f>SUMIF(113:113,E38,114:114)-SUMIF(113:113,C38,114:114)+100</f>
        <v>100</v>
      </c>
      <c r="G38" s="3184" t="s">
        <v>3049</v>
      </c>
      <c r="H38" s="537">
        <f>SUMIF(113:113,G38,114:114)-SUMIF(113:113,C38,114:114)+100</f>
        <v>100</v>
      </c>
      <c r="I38" s="3184" t="s">
        <v>3049</v>
      </c>
      <c r="J38" s="537">
        <f>SUMIF(113:113,I38,114:114)-SUMIF(113:113,C38,114:114)+100</f>
        <v>100</v>
      </c>
      <c r="K38" s="581">
        <v>1</v>
      </c>
      <c r="L38" s="2133"/>
      <c r="M38" s="2134"/>
      <c r="N38" s="2134"/>
      <c r="O38" s="2134"/>
      <c r="P38" s="3388"/>
      <c r="Q38" s="1147" t="str">
        <f t="shared" si="11"/>
        <v>写字楼等级</v>
      </c>
      <c r="R38" s="1565" t="s">
        <v>8</v>
      </c>
      <c r="S38" s="1566">
        <f t="shared" si="12"/>
        <v>100</v>
      </c>
      <c r="T38" s="1565" t="s">
        <v>8</v>
      </c>
      <c r="U38" s="1566">
        <f t="shared" si="13"/>
        <v>100</v>
      </c>
      <c r="V38" s="1565" t="s">
        <v>8</v>
      </c>
      <c r="W38" s="1566">
        <f t="shared" si="14"/>
        <v>100</v>
      </c>
      <c r="X38" s="1567"/>
      <c r="Y38" s="3388"/>
      <c r="Z38" s="1146" t="str">
        <f t="shared" si="15"/>
        <v>写字楼等级</v>
      </c>
      <c r="AA38" s="1568">
        <f t="shared" si="3"/>
        <v>1</v>
      </c>
      <c r="AB38" s="1568">
        <f t="shared" si="4"/>
        <v>1</v>
      </c>
      <c r="AC38" s="1568">
        <f t="shared" si="5"/>
        <v>1</v>
      </c>
    </row>
    <row r="39" spans="1:29" ht="15">
      <c r="A39" s="591"/>
      <c r="B39" s="524" t="s">
        <v>782</v>
      </c>
      <c r="C39" s="3184" t="s">
        <v>3050</v>
      </c>
      <c r="D39" s="537">
        <v>100</v>
      </c>
      <c r="E39" s="3184" t="s">
        <v>3050</v>
      </c>
      <c r="F39" s="572">
        <f>SUMIF(115:115,E39,116:116)-SUMIF(115:115,C39,116:116)+100</f>
        <v>100</v>
      </c>
      <c r="G39" s="3184" t="s">
        <v>3050</v>
      </c>
      <c r="H39" s="537">
        <f>SUMIF(115:115,G39,116:116)-SUMIF(115:115,C39,116:116)+100</f>
        <v>100</v>
      </c>
      <c r="I39" s="3184" t="s">
        <v>3050</v>
      </c>
      <c r="J39" s="537">
        <f>SUMIF(115:115,I39,116:116)-SUMIF(115:115,C39,116:116)+100</f>
        <v>100</v>
      </c>
      <c r="K39" s="581">
        <v>2</v>
      </c>
      <c r="L39" s="2140"/>
      <c r="M39" s="2132"/>
      <c r="N39" s="2132"/>
      <c r="O39" s="2132"/>
      <c r="P39" s="3388" t="s">
        <v>550</v>
      </c>
      <c r="Q39" s="1569" t="str">
        <f t="shared" si="11"/>
        <v>物业管理</v>
      </c>
      <c r="R39" s="1570" t="s">
        <v>8</v>
      </c>
      <c r="S39" s="1571">
        <f t="shared" si="12"/>
        <v>100</v>
      </c>
      <c r="T39" s="1570" t="s">
        <v>8</v>
      </c>
      <c r="U39" s="1571">
        <f t="shared" si="13"/>
        <v>100</v>
      </c>
      <c r="V39" s="1570" t="s">
        <v>8</v>
      </c>
      <c r="W39" s="1571">
        <f t="shared" si="14"/>
        <v>100</v>
      </c>
      <c r="X39" s="1564"/>
      <c r="Y39" s="3388" t="s">
        <v>550</v>
      </c>
      <c r="Z39" s="1572" t="str">
        <f t="shared" si="15"/>
        <v>物业管理</v>
      </c>
      <c r="AA39" s="1573">
        <f t="shared" si="3"/>
        <v>1</v>
      </c>
      <c r="AB39" s="1573">
        <f t="shared" si="4"/>
        <v>1</v>
      </c>
      <c r="AC39" s="1573">
        <f t="shared" si="5"/>
        <v>1</v>
      </c>
    </row>
    <row r="40" spans="1:29" ht="15">
      <c r="A40" s="591"/>
      <c r="B40" s="1893" t="s">
        <v>2571</v>
      </c>
      <c r="C40" s="3184" t="s">
        <v>3043</v>
      </c>
      <c r="D40" s="537">
        <v>100</v>
      </c>
      <c r="E40" s="3184" t="s">
        <v>3043</v>
      </c>
      <c r="F40" s="572">
        <f>SUMIF(117:117,E40,118:118)-SUMIF(117:117,C40,118:118)+100</f>
        <v>100</v>
      </c>
      <c r="G40" s="3184" t="s">
        <v>3043</v>
      </c>
      <c r="H40" s="537">
        <f>SUMIF(117:117,G40,118:118)-SUMIF(117:117,C40,118:118)+100</f>
        <v>100</v>
      </c>
      <c r="I40" s="3184" t="s">
        <v>3043</v>
      </c>
      <c r="J40" s="537">
        <f>SUMIF(117:117,I40,118:118)-SUMIF(117:117,C40,118:118)+100</f>
        <v>100</v>
      </c>
      <c r="K40" s="581">
        <v>1</v>
      </c>
      <c r="L40" s="2140"/>
      <c r="M40" s="2132"/>
      <c r="N40" s="2132"/>
      <c r="O40" s="2132"/>
      <c r="P40" s="3388"/>
      <c r="Q40" s="1569" t="str">
        <f t="shared" si="11"/>
        <v>市政基础设施</v>
      </c>
      <c r="R40" s="1570" t="s">
        <v>8</v>
      </c>
      <c r="S40" s="1571">
        <f t="shared" si="12"/>
        <v>100</v>
      </c>
      <c r="T40" s="1570" t="s">
        <v>8</v>
      </c>
      <c r="U40" s="1571">
        <f t="shared" si="13"/>
        <v>100</v>
      </c>
      <c r="V40" s="1570" t="s">
        <v>8</v>
      </c>
      <c r="W40" s="1571">
        <f t="shared" si="14"/>
        <v>100</v>
      </c>
      <c r="X40" s="1564"/>
      <c r="Y40" s="3388"/>
      <c r="Z40" s="1572" t="str">
        <f t="shared" si="15"/>
        <v>市政基础设施</v>
      </c>
      <c r="AA40" s="1573">
        <f t="shared" si="3"/>
        <v>1</v>
      </c>
      <c r="AB40" s="1573">
        <f t="shared" si="4"/>
        <v>1</v>
      </c>
      <c r="AC40" s="1573">
        <f t="shared" si="5"/>
        <v>1</v>
      </c>
    </row>
    <row r="41" spans="1:29" ht="15">
      <c r="A41" s="591"/>
      <c r="B41" s="524" t="s">
        <v>767</v>
      </c>
      <c r="C41" s="3182" t="s">
        <v>3051</v>
      </c>
      <c r="D41" s="537">
        <v>100</v>
      </c>
      <c r="E41" s="3182" t="s">
        <v>3051</v>
      </c>
      <c r="F41" s="572">
        <f>SUMIF(119:119,E41,120:120)-SUMIF(119:119,C41,120:120)+100</f>
        <v>100</v>
      </c>
      <c r="G41" s="3182" t="s">
        <v>3051</v>
      </c>
      <c r="H41" s="537">
        <f>SUMIF(119:119,G41,120:120)-SUMIF(119:119,C41,120:120)+100</f>
        <v>100</v>
      </c>
      <c r="I41" s="3182" t="s">
        <v>3051</v>
      </c>
      <c r="J41" s="537">
        <f>SUMIF(119:119,I41,120:120)-SUMIF(119:119,C41,120:120)+100</f>
        <v>100</v>
      </c>
      <c r="K41" s="581">
        <v>2</v>
      </c>
      <c r="L41" s="2140"/>
      <c r="M41" s="2132"/>
      <c r="N41" s="2132"/>
      <c r="O41" s="2132"/>
      <c r="P41" s="3388"/>
      <c r="Q41" s="1569" t="str">
        <f t="shared" si="11"/>
        <v>层高</v>
      </c>
      <c r="R41" s="1570" t="s">
        <v>8</v>
      </c>
      <c r="S41" s="1571">
        <f t="shared" si="12"/>
        <v>100</v>
      </c>
      <c r="T41" s="1570" t="s">
        <v>8</v>
      </c>
      <c r="U41" s="1571">
        <f t="shared" si="13"/>
        <v>100</v>
      </c>
      <c r="V41" s="1570" t="s">
        <v>8</v>
      </c>
      <c r="W41" s="1571">
        <f t="shared" si="14"/>
        <v>100</v>
      </c>
      <c r="X41" s="1564"/>
      <c r="Y41" s="3388"/>
      <c r="Z41" s="1572" t="str">
        <f t="shared" si="15"/>
        <v>层高</v>
      </c>
      <c r="AA41" s="1573">
        <f t="shared" si="3"/>
        <v>1</v>
      </c>
      <c r="AB41" s="1573">
        <f t="shared" si="4"/>
        <v>1</v>
      </c>
      <c r="AC41" s="1573">
        <f t="shared" si="5"/>
        <v>1</v>
      </c>
    </row>
    <row r="42" spans="1:29" s="1335" customFormat="1" ht="15" hidden="1">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388"/>
      <c r="Q42" s="1602" t="str">
        <f t="shared" si="11"/>
        <v>单套建筑面积</v>
      </c>
      <c r="R42" s="1574" t="s">
        <v>8</v>
      </c>
      <c r="S42" s="1575">
        <f t="shared" si="12"/>
        <v>100</v>
      </c>
      <c r="T42" s="1574" t="s">
        <v>8</v>
      </c>
      <c r="U42" s="1575">
        <f t="shared" si="13"/>
        <v>100</v>
      </c>
      <c r="V42" s="1574" t="s">
        <v>8</v>
      </c>
      <c r="W42" s="1575">
        <f t="shared" si="14"/>
        <v>100</v>
      </c>
      <c r="X42" s="1576"/>
      <c r="Y42" s="3388"/>
      <c r="Z42" s="1577" t="str">
        <f t="shared" si="15"/>
        <v>单套建筑面积</v>
      </c>
      <c r="AA42" s="1573">
        <f t="shared" si="3"/>
        <v>1</v>
      </c>
      <c r="AB42" s="1573">
        <f t="shared" si="4"/>
        <v>1</v>
      </c>
      <c r="AC42" s="1573">
        <f t="shared" si="5"/>
        <v>1</v>
      </c>
    </row>
    <row r="43" spans="1:29" ht="15">
      <c r="A43" s="591"/>
      <c r="B43" s="524" t="s">
        <v>770</v>
      </c>
      <c r="C43" s="3184" t="s">
        <v>3052</v>
      </c>
      <c r="D43" s="537">
        <v>100</v>
      </c>
      <c r="E43" s="3184" t="s">
        <v>3052</v>
      </c>
      <c r="F43" s="572">
        <f>SUMIF(123:123,E43,124:124)-SUMIF(123:123,C43,124:124)+100</f>
        <v>100</v>
      </c>
      <c r="G43" s="3184" t="s">
        <v>3052</v>
      </c>
      <c r="H43" s="537">
        <f>SUMIF(123:123,G43,124:124)-SUMIF(123:123,C43,124:124)+100</f>
        <v>100</v>
      </c>
      <c r="I43" s="3184" t="s">
        <v>3052</v>
      </c>
      <c r="J43" s="537">
        <f>SUMIF(123:123,I43,124:124)-SUMIF(123:123,C43,124:124)+100</f>
        <v>100</v>
      </c>
      <c r="K43" s="581">
        <v>2</v>
      </c>
      <c r="L43" s="2140"/>
      <c r="M43" s="2132"/>
      <c r="N43" s="2132"/>
      <c r="O43" s="2132"/>
      <c r="P43" s="3388"/>
      <c r="Q43" s="1569" t="str">
        <f t="shared" si="11"/>
        <v>内部装修</v>
      </c>
      <c r="R43" s="1570" t="s">
        <v>8</v>
      </c>
      <c r="S43" s="1571">
        <f t="shared" si="12"/>
        <v>100</v>
      </c>
      <c r="T43" s="1570" t="s">
        <v>8</v>
      </c>
      <c r="U43" s="1571">
        <f t="shared" si="13"/>
        <v>100</v>
      </c>
      <c r="V43" s="1570" t="s">
        <v>8</v>
      </c>
      <c r="W43" s="1571">
        <f t="shared" si="14"/>
        <v>100</v>
      </c>
      <c r="X43" s="1564"/>
      <c r="Y43" s="3388"/>
      <c r="Z43" s="1572" t="str">
        <f t="shared" si="15"/>
        <v>内部装修</v>
      </c>
      <c r="AA43" s="1573">
        <f t="shared" si="3"/>
        <v>1</v>
      </c>
      <c r="AB43" s="1573">
        <f t="shared" si="4"/>
        <v>1</v>
      </c>
      <c r="AC43" s="1573">
        <f t="shared" si="5"/>
        <v>1</v>
      </c>
    </row>
    <row r="44" spans="1:29" ht="27.75" thickBot="1">
      <c r="A44" s="591"/>
      <c r="B44" s="524" t="s">
        <v>735</v>
      </c>
      <c r="C44" s="3184" t="s">
        <v>3041</v>
      </c>
      <c r="D44" s="537">
        <v>100</v>
      </c>
      <c r="E44" s="3184" t="s">
        <v>3041</v>
      </c>
      <c r="F44" s="572">
        <f>SUMIF(125:125,E44,126:126)-SUMIF(125:125,C44,126:126)+100</f>
        <v>100</v>
      </c>
      <c r="G44" s="3184" t="s">
        <v>3041</v>
      </c>
      <c r="H44" s="537">
        <f>SUMIF(125:125,G44,126:126)-SUMIF(125:125,C44,126:126)+100</f>
        <v>100</v>
      </c>
      <c r="I44" s="3184" t="s">
        <v>3041</v>
      </c>
      <c r="J44" s="537">
        <f>SUMIF(125:125,I44,126:126)-SUMIF(125:125,C44,126:126)+100</f>
        <v>100</v>
      </c>
      <c r="K44" s="581">
        <v>2</v>
      </c>
      <c r="L44" s="2140"/>
      <c r="M44" s="2132"/>
      <c r="N44" s="2132"/>
      <c r="O44" s="2132"/>
      <c r="P44" s="3388"/>
      <c r="Q44" s="1569" t="str">
        <f t="shared" si="11"/>
        <v>内部装修维护情况</v>
      </c>
      <c r="R44" s="1570" t="s">
        <v>8</v>
      </c>
      <c r="S44" s="1571">
        <f t="shared" si="12"/>
        <v>100</v>
      </c>
      <c r="T44" s="1570" t="s">
        <v>8</v>
      </c>
      <c r="U44" s="1571">
        <f t="shared" si="13"/>
        <v>100</v>
      </c>
      <c r="V44" s="1570" t="s">
        <v>8</v>
      </c>
      <c r="W44" s="1571">
        <f t="shared" si="14"/>
        <v>100</v>
      </c>
      <c r="X44" s="1564"/>
      <c r="Y44" s="338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388"/>
      <c r="Q45" s="1147">
        <f t="shared" si="11"/>
        <v>111</v>
      </c>
      <c r="R45" s="1565" t="s">
        <v>8</v>
      </c>
      <c r="S45" s="1566">
        <f t="shared" si="12"/>
        <v>100</v>
      </c>
      <c r="T45" s="1565" t="s">
        <v>8</v>
      </c>
      <c r="U45" s="1566">
        <f t="shared" si="13"/>
        <v>100</v>
      </c>
      <c r="V45" s="1565" t="s">
        <v>8</v>
      </c>
      <c r="W45" s="1566">
        <f t="shared" si="14"/>
        <v>100</v>
      </c>
      <c r="X45" s="1567"/>
      <c r="Y45" s="338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388"/>
      <c r="Q46" s="1569">
        <f t="shared" si="11"/>
        <v>111</v>
      </c>
      <c r="R46" s="1570" t="s">
        <v>8</v>
      </c>
      <c r="S46" s="1571">
        <f t="shared" si="12"/>
        <v>100</v>
      </c>
      <c r="T46" s="1570" t="s">
        <v>8</v>
      </c>
      <c r="U46" s="1571">
        <f t="shared" si="13"/>
        <v>100</v>
      </c>
      <c r="V46" s="1570" t="s">
        <v>8</v>
      </c>
      <c r="W46" s="1571">
        <f t="shared" si="14"/>
        <v>100</v>
      </c>
      <c r="X46" s="1564"/>
      <c r="Y46" s="338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6"/>
      <c r="Q47" s="1569">
        <f t="shared" si="11"/>
        <v>111</v>
      </c>
      <c r="R47" s="1570" t="s">
        <v>8</v>
      </c>
      <c r="S47" s="1571">
        <f t="shared" si="12"/>
        <v>100</v>
      </c>
      <c r="T47" s="1570" t="s">
        <v>8</v>
      </c>
      <c r="U47" s="1571">
        <f t="shared" si="13"/>
        <v>100</v>
      </c>
      <c r="V47" s="1570" t="s">
        <v>8</v>
      </c>
      <c r="W47" s="1571">
        <f t="shared" si="14"/>
        <v>100</v>
      </c>
      <c r="X47" s="1564"/>
      <c r="Y47" s="3466"/>
      <c r="Z47" s="1572">
        <f t="shared" si="15"/>
        <v>111</v>
      </c>
      <c r="AA47" s="1573">
        <f t="shared" si="3"/>
        <v>1</v>
      </c>
      <c r="AB47" s="1573">
        <f t="shared" si="4"/>
        <v>1</v>
      </c>
      <c r="AC47" s="1573">
        <f t="shared" si="5"/>
        <v>1</v>
      </c>
    </row>
    <row r="48" spans="1:29" ht="15">
      <c r="A48" s="604" t="s">
        <v>736</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406" t="str">
        <f>A48</f>
        <v>成交单价（元/平方米）</v>
      </c>
      <c r="Q48" s="3383"/>
      <c r="R48" s="3465">
        <f>E48</f>
        <v>21560</v>
      </c>
      <c r="S48" s="3465"/>
      <c r="T48" s="3465">
        <f>G48</f>
        <v>18620</v>
      </c>
      <c r="U48" s="3465"/>
      <c r="V48" s="3465">
        <f>I48</f>
        <v>16660</v>
      </c>
      <c r="W48" s="3465"/>
      <c r="X48" s="1556"/>
      <c r="Y48" s="1578"/>
      <c r="Z48" s="1556"/>
      <c r="AA48" s="1556"/>
      <c r="AB48" s="1556"/>
      <c r="AC48" s="1556"/>
    </row>
    <row r="49" spans="1:29" ht="15.75" thickBot="1">
      <c r="A49" s="612" t="s">
        <v>2768</v>
      </c>
      <c r="B49" s="884"/>
      <c r="C49" s="2655">
        <f>R50</f>
        <v>18566</v>
      </c>
      <c r="D49" s="2656"/>
      <c r="E49" s="2657">
        <f>R49</f>
        <v>18748</v>
      </c>
      <c r="F49" s="2657"/>
      <c r="G49" s="2655">
        <f>T49</f>
        <v>17733</v>
      </c>
      <c r="H49" s="2656"/>
      <c r="I49" s="2657">
        <f>V49</f>
        <v>19217</v>
      </c>
      <c r="J49" s="2656"/>
      <c r="K49" s="1609"/>
      <c r="L49" s="2142"/>
      <c r="M49" s="2132"/>
      <c r="N49" s="2132"/>
      <c r="O49" s="2132"/>
      <c r="P49" s="3406" t="str">
        <f>A49</f>
        <v>比较价格（元/平方米）</v>
      </c>
      <c r="Q49" s="3383"/>
      <c r="R49" s="3465">
        <f>IF(F1="售价",ROUND(PRODUCT(R48,AA7:AA47),0),ROUND(PRODUCT(R48,AA7:AA47),1))</f>
        <v>18748</v>
      </c>
      <c r="S49" s="3465"/>
      <c r="T49" s="3465">
        <f>IF(F1="售价",ROUND(PRODUCT(T48,AB7:AB47),0),ROUND(PRODUCT(T48,AB7:AB47),1))</f>
        <v>17733</v>
      </c>
      <c r="U49" s="3465"/>
      <c r="V49" s="3465">
        <f>IF(F1="售价",ROUND(PRODUCT(V48,AC7:AC47),0),ROUND(PRODUCT(V48,AC7:AC47),1))</f>
        <v>19217</v>
      </c>
      <c r="W49" s="3465"/>
      <c r="X49" s="1556"/>
      <c r="Y49" s="1556"/>
      <c r="Z49" s="1556"/>
      <c r="AA49" s="1556"/>
      <c r="AB49" s="1556"/>
      <c r="AC49" s="1556"/>
    </row>
    <row r="50" spans="1:29" ht="15.75" thickBot="1">
      <c r="A50" s="618" t="s">
        <v>2945</v>
      </c>
      <c r="B50" s="619"/>
      <c r="C50" s="2658">
        <f>R50</f>
        <v>18566</v>
      </c>
      <c r="D50" s="2658"/>
      <c r="E50" s="2658"/>
      <c r="F50" s="2658"/>
      <c r="G50" s="2658"/>
      <c r="H50" s="2658"/>
      <c r="I50" s="2658"/>
      <c r="J50" s="2658"/>
      <c r="K50" s="1610"/>
      <c r="L50" s="2142"/>
      <c r="M50" s="2132"/>
      <c r="N50" s="2132"/>
      <c r="O50" s="2132"/>
      <c r="P50" s="3470" t="str">
        <f>A50</f>
        <v>估价对象XX用房的比较价格（楼面单价，元/平方米）</v>
      </c>
      <c r="Q50" s="3406"/>
      <c r="R50" s="3464">
        <f>IF(F1="售价",ROUND(AVERAGE(R49:V49),0),ROUND(AVERAGE(R49:V49),1))</f>
        <v>18566</v>
      </c>
      <c r="S50" s="3464"/>
      <c r="T50" s="3464"/>
      <c r="U50" s="3464"/>
      <c r="V50" s="3464"/>
      <c r="W50" s="3464"/>
      <c r="X50" s="1556"/>
      <c r="Y50" s="1556"/>
      <c r="Z50" s="1556"/>
      <c r="AA50" s="1556"/>
      <c r="AB50" s="1556"/>
      <c r="AC50" s="1556"/>
    </row>
    <row r="51" spans="1:29">
      <c r="A51" s="2143"/>
      <c r="B51" s="2143"/>
      <c r="C51" s="3189" t="s">
        <v>3057</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557</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558</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559</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529</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575</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531</v>
      </c>
      <c r="B62" s="645"/>
      <c r="C62" s="657" t="s">
        <v>576</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577</v>
      </c>
      <c r="B64" s="662" t="s">
        <v>534</v>
      </c>
      <c r="C64" s="701" t="str">
        <f>C9</f>
        <v>办公</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538</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539</v>
      </c>
      <c r="B77" s="662" t="s">
        <v>585</v>
      </c>
      <c r="C77" s="700" t="s">
        <v>579</v>
      </c>
      <c r="D77" s="700" t="s">
        <v>580</v>
      </c>
      <c r="E77" s="700" t="s">
        <v>581</v>
      </c>
      <c r="F77" s="700" t="s">
        <v>582</v>
      </c>
      <c r="G77" s="700" t="s">
        <v>583</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586</v>
      </c>
      <c r="C79" s="705" t="s">
        <v>579</v>
      </c>
      <c r="D79" s="705" t="s">
        <v>580</v>
      </c>
      <c r="E79" s="705" t="s">
        <v>581</v>
      </c>
      <c r="F79" s="705" t="s">
        <v>582</v>
      </c>
      <c r="G79" s="705" t="s">
        <v>583</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2563</v>
      </c>
      <c r="C81" s="705" t="s">
        <v>579</v>
      </c>
      <c r="D81" s="705" t="s">
        <v>580</v>
      </c>
      <c r="E81" s="705" t="s">
        <v>581</v>
      </c>
      <c r="F81" s="705" t="s">
        <v>582</v>
      </c>
      <c r="G81" s="705" t="s">
        <v>583</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2564</v>
      </c>
      <c r="C83" s="2620" t="s">
        <v>2565</v>
      </c>
      <c r="D83" s="2620" t="s">
        <v>2566</v>
      </c>
      <c r="E83" s="2620" t="s">
        <v>2567</v>
      </c>
      <c r="F83" s="2620" t="s">
        <v>2568</v>
      </c>
      <c r="G83" s="2620" t="s">
        <v>2569</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784</v>
      </c>
      <c r="C85" s="705" t="s">
        <v>579</v>
      </c>
      <c r="D85" s="705" t="s">
        <v>580</v>
      </c>
      <c r="E85" s="705" t="s">
        <v>581</v>
      </c>
      <c r="F85" s="705" t="s">
        <v>582</v>
      </c>
      <c r="G85" s="705" t="s">
        <v>583</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785</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551</v>
      </c>
      <c r="B101" s="662" t="s">
        <v>747</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748</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749</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751</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786</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753</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2562</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787</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775</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755</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1726</v>
      </c>
      <c r="B1" s="735"/>
      <c r="C1" s="770" t="s">
        <v>2987</v>
      </c>
      <c r="D1" s="3155" t="s">
        <v>2998</v>
      </c>
      <c r="E1" s="2409" t="s">
        <v>2378</v>
      </c>
      <c r="F1" s="2410">
        <f ca="1">J53</f>
        <v>37.89</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1727</v>
      </c>
      <c r="B2" s="772">
        <f ca="1">C40+J29+L46</f>
        <v>16421</v>
      </c>
      <c r="C2" s="2055"/>
      <c r="D2" s="2053"/>
      <c r="E2" s="2054"/>
      <c r="F2" s="2054"/>
      <c r="G2" s="1587"/>
      <c r="H2" s="2055"/>
      <c r="I2" s="2055"/>
      <c r="J2" s="2055"/>
      <c r="K2" s="2056"/>
      <c r="L2" s="2055"/>
      <c r="M2" s="2055"/>
    </row>
    <row r="3" spans="1:33" ht="18" customHeight="1" thickBot="1">
      <c r="A3" s="830" t="s">
        <v>1728</v>
      </c>
      <c r="B3" s="831">
        <f ca="1">IF(ISERROR(B2*10000/F43),0,ROUND(B2*10000/F43,0))</f>
        <v>23459</v>
      </c>
      <c r="C3" s="2055"/>
      <c r="D3" s="2053"/>
      <c r="E3" s="2054"/>
      <c r="F3" s="2054"/>
      <c r="G3" s="1587"/>
      <c r="H3" s="773" t="s">
        <v>695</v>
      </c>
      <c r="I3" s="1359"/>
      <c r="J3" s="1359"/>
      <c r="K3" s="1588"/>
      <c r="L3" s="1359"/>
      <c r="M3" s="1359"/>
    </row>
    <row r="4" spans="1:33" ht="18" customHeight="1">
      <c r="A4" s="774" t="s">
        <v>1729</v>
      </c>
      <c r="B4" s="775" t="s">
        <v>1730</v>
      </c>
      <c r="C4" s="775" t="s">
        <v>1731</v>
      </c>
      <c r="D4" s="775" t="s">
        <v>633</v>
      </c>
      <c r="E4" s="776" t="s">
        <v>1732</v>
      </c>
      <c r="F4" s="777"/>
      <c r="G4" s="1589"/>
      <c r="H4" s="774" t="s">
        <v>1733</v>
      </c>
      <c r="I4" s="775" t="s">
        <v>1734</v>
      </c>
      <c r="J4" s="775" t="s">
        <v>1735</v>
      </c>
      <c r="K4" s="775" t="s">
        <v>1736</v>
      </c>
      <c r="L4" s="776" t="s">
        <v>1737</v>
      </c>
      <c r="M4" s="777"/>
    </row>
    <row r="5" spans="1:33" ht="18" customHeight="1">
      <c r="A5" s="778">
        <v>1</v>
      </c>
      <c r="B5" s="779" t="s">
        <v>2463</v>
      </c>
      <c r="C5" s="55">
        <f ca="1">C6+C10+C12</f>
        <v>921</v>
      </c>
      <c r="D5" s="2518" t="s">
        <v>2466</v>
      </c>
      <c r="E5" s="2512"/>
      <c r="F5" s="2513"/>
      <c r="G5" s="1589"/>
      <c r="H5" s="778">
        <v>1</v>
      </c>
      <c r="I5" s="779" t="s">
        <v>2463</v>
      </c>
      <c r="J5" s="55">
        <f ca="1">J6+J10+J12</f>
        <v>0</v>
      </c>
      <c r="K5" s="2518" t="s">
        <v>2466</v>
      </c>
      <c r="L5" s="2512"/>
      <c r="M5" s="2513"/>
    </row>
    <row r="6" spans="1:33" ht="18" customHeight="1">
      <c r="A6" s="1828" t="s">
        <v>1825</v>
      </c>
      <c r="B6" s="3445" t="s">
        <v>2468</v>
      </c>
      <c r="C6" s="780">
        <f ca="1">ROUND(F6*F8*F7*(1-F9)/10000,0)</f>
        <v>920</v>
      </c>
      <c r="D6" s="2519" t="s">
        <v>2467</v>
      </c>
      <c r="E6" s="781" t="s">
        <v>1739</v>
      </c>
      <c r="F6" s="782">
        <f ca="1">INDIRECT("'数据-取费表'!u"&amp;$G$1)</f>
        <v>4</v>
      </c>
      <c r="G6" s="1589"/>
      <c r="H6" s="2526" t="s">
        <v>2474</v>
      </c>
      <c r="I6" s="3445" t="s">
        <v>2468</v>
      </c>
      <c r="J6" s="780">
        <f ca="1">ROUND(M6*M8*M7*(1-M9)/10000,0)</f>
        <v>0</v>
      </c>
      <c r="K6" s="338" t="s">
        <v>1738</v>
      </c>
      <c r="L6" s="781" t="s">
        <v>1739</v>
      </c>
      <c r="M6" s="782">
        <f ca="1">INDIRECT("'数据-取费表'!z"&amp;$G$1)</f>
        <v>0</v>
      </c>
    </row>
    <row r="7" spans="1:33" ht="18" customHeight="1">
      <c r="A7" s="2522"/>
      <c r="B7" s="3446"/>
      <c r="C7" s="785"/>
      <c r="D7" s="786"/>
      <c r="E7" s="781" t="s">
        <v>1740</v>
      </c>
      <c r="F7" s="782">
        <f ca="1">IF(INDIRECT("'数据-取费表'!ah"&amp;$G$1)="",INDIRECT("'数据-取费表'!k"&amp;$G$1),INDIRECT("'数据-取费表'!ah"&amp;$G$1))</f>
        <v>7000</v>
      </c>
      <c r="G7" s="1589"/>
      <c r="H7" s="2511"/>
      <c r="I7" s="3446"/>
      <c r="J7" s="785"/>
      <c r="K7" s="786"/>
      <c r="L7" s="781" t="s">
        <v>1740</v>
      </c>
      <c r="M7" s="782">
        <f ca="1">F7</f>
        <v>7000</v>
      </c>
    </row>
    <row r="8" spans="1:33" ht="18" customHeight="1">
      <c r="A8" s="2515"/>
      <c r="B8" s="3447"/>
      <c r="C8" s="785"/>
      <c r="D8" s="786"/>
      <c r="E8" s="781" t="s">
        <v>1741</v>
      </c>
      <c r="F8" s="782">
        <f ca="1">INDIRECT("'数据-取费表'!ai"&amp;$G$1)</f>
        <v>365</v>
      </c>
      <c r="G8" s="1589"/>
      <c r="H8" s="2511"/>
      <c r="I8" s="3447"/>
      <c r="J8" s="785"/>
      <c r="K8" s="786"/>
      <c r="L8" s="781" t="s">
        <v>1741</v>
      </c>
      <c r="M8" s="782">
        <f ca="1">INDIRECT("'数据-取费表'!ai"&amp;$G$1)</f>
        <v>365</v>
      </c>
    </row>
    <row r="9" spans="1:33" ht="18" customHeight="1">
      <c r="A9" s="783"/>
      <c r="B9" s="3448"/>
      <c r="C9" s="785"/>
      <c r="D9" s="786"/>
      <c r="E9" s="781" t="s">
        <v>1742</v>
      </c>
      <c r="F9" s="791">
        <f ca="1">INDIRECT("'数据-取费表'!w"&amp;$G$1)</f>
        <v>0.1</v>
      </c>
      <c r="G9" s="1589"/>
      <c r="H9" s="2527"/>
      <c r="I9" s="3447"/>
      <c r="J9" s="785"/>
      <c r="K9" s="786"/>
      <c r="L9" s="792" t="s">
        <v>1742</v>
      </c>
      <c r="M9" s="793">
        <f ca="1">INDIRECT("'数据-取费表'!ab"&amp;$G$1)</f>
        <v>0</v>
      </c>
    </row>
    <row r="10" spans="1:33" ht="18" customHeight="1">
      <c r="A10" s="1828" t="s">
        <v>2472</v>
      </c>
      <c r="B10" s="2516" t="s">
        <v>2464</v>
      </c>
      <c r="C10" s="796">
        <f ca="1">ROUND(IF(F10="押一",F6*F8*F7/12*F11,IF(F10="押二",F6*F8*F7/12*2*F11,IF(F10="押三",F6*F8*F7/12*3*F11,C11*F11)))/10000,0)</f>
        <v>1</v>
      </c>
      <c r="D10" s="2523" t="s">
        <v>2471</v>
      </c>
      <c r="E10" s="2520" t="s">
        <v>2469</v>
      </c>
      <c r="F10" s="2643" t="s">
        <v>3036</v>
      </c>
      <c r="G10" s="1589"/>
      <c r="H10" s="2583" t="s">
        <v>2475</v>
      </c>
      <c r="I10" s="2588" t="s">
        <v>2464</v>
      </c>
      <c r="J10" s="780">
        <f ca="1">ROUND(IF(M10="押一",M6*M8*M7/12*M11,IF(M10="押二",M6*M8*M7/12*2*M11,IF(M10="押三",M6*M8*M7/12*3*M11,J11*M11)))/10000,0)</f>
        <v>0</v>
      </c>
      <c r="K10" s="2523" t="s">
        <v>2471</v>
      </c>
      <c r="L10" s="2520" t="s">
        <v>2469</v>
      </c>
      <c r="M10" s="2643"/>
    </row>
    <row r="11" spans="1:33" ht="18" customHeight="1">
      <c r="A11" s="787"/>
      <c r="B11" s="2517" t="s">
        <v>2579</v>
      </c>
      <c r="C11" s="2521"/>
      <c r="D11" s="786"/>
      <c r="E11" s="2520" t="s">
        <v>2470</v>
      </c>
      <c r="F11" s="793">
        <f ca="1">'数据-取费表'!B39</f>
        <v>1.4999999999999999E-2</v>
      </c>
      <c r="G11" s="1589"/>
      <c r="H11" s="2584"/>
      <c r="I11" s="2517" t="s">
        <v>2579</v>
      </c>
      <c r="J11" s="2521"/>
      <c r="K11" s="2585"/>
      <c r="L11" s="2520" t="s">
        <v>2470</v>
      </c>
      <c r="M11" s="2514">
        <f ca="1">'数据-取费表'!B39</f>
        <v>1.4999999999999999E-2</v>
      </c>
    </row>
    <row r="12" spans="1:33" ht="18" customHeight="1" thickBot="1">
      <c r="A12" s="2559" t="s">
        <v>2473</v>
      </c>
      <c r="B12" s="2560" t="s">
        <v>2465</v>
      </c>
      <c r="C12" s="2561"/>
      <c r="D12" s="2562"/>
      <c r="E12" s="2563"/>
      <c r="F12" s="2564"/>
      <c r="G12" s="1589"/>
      <c r="H12" s="2573" t="s">
        <v>2476</v>
      </c>
      <c r="I12" s="2586" t="s">
        <v>2465</v>
      </c>
      <c r="J12" s="2587"/>
      <c r="K12" s="2562"/>
      <c r="L12" s="2563"/>
      <c r="M12" s="2576"/>
    </row>
    <row r="13" spans="1:33" ht="18" customHeight="1" thickTop="1">
      <c r="A13" s="1827">
        <v>2</v>
      </c>
      <c r="B13" s="1825" t="s">
        <v>1743</v>
      </c>
      <c r="C13" s="3191">
        <f ca="1">ROUND(C29*F13,0)</f>
        <v>3730</v>
      </c>
      <c r="D13" s="1832" t="s">
        <v>2300</v>
      </c>
      <c r="E13" s="1832" t="s">
        <v>1745</v>
      </c>
      <c r="F13" s="2558">
        <f ca="1">INDIRECT("'数据-取费表'!y"&amp;$G$1)</f>
        <v>1</v>
      </c>
      <c r="G13" s="1589"/>
      <c r="H13" s="1827">
        <v>2</v>
      </c>
      <c r="I13" s="1825" t="s">
        <v>1743</v>
      </c>
      <c r="J13" s="1817">
        <f ca="1">ROUND(J14*J15,0)</f>
        <v>0</v>
      </c>
      <c r="K13" s="1819" t="s">
        <v>1744</v>
      </c>
      <c r="L13" s="2574"/>
      <c r="M13" s="2575"/>
    </row>
    <row r="14" spans="1:33" ht="18" customHeight="1">
      <c r="A14" s="1645" t="s">
        <v>1885</v>
      </c>
      <c r="B14" s="781" t="s">
        <v>645</v>
      </c>
      <c r="C14" s="801">
        <f ca="1">INDIRECT("'数据-取费表'!m"&amp;$G$1)+INDIRECT("'数据-取费表'!t"&amp;$G$1)</f>
        <v>2463</v>
      </c>
      <c r="D14" s="1977" t="s">
        <v>1746</v>
      </c>
      <c r="E14" s="1978"/>
      <c r="F14" s="802"/>
      <c r="G14" s="1589"/>
      <c r="H14" s="1646" t="s">
        <v>1831</v>
      </c>
      <c r="I14" s="2229" t="s">
        <v>2834</v>
      </c>
      <c r="J14" s="53">
        <f ca="1">C29</f>
        <v>3730</v>
      </c>
      <c r="K14" s="26"/>
      <c r="L14" s="798"/>
      <c r="M14" s="799"/>
    </row>
    <row r="15" spans="1:33" s="2062" customFormat="1" ht="18" customHeight="1" thickBot="1">
      <c r="A15" s="1645" t="s">
        <v>1886</v>
      </c>
      <c r="B15" s="781" t="s">
        <v>647</v>
      </c>
      <c r="C15" s="53">
        <f ca="1">ROUND(C14*F15,0)</f>
        <v>74</v>
      </c>
      <c r="D15" s="803" t="s">
        <v>1747</v>
      </c>
      <c r="E15" s="803" t="s">
        <v>1748</v>
      </c>
      <c r="F15" s="804">
        <f>'数据-取费表'!B33</f>
        <v>0.03</v>
      </c>
      <c r="G15" s="1590"/>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1" t="s">
        <v>650</v>
      </c>
      <c r="C16" s="53">
        <f ca="1">ROUND(INDIRECT("'数据-取费表'!m"&amp;$G$1)*F16,0)</f>
        <v>0</v>
      </c>
      <c r="D16" s="781" t="s">
        <v>1747</v>
      </c>
      <c r="E16" s="781" t="s">
        <v>1748</v>
      </c>
      <c r="F16" s="806">
        <f ca="1">IF(INDIRECT("'数据-取费表'!c"&amp;$G$1)="住宅",'数据-取费表'!B34,0)</f>
        <v>0</v>
      </c>
      <c r="G16" s="1589"/>
      <c r="H16" s="1827" t="s">
        <v>1749</v>
      </c>
      <c r="I16" s="1825" t="s">
        <v>1750</v>
      </c>
      <c r="J16" s="789">
        <f ca="1">ROUND(J17+J22+J23+J24,0)</f>
        <v>107</v>
      </c>
      <c r="K16" s="1819" t="s">
        <v>1751</v>
      </c>
      <c r="L16" s="2508"/>
      <c r="M16" s="2513"/>
    </row>
    <row r="17" spans="1:33" s="2062" customFormat="1" ht="18" customHeight="1">
      <c r="A17" s="1645" t="s">
        <v>1888</v>
      </c>
      <c r="B17" s="781" t="s">
        <v>653</v>
      </c>
      <c r="C17" s="53">
        <f ca="1">ROUND(F17*(F43+INDIRECT("'数据-取费表'!S"&amp;$G$1))/10000,0)</f>
        <v>141</v>
      </c>
      <c r="D17" s="781" t="s">
        <v>1752</v>
      </c>
      <c r="E17" s="781" t="s">
        <v>1753</v>
      </c>
      <c r="F17" s="56">
        <f>'数据-取费表'!B35</f>
        <v>200</v>
      </c>
      <c r="G17" s="1590"/>
      <c r="H17" s="1646" t="s">
        <v>1831</v>
      </c>
      <c r="I17" s="781" t="s">
        <v>656</v>
      </c>
      <c r="J17" s="53">
        <f ca="1">ROUND(IF(项目基本情况!B11="自然人",J5*M17,J18+J19+J20),0)</f>
        <v>32</v>
      </c>
      <c r="K17" s="2507" t="s">
        <v>1754</v>
      </c>
      <c r="L17" s="2506" t="s">
        <v>1755</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1" t="s">
        <v>659</v>
      </c>
      <c r="C18" s="53">
        <f ca="1">ROUND(C14*F18,0)</f>
        <v>37</v>
      </c>
      <c r="D18" s="781" t="s">
        <v>1747</v>
      </c>
      <c r="E18" s="781" t="s">
        <v>1748</v>
      </c>
      <c r="F18" s="806">
        <f>'数据-取费表'!B36</f>
        <v>1.4999999999999999E-2</v>
      </c>
      <c r="G18" s="1590"/>
      <c r="H18" s="1645" t="s">
        <v>1885</v>
      </c>
      <c r="I18" s="781" t="s">
        <v>1756</v>
      </c>
      <c r="J18" s="53">
        <f ca="1">ROUND(J5*M18/1.05,1)</f>
        <v>0</v>
      </c>
      <c r="K18" s="2506" t="s">
        <v>1757</v>
      </c>
      <c r="L18" s="781" t="s">
        <v>1748</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1" t="s">
        <v>662</v>
      </c>
      <c r="C19" s="53">
        <f ca="1">SUM(C14:C18)</f>
        <v>2715</v>
      </c>
      <c r="D19" s="260" t="s">
        <v>1758</v>
      </c>
      <c r="E19" s="1980"/>
      <c r="F19" s="56"/>
      <c r="G19" s="1589"/>
      <c r="H19" s="1645" t="s">
        <v>1886</v>
      </c>
      <c r="I19" s="781" t="s">
        <v>1759</v>
      </c>
      <c r="J19" s="53">
        <f ca="1">IF(K19="按租金收入计税",ROUND(J5*M19,1),ROUND(C29*F33*0.7,1))</f>
        <v>31.3</v>
      </c>
      <c r="K19" s="808" t="s">
        <v>665</v>
      </c>
      <c r="L19" s="781" t="s">
        <v>1748</v>
      </c>
      <c r="M19" s="806">
        <f>IF(K19="按租金收入计税",'数据-取费表'!B51,'数据-取费表'!B50)</f>
        <v>1.2E-2</v>
      </c>
    </row>
    <row r="20" spans="1:33" s="2062" customFormat="1" ht="18" customHeight="1">
      <c r="A20" s="1646" t="s">
        <v>1890</v>
      </c>
      <c r="B20" s="781" t="s">
        <v>666</v>
      </c>
      <c r="C20" s="53">
        <f ca="1">ROUND(C19*F20,0)</f>
        <v>41</v>
      </c>
      <c r="D20" s="809" t="s">
        <v>1760</v>
      </c>
      <c r="E20" s="781" t="s">
        <v>1748</v>
      </c>
      <c r="F20" s="806">
        <f>'数据-取费表'!B37</f>
        <v>1.4999999999999999E-2</v>
      </c>
      <c r="G20" s="1590"/>
      <c r="H20" s="1648" t="s">
        <v>1881</v>
      </c>
      <c r="I20" s="338" t="s">
        <v>1761</v>
      </c>
      <c r="J20" s="54">
        <f ca="1">ROUND(M20*M21/10000,0)</f>
        <v>1</v>
      </c>
      <c r="K20" s="811" t="s">
        <v>1762</v>
      </c>
      <c r="L20" s="781" t="s">
        <v>1763</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1" t="s">
        <v>1764</v>
      </c>
      <c r="C21" s="53" t="s">
        <v>1765</v>
      </c>
      <c r="D21" s="809" t="s">
        <v>2301</v>
      </c>
      <c r="E21" s="781" t="s">
        <v>1766</v>
      </c>
      <c r="F21" s="806">
        <f>'数据-取费表'!B38</f>
        <v>0.02</v>
      </c>
      <c r="G21" s="1590"/>
      <c r="H21" s="2528"/>
      <c r="I21" s="790"/>
      <c r="J21" s="69"/>
      <c r="K21" s="813"/>
      <c r="L21" s="781" t="s">
        <v>1767</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1" t="s">
        <v>1768</v>
      </c>
      <c r="C22" s="53"/>
      <c r="D22" s="2594" t="str">
        <f>IF(F23&lt;=1,"单利计息。","复利计息。")&amp;"建造成本、管理费用、销售费用产生的利息。"</f>
        <v>复利计息。建造成本、管理费用、销售费用产生的利息。</v>
      </c>
      <c r="E22" s="1980"/>
      <c r="F22" s="56"/>
      <c r="G22" s="1589"/>
      <c r="H22" s="1646" t="s">
        <v>1890</v>
      </c>
      <c r="I22" s="781" t="s">
        <v>1769</v>
      </c>
      <c r="J22" s="53">
        <f ca="1">ROUND(J14*M22,0)</f>
        <v>75</v>
      </c>
      <c r="K22" s="2506" t="s">
        <v>1770</v>
      </c>
      <c r="L22" s="781" t="s">
        <v>1748</v>
      </c>
      <c r="M22" s="814">
        <f ca="1">INDIRECT("'数据-取费表'!Ak"&amp;$G$1)</f>
        <v>0.02</v>
      </c>
    </row>
    <row r="23" spans="1:33" s="2062" customFormat="1" ht="18" customHeight="1">
      <c r="A23" s="1645" t="s">
        <v>1832</v>
      </c>
      <c r="B23" s="781" t="s">
        <v>2541</v>
      </c>
      <c r="C23" s="53">
        <f ca="1">ROUND(IF('数据-取费表'!B22&lt;=1,(C19+C20)*F24*F23/2,(C19+C20)*(POWER((1+F24),F23/2)-1)),0)</f>
        <v>131</v>
      </c>
      <c r="D23" s="2593" t="str">
        <f>IF(F23&lt;=1,"(建造成本+管理费用)×利率×(建设周期÷2)","(建造成本+管理费用)×((1+利率)^(建设周期÷2)-1)")</f>
        <v>(建造成本+管理费用)×((1+利率)^(建设周期÷2)-1)</v>
      </c>
      <c r="E23" s="781" t="s">
        <v>1771</v>
      </c>
      <c r="F23" s="637">
        <f>'数据-取费表'!B20</f>
        <v>2</v>
      </c>
      <c r="G23" s="1590"/>
      <c r="H23" s="1646" t="s">
        <v>1891</v>
      </c>
      <c r="I23" s="781" t="s">
        <v>679</v>
      </c>
      <c r="J23" s="53">
        <f ca="1">ROUND(J13*M23,0)</f>
        <v>0</v>
      </c>
      <c r="K23" s="2506" t="s">
        <v>1772</v>
      </c>
      <c r="L23" s="781" t="s">
        <v>1748</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1" t="s">
        <v>1773</v>
      </c>
      <c r="C24" s="53">
        <f ca="1">ROUND(IF('数据-取费表'!B22&lt;=1,F21*F24*F23/2,F21*(POWER((1+F24),F23/2)-1)),4)</f>
        <v>1E-3</v>
      </c>
      <c r="D24" s="2593" t="str">
        <f>IF(F23&lt;=1,"销售费用×利率×(建设周期÷2)","销售费用×((1+利率)^(建设周期÷2)-1)")</f>
        <v>销售费用×((1+利率)^(建设周期÷2)-1)</v>
      </c>
      <c r="E24" s="781" t="s">
        <v>1774</v>
      </c>
      <c r="F24" s="816">
        <f ca="1">'数据-取费表'!B40</f>
        <v>4.7500000000000001E-2</v>
      </c>
      <c r="G24" s="1590"/>
      <c r="H24" s="2573" t="s">
        <v>1892</v>
      </c>
      <c r="I24" s="2568" t="s">
        <v>666</v>
      </c>
      <c r="J24" s="2566">
        <f ca="1">ROUND(J5*M24,0)</f>
        <v>0</v>
      </c>
      <c r="K24" s="2567" t="s">
        <v>1775</v>
      </c>
      <c r="L24" s="2568" t="s">
        <v>1748</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1" t="s">
        <v>684</v>
      </c>
      <c r="C25" s="53"/>
      <c r="D25" s="260" t="s">
        <v>1776</v>
      </c>
      <c r="E25" s="1980"/>
      <c r="F25" s="56"/>
      <c r="G25" s="1589"/>
      <c r="H25" s="1827" t="s">
        <v>1777</v>
      </c>
      <c r="I25" s="3033" t="s">
        <v>2830</v>
      </c>
      <c r="J25" s="789">
        <f ca="1">J5-J16</f>
        <v>-107</v>
      </c>
      <c r="K25" s="2570" t="s">
        <v>1778</v>
      </c>
      <c r="L25" s="2571"/>
      <c r="M25" s="2572"/>
    </row>
    <row r="26" spans="1:33" ht="18" customHeight="1">
      <c r="A26" s="1645" t="s">
        <v>1832</v>
      </c>
      <c r="B26" s="781" t="s">
        <v>2442</v>
      </c>
      <c r="C26" s="53">
        <f ca="1">ROUND((C19+C20)*F26,0)</f>
        <v>551</v>
      </c>
      <c r="D26" s="809" t="s">
        <v>1779</v>
      </c>
      <c r="E26" s="792" t="s">
        <v>1780</v>
      </c>
      <c r="F26" s="791">
        <f ca="1">INDIRECT("'数据-取费表'!q"&amp;$G$1)</f>
        <v>0.2</v>
      </c>
      <c r="G26" s="1589"/>
      <c r="H26" s="2524" t="s">
        <v>1781</v>
      </c>
      <c r="I26" s="2230" t="s">
        <v>2835</v>
      </c>
      <c r="J26" s="780">
        <f ca="1">IF(J5&lt;&gt;0,ROUND(J25*(1-((1+M28)/(1+M26))^M27)/(M26-M28),0),0)</f>
        <v>0</v>
      </c>
      <c r="K26" s="811" t="s">
        <v>1782</v>
      </c>
      <c r="L26" s="781" t="s">
        <v>2423</v>
      </c>
      <c r="M26" s="791">
        <f ca="1">INDIRECT("'数据-取费表'!I"&amp;$G$1)</f>
        <v>5.5E-2</v>
      </c>
    </row>
    <row r="27" spans="1:33" ht="18" customHeight="1">
      <c r="A27" s="1645" t="s">
        <v>1833</v>
      </c>
      <c r="B27" s="781" t="s">
        <v>686</v>
      </c>
      <c r="C27" s="53">
        <f ca="1">ROUND(F21*F26,4)</f>
        <v>4.0000000000000001E-3</v>
      </c>
      <c r="D27" s="809" t="s">
        <v>1783</v>
      </c>
      <c r="E27" s="803"/>
      <c r="F27" s="804"/>
      <c r="G27" s="1589"/>
      <c r="H27" s="2525"/>
      <c r="I27" s="784"/>
      <c r="J27" s="785"/>
      <c r="K27" s="818" t="s">
        <v>1784</v>
      </c>
      <c r="L27" s="781" t="s">
        <v>1785</v>
      </c>
      <c r="M27" s="819">
        <f ca="1">INDIRECT("'数据-取费表'!ag"&amp;$G$1)</f>
        <v>0</v>
      </c>
    </row>
    <row r="28" spans="1:33" s="2062" customFormat="1" ht="18" customHeight="1">
      <c r="A28" s="1647" t="s">
        <v>1842</v>
      </c>
      <c r="B28" s="781" t="s">
        <v>687</v>
      </c>
      <c r="C28" s="53">
        <f>ROUND(F28/(1+'数据-取费表'!C42),4)</f>
        <v>5.33E-2</v>
      </c>
      <c r="D28" s="809" t="s">
        <v>2302</v>
      </c>
      <c r="E28" s="781" t="s">
        <v>1786</v>
      </c>
      <c r="F28" s="806">
        <f>'数据-取费表'!B41</f>
        <v>5.6000000000000001E-2</v>
      </c>
      <c r="G28" s="1590"/>
      <c r="H28" s="1827"/>
      <c r="I28" s="788"/>
      <c r="J28" s="789"/>
      <c r="K28" s="813"/>
      <c r="L28" s="781" t="s">
        <v>1787</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2303</v>
      </c>
      <c r="C29" s="2566">
        <f ca="1">ROUND((C19+C20+C23+C26)/(1-F21-C24-C27-C28),0)</f>
        <v>3730</v>
      </c>
      <c r="D29" s="2567"/>
      <c r="E29" s="2568"/>
      <c r="F29" s="2569"/>
      <c r="G29" s="1590"/>
      <c r="H29" s="820" t="s">
        <v>1788</v>
      </c>
      <c r="I29" s="821" t="s">
        <v>1789</v>
      </c>
      <c r="J29" s="822">
        <f ca="1">ROUND(J26/(1+F40)^F41,0)</f>
        <v>0</v>
      </c>
      <c r="K29" s="823" t="s">
        <v>1790</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89">
        <f ca="1">ROUND(C31+C36+C37+C38,0)</f>
        <v>180</v>
      </c>
      <c r="D30" s="1819" t="s">
        <v>1792</v>
      </c>
      <c r="E30" s="2508"/>
      <c r="F30" s="2513"/>
      <c r="G30" s="2060"/>
      <c r="H30" s="2063"/>
      <c r="I30" s="2064"/>
      <c r="J30" s="2065"/>
      <c r="K30" s="2066"/>
      <c r="L30" s="2067"/>
      <c r="M30" s="2068"/>
    </row>
    <row r="31" spans="1:33" ht="18" customHeight="1">
      <c r="A31" s="1646" t="s">
        <v>1831</v>
      </c>
      <c r="B31" s="781" t="s">
        <v>656</v>
      </c>
      <c r="C31" s="53">
        <f ca="1">ROUND(IF(项目基本情况!B11="自然人",C5*F31,C32+C33+C34),1)</f>
        <v>81.2</v>
      </c>
      <c r="D31" s="1977" t="s">
        <v>1793</v>
      </c>
      <c r="E31" s="1975" t="s">
        <v>1794</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1832</v>
      </c>
      <c r="B32" s="781" t="s">
        <v>1795</v>
      </c>
      <c r="C32" s="53">
        <f ca="1">ROUND(C5*F32/1.05,1)</f>
        <v>49.1</v>
      </c>
      <c r="D32" s="1975" t="s">
        <v>1796</v>
      </c>
      <c r="E32" s="781" t="s">
        <v>1797</v>
      </c>
      <c r="F32" s="806">
        <f>'数据-取费表'!B41</f>
        <v>5.6000000000000001E-2</v>
      </c>
      <c r="G32" s="2060"/>
      <c r="H32" s="2069"/>
      <c r="I32" s="2070"/>
      <c r="J32" s="2071"/>
      <c r="K32" s="2072"/>
      <c r="L32" s="2073"/>
      <c r="M32" s="2074"/>
    </row>
    <row r="33" spans="1:18" ht="18" customHeight="1">
      <c r="A33" s="1645" t="s">
        <v>1833</v>
      </c>
      <c r="B33" s="781" t="s">
        <v>1798</v>
      </c>
      <c r="C33" s="53">
        <f ca="1">IF(D33="按租金收入计税",ROUND(C5*F33,1),IF(D33="按房产原值计税",ROUND(C29*F33*0.7,1),INDIRECT("'数据-取费表'!Aj"&amp;$G$1)))</f>
        <v>31.3</v>
      </c>
      <c r="D33" s="808" t="s">
        <v>1681</v>
      </c>
      <c r="E33" s="781" t="s">
        <v>1797</v>
      </c>
      <c r="F33" s="806">
        <f>IF(D33="按租金收入计税",'数据-取费表'!B51,'数据-取费表'!B50)</f>
        <v>1.2E-2</v>
      </c>
      <c r="G33" s="2060"/>
      <c r="H33" s="2075"/>
      <c r="I33" s="2075"/>
      <c r="J33" s="2075"/>
      <c r="K33" s="2076"/>
      <c r="L33" s="2075"/>
      <c r="M33" s="2075"/>
    </row>
    <row r="34" spans="1:18" ht="18" customHeight="1">
      <c r="A34" s="1648" t="s">
        <v>1834</v>
      </c>
      <c r="B34" s="338" t="s">
        <v>1799</v>
      </c>
      <c r="C34" s="54">
        <f ca="1">ROUND(F34*F35/10000,1)</f>
        <v>0.8</v>
      </c>
      <c r="D34" s="811" t="s">
        <v>1800</v>
      </c>
      <c r="E34" s="781" t="s">
        <v>1801</v>
      </c>
      <c r="F34" s="637">
        <f>'数据-取费表'!B52</f>
        <v>4</v>
      </c>
      <c r="G34" s="2060"/>
      <c r="H34" s="2063"/>
      <c r="I34" s="832" t="s">
        <v>1814</v>
      </c>
      <c r="J34" s="833"/>
      <c r="K34" s="2078"/>
      <c r="L34" s="2077"/>
      <c r="M34" s="2077"/>
    </row>
    <row r="35" spans="1:18" ht="18" customHeight="1">
      <c r="A35" s="812"/>
      <c r="B35" s="790"/>
      <c r="C35" s="69"/>
      <c r="D35" s="813"/>
      <c r="E35" s="781" t="s">
        <v>1802</v>
      </c>
      <c r="F35" s="782">
        <f ca="1">INDIRECT("'数据-取费表'!r"&amp;$G$1)</f>
        <v>1937.1799999999998</v>
      </c>
      <c r="G35" s="2060"/>
      <c r="H35" s="2063"/>
      <c r="I35" s="834" t="s">
        <v>1815</v>
      </c>
      <c r="J35" s="835">
        <f ca="1">ROUND(C13*J36,0)</f>
        <v>317</v>
      </c>
      <c r="K35" s="2076"/>
      <c r="L35" s="2075"/>
      <c r="M35" s="2075"/>
    </row>
    <row r="36" spans="1:18" ht="18" customHeight="1">
      <c r="A36" s="1646" t="s">
        <v>1890</v>
      </c>
      <c r="B36" s="781" t="s">
        <v>1803</v>
      </c>
      <c r="C36" s="53">
        <f ca="1">ROUND(C29*F36,1)</f>
        <v>74.599999999999994</v>
      </c>
      <c r="D36" s="1975" t="s">
        <v>1804</v>
      </c>
      <c r="E36" s="781" t="s">
        <v>1797</v>
      </c>
      <c r="F36" s="814">
        <f ca="1">INDIRECT("'数据-取费表'!Ak"&amp;$G$1)</f>
        <v>0.02</v>
      </c>
      <c r="G36" s="2060"/>
      <c r="H36" s="2075"/>
      <c r="I36" s="836" t="s">
        <v>1816</v>
      </c>
      <c r="J36" s="837">
        <f ca="1">INDIRECT("'数据-取费表'!j"&amp;$G$1)</f>
        <v>8.5000000000000006E-2</v>
      </c>
      <c r="K36" s="2080"/>
      <c r="L36" s="2075"/>
      <c r="M36" s="2075"/>
    </row>
    <row r="37" spans="1:18" ht="18" customHeight="1">
      <c r="A37" s="1646" t="s">
        <v>1891</v>
      </c>
      <c r="B37" s="781" t="s">
        <v>679</v>
      </c>
      <c r="C37" s="53">
        <f ca="1">ROUND(C13*F37,1)</f>
        <v>5.6</v>
      </c>
      <c r="D37" s="1975" t="s">
        <v>1805</v>
      </c>
      <c r="E37" s="781" t="s">
        <v>1797</v>
      </c>
      <c r="F37" s="815">
        <f ca="1">INDIRECT("'数据-取费表'!Al"&amp;$G$1)</f>
        <v>1.5E-3</v>
      </c>
      <c r="G37" s="2060"/>
      <c r="H37" s="2075"/>
      <c r="I37" s="838" t="s">
        <v>1817</v>
      </c>
      <c r="J37" s="839"/>
      <c r="K37" s="2080"/>
      <c r="L37" s="2075"/>
      <c r="M37" s="2075"/>
    </row>
    <row r="38" spans="1:18" ht="18" customHeight="1" thickBot="1">
      <c r="A38" s="2573" t="s">
        <v>1892</v>
      </c>
      <c r="B38" s="2568" t="s">
        <v>666</v>
      </c>
      <c r="C38" s="2566">
        <f ca="1">ROUND(C5*F38,1)</f>
        <v>18.399999999999999</v>
      </c>
      <c r="D38" s="2567" t="s">
        <v>1806</v>
      </c>
      <c r="E38" s="2568" t="s">
        <v>1797</v>
      </c>
      <c r="F38" s="2564">
        <f ca="1">INDIRECT("'数据-取费表'!Am"&amp;$G$1)</f>
        <v>0.02</v>
      </c>
      <c r="G38" s="2060"/>
      <c r="H38" s="2075"/>
      <c r="I38" s="840" t="s">
        <v>1818</v>
      </c>
      <c r="J38" s="841"/>
      <c r="K38" s="2081"/>
      <c r="L38" s="2075"/>
      <c r="M38" s="2075"/>
    </row>
    <row r="39" spans="1:18" ht="24.6" customHeight="1" thickTop="1">
      <c r="A39" s="1827" t="s">
        <v>1895</v>
      </c>
      <c r="B39" s="3033" t="s">
        <v>2830</v>
      </c>
      <c r="C39" s="789">
        <f ca="1">C5-C30</f>
        <v>741</v>
      </c>
      <c r="D39" s="2570" t="s">
        <v>1807</v>
      </c>
      <c r="E39" s="2571"/>
      <c r="F39" s="2572"/>
      <c r="G39" s="2060"/>
      <c r="H39" s="2075"/>
      <c r="I39" s="834" t="s">
        <v>1819</v>
      </c>
      <c r="J39" s="842">
        <f ca="1">ROUND(J35/C39,3)</f>
        <v>0.42799999999999999</v>
      </c>
      <c r="K39" s="2081"/>
      <c r="L39" s="2075"/>
      <c r="M39" s="2075"/>
    </row>
    <row r="40" spans="1:18" ht="18" customHeight="1">
      <c r="A40" s="778" t="s">
        <v>1896</v>
      </c>
      <c r="B40" s="2230" t="s">
        <v>2304</v>
      </c>
      <c r="C40" s="780">
        <f ca="1">ROUND(C39*(1-((1+F42)/(1+F40))^F41)/(F40-F42),0)</f>
        <v>16421</v>
      </c>
      <c r="D40" s="811" t="s">
        <v>1808</v>
      </c>
      <c r="E40" s="781" t="s">
        <v>2423</v>
      </c>
      <c r="F40" s="791">
        <f ca="1">INDIRECT("'数据-取费表'!I"&amp;$G$1)</f>
        <v>5.5E-2</v>
      </c>
      <c r="G40" s="2060"/>
      <c r="H40" s="2060"/>
      <c r="I40" s="834" t="s">
        <v>1820</v>
      </c>
      <c r="J40" s="842">
        <f ca="1">1-J39</f>
        <v>0.57200000000000006</v>
      </c>
      <c r="K40" s="2081"/>
      <c r="L40" s="2060"/>
      <c r="M40" s="2060"/>
    </row>
    <row r="41" spans="1:18" ht="18" customHeight="1">
      <c r="A41" s="783"/>
      <c r="B41" s="784"/>
      <c r="C41" s="785"/>
      <c r="D41" s="818" t="s">
        <v>1809</v>
      </c>
      <c r="E41" s="781" t="s">
        <v>2977</v>
      </c>
      <c r="F41" s="819">
        <f ca="1">IF(INDIRECT("'数据-取费表'!af"&amp;$G$1)=0,INDIRECT("'数据-取费表'!ae"&amp;$G$1),INDIRECT("'数据-取费表'!af"&amp;$G$1))</f>
        <v>37.89</v>
      </c>
      <c r="G41" s="2060"/>
      <c r="H41" s="1986"/>
      <c r="I41" s="840" t="s">
        <v>1821</v>
      </c>
      <c r="J41" s="843"/>
      <c r="K41" s="2080"/>
      <c r="L41" s="1986"/>
      <c r="M41" s="1986"/>
    </row>
    <row r="42" spans="1:18" ht="18" customHeight="1">
      <c r="A42" s="787"/>
      <c r="B42" s="788"/>
      <c r="C42" s="789"/>
      <c r="D42" s="813"/>
      <c r="E42" s="781" t="s">
        <v>1810</v>
      </c>
      <c r="F42" s="791">
        <f ca="1">INDIRECT("'数据-取费表'!v"&amp;$G$1)</f>
        <v>2.5000000000000001E-2</v>
      </c>
      <c r="G42" s="2060"/>
      <c r="H42" s="1986"/>
      <c r="I42" s="844" t="s">
        <v>1822</v>
      </c>
      <c r="J42" s="842">
        <f ca="1">ROUND(C13/C40,3)</f>
        <v>0.22700000000000001</v>
      </c>
      <c r="K42" s="2080"/>
      <c r="L42" s="1986"/>
      <c r="M42" s="1986"/>
    </row>
    <row r="43" spans="1:18" ht="18" customHeight="1" thickBot="1">
      <c r="A43" s="820" t="s">
        <v>1788</v>
      </c>
      <c r="B43" s="821" t="s">
        <v>1811</v>
      </c>
      <c r="C43" s="822">
        <f ca="1">ROUND(C40*10000/F43,0)</f>
        <v>23459</v>
      </c>
      <c r="D43" s="823" t="s">
        <v>1812</v>
      </c>
      <c r="E43" s="824" t="s">
        <v>1813</v>
      </c>
      <c r="F43" s="825">
        <f ca="1">INDIRECT("'数据-取费表'!k"&amp;$G$1)</f>
        <v>7000</v>
      </c>
      <c r="G43" s="2060"/>
      <c r="H43" s="1986"/>
      <c r="I43" s="844" t="s">
        <v>1823</v>
      </c>
      <c r="J43" s="845">
        <f ca="1">1-J42</f>
        <v>0.77300000000000002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96">
        <f ca="1">C67-C40</f>
        <v>-18190</v>
      </c>
      <c r="D46" s="2083"/>
      <c r="E46" s="2083"/>
      <c r="F46" s="2083"/>
      <c r="I46" s="2376" t="s">
        <v>2346</v>
      </c>
      <c r="J46" s="2377"/>
      <c r="K46" s="2378"/>
      <c r="L46" s="2379" t="str">
        <f ca="1">IF(M47="住宅",0,IF(L48&gt;J51,L60,J60))</f>
        <v>0</v>
      </c>
      <c r="O46" s="2416" t="s">
        <v>2414</v>
      </c>
      <c r="P46" s="1589"/>
      <c r="Q46" s="1601"/>
      <c r="R46" s="1589"/>
    </row>
    <row r="47" spans="1:18" s="2057" customFormat="1" ht="18" customHeight="1" thickBot="1">
      <c r="A47" s="2370">
        <v>1</v>
      </c>
      <c r="B47" s="2371" t="s">
        <v>635</v>
      </c>
      <c r="C47" s="2596">
        <f ca="1">C48+C52+C54</f>
        <v>0</v>
      </c>
      <c r="D47" s="2083"/>
      <c r="E47" s="2083"/>
      <c r="F47" s="2083"/>
      <c r="I47" s="2380" t="s">
        <v>2347</v>
      </c>
      <c r="J47" s="2385" t="s">
        <v>3021</v>
      </c>
      <c r="K47" s="2386" t="s">
        <v>2353</v>
      </c>
      <c r="L47" s="2387">
        <f ca="1">INDIRECT("'数据-取费表'!d"&amp;$G$1)</f>
        <v>40</v>
      </c>
      <c r="M47" s="1601" t="str">
        <f>IF(ISNUMBER(FIND("住宅",C1)),"住宅","非住宅")</f>
        <v>非住宅</v>
      </c>
      <c r="O47" s="2417" t="s">
        <v>2379</v>
      </c>
      <c r="P47" s="2418" t="s">
        <v>2380</v>
      </c>
      <c r="Q47" s="2419" t="s">
        <v>2381</v>
      </c>
      <c r="R47" s="2418" t="s">
        <v>2382</v>
      </c>
    </row>
    <row r="48" spans="1:18" s="2057" customFormat="1" ht="18" customHeight="1" thickBot="1">
      <c r="A48" s="2665" t="s">
        <v>2543</v>
      </c>
      <c r="B48" s="2666" t="s">
        <v>2544</v>
      </c>
      <c r="C48" s="2372">
        <f ca="1">ROUND(F48*F50*F49*(1-F51)/10000,0)</f>
        <v>0</v>
      </c>
      <c r="D48" s="2373" t="s">
        <v>636</v>
      </c>
      <c r="E48" s="2374" t="s">
        <v>2299</v>
      </c>
      <c r="F48" s="2375"/>
      <c r="G48" s="2088"/>
      <c r="I48" s="2381" t="s">
        <v>2348</v>
      </c>
      <c r="J48" s="2388" t="s">
        <v>2354</v>
      </c>
      <c r="K48" s="2389" t="s">
        <v>2355</v>
      </c>
      <c r="L48" s="2390">
        <f ca="1">INDIRECT("'数据-取费表'!f"&amp;$G$1)</f>
        <v>39.89</v>
      </c>
      <c r="O48" s="2420" t="s">
        <v>2383</v>
      </c>
      <c r="P48" s="2421" t="s">
        <v>2409</v>
      </c>
      <c r="Q48" s="2422">
        <f ca="1">C40+J29</f>
        <v>16421</v>
      </c>
      <c r="R48" s="2421" t="s">
        <v>2384</v>
      </c>
    </row>
    <row r="49" spans="1:18" s="2057" customFormat="1" ht="18" customHeight="1" thickBot="1">
      <c r="A49" s="783"/>
      <c r="B49" s="784"/>
      <c r="C49" s="785"/>
      <c r="D49" s="786"/>
      <c r="E49" s="781" t="s">
        <v>1740</v>
      </c>
      <c r="F49" s="782">
        <f ca="1">F7</f>
        <v>7000</v>
      </c>
      <c r="G49" s="2088"/>
      <c r="H49" s="2091"/>
      <c r="I49" s="2381" t="s">
        <v>2349</v>
      </c>
      <c r="J49" s="2391"/>
      <c r="K49" s="2392" t="s">
        <v>2356</v>
      </c>
      <c r="L49" s="2393"/>
      <c r="O49" s="2420" t="s">
        <v>2385</v>
      </c>
      <c r="P49" s="2421" t="s">
        <v>2410</v>
      </c>
      <c r="Q49" s="2422" t="str">
        <f ca="1">J60</f>
        <v>0</v>
      </c>
      <c r="R49" s="2421" t="s">
        <v>2386</v>
      </c>
    </row>
    <row r="50" spans="1:18" s="2057" customFormat="1" ht="18" customHeight="1" thickBot="1">
      <c r="A50" s="783"/>
      <c r="B50" s="784"/>
      <c r="C50" s="785"/>
      <c r="D50" s="786"/>
      <c r="E50" s="781" t="s">
        <v>1741</v>
      </c>
      <c r="F50" s="782">
        <f ca="1">F8</f>
        <v>365</v>
      </c>
      <c r="G50" s="2093"/>
      <c r="H50" s="2091"/>
      <c r="I50" s="2381" t="s">
        <v>2350</v>
      </c>
      <c r="J50" s="2394">
        <f>SUMPRODUCT((I63:I65=J47)*(J62:L62=J48)*(J63:L65))</f>
        <v>60</v>
      </c>
      <c r="K50" s="2392" t="s">
        <v>2357</v>
      </c>
      <c r="L50" s="2393"/>
      <c r="O50" s="2423" t="s">
        <v>2387</v>
      </c>
      <c r="P50" s="2421" t="s">
        <v>2411</v>
      </c>
      <c r="Q50" s="2422">
        <f ca="1">C29</f>
        <v>3730</v>
      </c>
      <c r="R50" s="2421" t="s">
        <v>2384</v>
      </c>
    </row>
    <row r="51" spans="1:18" s="2057" customFormat="1" ht="18" customHeight="1" thickBot="1">
      <c r="A51" s="783"/>
      <c r="B51" s="784"/>
      <c r="C51" s="785"/>
      <c r="D51" s="786"/>
      <c r="E51" s="781" t="s">
        <v>640</v>
      </c>
      <c r="F51" s="2369"/>
      <c r="H51" s="2091"/>
      <c r="I51" s="2382" t="s">
        <v>2351</v>
      </c>
      <c r="J51" s="2395">
        <f>IF(J49="",J50,J49+J50-YEAR('数据-取费表'!B2))</f>
        <v>60</v>
      </c>
      <c r="K51" s="2381" t="s">
        <v>2358</v>
      </c>
      <c r="L51" s="2396">
        <f ca="1">ROUND(-PV(INDIRECT("'数据-取费表'!h"&amp;$G$1),L48,(C39-C13*J36),0),0)</f>
        <v>7268</v>
      </c>
      <c r="O51" s="2423" t="s">
        <v>2388</v>
      </c>
      <c r="P51" s="2421" t="s">
        <v>2389</v>
      </c>
      <c r="Q51" s="2424" t="e">
        <f ca="1">J58</f>
        <v>#VALUE!</v>
      </c>
      <c r="R51" s="2425"/>
    </row>
    <row r="52" spans="1:18" s="2057" customFormat="1" ht="18" customHeight="1" thickBot="1">
      <c r="A52" s="778" t="s">
        <v>2542</v>
      </c>
      <c r="B52" s="2516" t="s">
        <v>2464</v>
      </c>
      <c r="C52" s="796">
        <f ca="1">ROUND(IF(F52="押一",F48*F50*F49/12*F11,IF(F52="押二",F48*F50*F49/12*2*F11,IF(F52="押三",F48*F50*F49/12*3*F11,C53*F11)))/10000,0)</f>
        <v>0</v>
      </c>
      <c r="D52" s="2523" t="s">
        <v>2471</v>
      </c>
      <c r="E52" s="2520" t="s">
        <v>2469</v>
      </c>
      <c r="F52" s="2643"/>
      <c r="I52" s="2383" t="s">
        <v>2425</v>
      </c>
      <c r="J52" s="2397"/>
      <c r="K52" s="2383" t="s">
        <v>2424</v>
      </c>
      <c r="L52" s="2397"/>
      <c r="O52" s="2423" t="s">
        <v>2390</v>
      </c>
      <c r="P52" s="2421" t="s">
        <v>2391</v>
      </c>
      <c r="Q52" s="2424">
        <f>J52</f>
        <v>0</v>
      </c>
      <c r="R52" s="2425"/>
    </row>
    <row r="53" spans="1:18" s="2057" customFormat="1" ht="39.75" customHeight="1" thickBot="1">
      <c r="A53" s="783"/>
      <c r="B53" s="2517" t="s">
        <v>2579</v>
      </c>
      <c r="C53" s="2521"/>
      <c r="D53" s="2523"/>
      <c r="E53" s="2520"/>
      <c r="F53" s="797"/>
      <c r="I53" s="2384" t="s">
        <v>2352</v>
      </c>
      <c r="J53" s="2398">
        <f ca="1">IF(M47="住宅",J51,IF(D1="——",MIN(J51,L48),IF(D1="土地（套用方法）",MIN(J51,L48-'数据-取费表'!B20))))</f>
        <v>37.89</v>
      </c>
      <c r="K53" s="3471" t="s">
        <v>2979</v>
      </c>
      <c r="L53" s="3472"/>
      <c r="O53" s="2423" t="s">
        <v>2392</v>
      </c>
      <c r="P53" s="2421" t="s">
        <v>2393</v>
      </c>
      <c r="Q53" s="2422">
        <f ca="1">J53</f>
        <v>37.89</v>
      </c>
      <c r="R53" s="2421" t="s">
        <v>2394</v>
      </c>
    </row>
    <row r="54" spans="1:18" s="2057" customFormat="1" ht="18" customHeight="1" thickBot="1">
      <c r="A54" s="2559" t="s">
        <v>2473</v>
      </c>
      <c r="B54" s="2560" t="s">
        <v>2465</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2395</v>
      </c>
      <c r="P54" s="2421" t="s">
        <v>2412</v>
      </c>
      <c r="Q54" s="2422">
        <f ca="1">Q48+Q49</f>
        <v>16421</v>
      </c>
      <c r="R54" s="2425" t="s">
        <v>2396</v>
      </c>
    </row>
    <row r="55" spans="1:18" s="2057" customFormat="1" ht="18" customHeight="1" thickTop="1" thickBot="1">
      <c r="A55" s="794">
        <v>2</v>
      </c>
      <c r="B55" s="795" t="s">
        <v>644</v>
      </c>
      <c r="C55" s="796">
        <f ca="1">C13</f>
        <v>3730</v>
      </c>
      <c r="D55" s="792"/>
      <c r="E55" s="792"/>
      <c r="F55" s="797"/>
      <c r="I55" s="3126" t="s">
        <v>2359</v>
      </c>
      <c r="J55" s="3125" t="e">
        <f ca="1">ROUND(IF(J47="钢混",J57/J50,1-(1-2%)*(J50-J57)/J50),3)</f>
        <v>#VALUE!</v>
      </c>
      <c r="K55" s="2399" t="s">
        <v>2360</v>
      </c>
      <c r="L55" s="2400"/>
      <c r="O55" s="2426" t="s">
        <v>2415</v>
      </c>
      <c r="P55" s="1589"/>
      <c r="Q55" s="1601"/>
      <c r="R55" s="1589"/>
    </row>
    <row r="56" spans="1:18" s="2057" customFormat="1" ht="42.75" customHeight="1" thickBot="1">
      <c r="A56" s="1647"/>
      <c r="B56" s="2229" t="s">
        <v>2305</v>
      </c>
      <c r="C56" s="53">
        <f ca="1">C29</f>
        <v>3730</v>
      </c>
      <c r="D56" s="2662"/>
      <c r="E56" s="781"/>
      <c r="F56" s="806"/>
      <c r="I56" s="2401" t="s">
        <v>2361</v>
      </c>
      <c r="J56" s="3149" t="s">
        <v>1679</v>
      </c>
      <c r="K56" s="2381" t="s">
        <v>2366</v>
      </c>
      <c r="L56" s="2390" t="str">
        <f ca="1">IF(L48&lt;J51,"——",L48-J51)</f>
        <v>——</v>
      </c>
      <c r="O56" s="2417" t="s">
        <v>2379</v>
      </c>
      <c r="P56" s="2418" t="s">
        <v>2380</v>
      </c>
      <c r="Q56" s="2419" t="s">
        <v>2381</v>
      </c>
      <c r="R56" s="2418" t="s">
        <v>2382</v>
      </c>
    </row>
    <row r="57" spans="1:18" s="2057" customFormat="1" ht="28.5" customHeight="1" thickBot="1">
      <c r="A57" s="794" t="s">
        <v>1749</v>
      </c>
      <c r="B57" s="795" t="s">
        <v>651</v>
      </c>
      <c r="C57" s="796">
        <f ca="1">ROUND(C58+C63+C64+C65,0)</f>
        <v>112</v>
      </c>
      <c r="D57" s="26" t="s">
        <v>1751</v>
      </c>
      <c r="E57" s="2663"/>
      <c r="F57" s="56"/>
      <c r="I57" s="2402" t="s">
        <v>2362</v>
      </c>
      <c r="J57" s="2404" t="str">
        <f ca="1">IF(OR(M47="住宅",J51&lt;L48,J56="是"),"——",J51-L48)</f>
        <v>——</v>
      </c>
      <c r="K57" s="2381" t="s">
        <v>2367</v>
      </c>
      <c r="L57" s="2390" t="str">
        <f ca="1">IF(L48&lt;J51,"——",IF(L55="比较法",L49,IF(L55="基准地价",L50,L51)))</f>
        <v>——</v>
      </c>
      <c r="O57" s="2420" t="s">
        <v>2383</v>
      </c>
      <c r="P57" s="2421" t="s">
        <v>2413</v>
      </c>
      <c r="Q57" s="2422">
        <f ca="1">C40+J29</f>
        <v>16421</v>
      </c>
      <c r="R57" s="2421" t="s">
        <v>2384</v>
      </c>
    </row>
    <row r="58" spans="1:18" s="2057" customFormat="1" ht="28.5" customHeight="1" thickBot="1">
      <c r="A58" s="1646" t="s">
        <v>1825</v>
      </c>
      <c r="B58" s="781" t="s">
        <v>656</v>
      </c>
      <c r="C58" s="53">
        <f ca="1">ROUND(IF(项目基本情况!B11="自然人",C47*F58,C59+C60+C61),1)</f>
        <v>32.1</v>
      </c>
      <c r="D58" s="2661" t="s">
        <v>657</v>
      </c>
      <c r="E58" s="2662" t="s">
        <v>690</v>
      </c>
      <c r="F58" s="807">
        <f ca="1">IF(项目基本情况!B11="企业","",IF(INDIRECT("'数据-取费表'!c"&amp;$G$1)="住宅",5%,IF(F48*F49*F50/12/(1+'数据-取费表'!C42)&gt;20000,12%,7%)))</f>
        <v>7.0000000000000007E-2</v>
      </c>
      <c r="I58" s="2402" t="s">
        <v>2363</v>
      </c>
      <c r="J58" s="3127" t="e">
        <f ca="1">IF(J55&lt;0.4,0.4,J55)</f>
        <v>#VALUE!</v>
      </c>
      <c r="K58" s="2381" t="s">
        <v>2368</v>
      </c>
      <c r="L58" s="2390" t="e">
        <f ca="1">ROUND(POWER(1+L52,L47-L48)*(POWER(1+L52,L48)-1)/(POWER(1+L52,L47)-1),4)</f>
        <v>#DIV/0!</v>
      </c>
      <c r="O58" s="2420" t="s">
        <v>2385</v>
      </c>
      <c r="P58" s="2421" t="s">
        <v>2416</v>
      </c>
      <c r="Q58" s="2422">
        <f ca="1">L60</f>
        <v>0</v>
      </c>
      <c r="R58" s="2425" t="s">
        <v>2418</v>
      </c>
    </row>
    <row r="59" spans="1:18" s="2057" customFormat="1" ht="28.5" customHeight="1" thickBot="1">
      <c r="A59" s="1645" t="s">
        <v>1832</v>
      </c>
      <c r="B59" s="781" t="s">
        <v>660</v>
      </c>
      <c r="C59" s="53">
        <f ca="1">ROUND(C47*F59/1.05,1)</f>
        <v>0</v>
      </c>
      <c r="D59" s="2662" t="s">
        <v>1757</v>
      </c>
      <c r="E59" s="781" t="s">
        <v>1748</v>
      </c>
      <c r="F59" s="806">
        <f t="shared" ref="F59:F65" si="0">F32</f>
        <v>5.6000000000000001E-2</v>
      </c>
      <c r="I59" s="2402" t="s">
        <v>2364</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2387</v>
      </c>
      <c r="P59" s="2421" t="s">
        <v>2417</v>
      </c>
      <c r="Q59" s="2422">
        <f>IF(L55="比较法",L49,IF(L55="基准地价",L50,0))</f>
        <v>0</v>
      </c>
      <c r="R59" s="2421" t="s">
        <v>2384</v>
      </c>
    </row>
    <row r="60" spans="1:18" s="2057" customFormat="1" ht="18" customHeight="1" thickBot="1">
      <c r="A60" s="1645" t="s">
        <v>1833</v>
      </c>
      <c r="B60" s="781" t="s">
        <v>1759</v>
      </c>
      <c r="C60" s="53">
        <f ca="1">IF(D60="按租金收入计税",ROUND(C47*F60,1),IF(D60="按房产原值计税",ROUND(C56*F60*0.7,1),INDIRECT("'数据-取费表'!Aj"&amp;$G$1)))</f>
        <v>31.3</v>
      </c>
      <c r="D60" s="2662" t="str">
        <f>D33</f>
        <v>按房产原值计税</v>
      </c>
      <c r="E60" s="781" t="s">
        <v>1748</v>
      </c>
      <c r="F60" s="806">
        <f t="shared" si="0"/>
        <v>1.2E-2</v>
      </c>
      <c r="I60" s="2403" t="s">
        <v>2365</v>
      </c>
      <c r="J60" s="2405" t="str">
        <f ca="1">IF(OR(M47="住宅",J51&lt;L48,J56="是"),"0",ROUND(J59/(1+J52)^J53,0))</f>
        <v>0</v>
      </c>
      <c r="K60" s="2406" t="s">
        <v>2370</v>
      </c>
      <c r="L60" s="2405">
        <f ca="1">IF(OR(M47="住宅",L48&lt;J51),0,ROUND(L57*(L58/L59-1),0))</f>
        <v>0</v>
      </c>
      <c r="O60" s="2423" t="s">
        <v>2388</v>
      </c>
      <c r="P60" s="2421" t="s">
        <v>2397</v>
      </c>
      <c r="Q60" s="2424">
        <f>L52</f>
        <v>0</v>
      </c>
      <c r="R60" s="2425"/>
    </row>
    <row r="61" spans="1:18" s="2057" customFormat="1" ht="18" customHeight="1" thickBot="1">
      <c r="A61" s="1648" t="s">
        <v>1834</v>
      </c>
      <c r="B61" s="338" t="s">
        <v>668</v>
      </c>
      <c r="C61" s="54">
        <f ca="1">ROUND(F61*F62/10000,1)</f>
        <v>0.8</v>
      </c>
      <c r="D61" s="811" t="s">
        <v>669</v>
      </c>
      <c r="E61" s="781" t="s">
        <v>670</v>
      </c>
      <c r="F61" s="637">
        <f t="shared" si="0"/>
        <v>4</v>
      </c>
      <c r="K61" s="2084"/>
      <c r="O61" s="2423" t="s">
        <v>2390</v>
      </c>
      <c r="P61" s="2421" t="s">
        <v>2398</v>
      </c>
      <c r="Q61" s="2422" t="e">
        <f ca="1">L58</f>
        <v>#DIV/0!</v>
      </c>
      <c r="R61" s="2425" t="s">
        <v>2399</v>
      </c>
    </row>
    <row r="62" spans="1:18" s="2057" customFormat="1" ht="15.75" thickBot="1">
      <c r="A62" s="812"/>
      <c r="B62" s="790"/>
      <c r="C62" s="69"/>
      <c r="D62" s="813"/>
      <c r="E62" s="781" t="s">
        <v>674</v>
      </c>
      <c r="F62" s="782">
        <f t="shared" ca="1" si="0"/>
        <v>1937.1799999999998</v>
      </c>
      <c r="I62" s="2407" t="s">
        <v>2371</v>
      </c>
      <c r="J62" s="2408" t="s">
        <v>2372</v>
      </c>
      <c r="K62" s="2408" t="s">
        <v>2373</v>
      </c>
      <c r="L62" s="2408" t="s">
        <v>2354</v>
      </c>
      <c r="M62" s="3128" t="s">
        <v>2954</v>
      </c>
      <c r="O62" s="2423" t="s">
        <v>2392</v>
      </c>
      <c r="P62" s="2421" t="str">
        <f>K59</f>
        <v>建设期及建筑物耐用年限下的土地年期修正系数Kn</v>
      </c>
      <c r="Q62" s="2422" t="e">
        <f ca="1">L59</f>
        <v>#DIV/0!</v>
      </c>
      <c r="R62" s="2425" t="s">
        <v>2401</v>
      </c>
    </row>
    <row r="63" spans="1:18" s="2057" customFormat="1" ht="15.75" thickBot="1">
      <c r="A63" s="1646" t="s">
        <v>1890</v>
      </c>
      <c r="B63" s="781" t="s">
        <v>676</v>
      </c>
      <c r="C63" s="53">
        <f ca="1">ROUND(C56*F63,1)</f>
        <v>74.599999999999994</v>
      </c>
      <c r="D63" s="2662" t="s">
        <v>1804</v>
      </c>
      <c r="E63" s="781" t="s">
        <v>1748</v>
      </c>
      <c r="F63" s="814">
        <f t="shared" ca="1" si="0"/>
        <v>0.02</v>
      </c>
      <c r="I63" s="2407" t="s">
        <v>2374</v>
      </c>
      <c r="J63" s="2408">
        <v>70</v>
      </c>
      <c r="K63" s="2408">
        <v>50</v>
      </c>
      <c r="L63" s="2408">
        <v>80</v>
      </c>
      <c r="M63" s="3129">
        <v>0.02</v>
      </c>
      <c r="O63" s="2420" t="s">
        <v>2395</v>
      </c>
      <c r="P63" s="2421" t="s">
        <v>2412</v>
      </c>
      <c r="Q63" s="2422">
        <f ca="1">Q57+Q58</f>
        <v>16421</v>
      </c>
      <c r="R63" s="2425" t="s">
        <v>2396</v>
      </c>
    </row>
    <row r="64" spans="1:18" s="2057" customFormat="1" ht="16.5" thickBot="1">
      <c r="A64" s="1646" t="s">
        <v>1891</v>
      </c>
      <c r="B64" s="781" t="s">
        <v>679</v>
      </c>
      <c r="C64" s="53">
        <f ca="1">ROUND(C55*F64,1)</f>
        <v>5.6</v>
      </c>
      <c r="D64" s="2662" t="s">
        <v>680</v>
      </c>
      <c r="E64" s="781" t="s">
        <v>1748</v>
      </c>
      <c r="F64" s="815">
        <f t="shared" ca="1" si="0"/>
        <v>1.5E-3</v>
      </c>
      <c r="I64" s="2407" t="s">
        <v>2375</v>
      </c>
      <c r="J64" s="2408">
        <v>50</v>
      </c>
      <c r="K64" s="2408">
        <v>35</v>
      </c>
      <c r="L64" s="2408">
        <v>60</v>
      </c>
      <c r="M64" s="3130">
        <v>0</v>
      </c>
      <c r="O64" s="2426" t="s">
        <v>2419</v>
      </c>
      <c r="P64" s="1589"/>
      <c r="Q64" s="1601"/>
      <c r="R64" s="1589"/>
    </row>
    <row r="65" spans="1:18" s="2057" customFormat="1" ht="15.75" thickBot="1">
      <c r="A65" s="1646" t="s">
        <v>1892</v>
      </c>
      <c r="B65" s="781" t="s">
        <v>666</v>
      </c>
      <c r="C65" s="53">
        <f ca="1">ROUND(C47*F65,1)</f>
        <v>0</v>
      </c>
      <c r="D65" s="2662" t="s">
        <v>683</v>
      </c>
      <c r="E65" s="781" t="s">
        <v>1748</v>
      </c>
      <c r="F65" s="791">
        <f t="shared" ca="1" si="0"/>
        <v>0.02</v>
      </c>
      <c r="I65" s="2407" t="s">
        <v>2376</v>
      </c>
      <c r="J65" s="2408">
        <v>40</v>
      </c>
      <c r="K65" s="2408">
        <v>30</v>
      </c>
      <c r="L65" s="2408">
        <v>50</v>
      </c>
      <c r="M65" s="3129">
        <v>0.02</v>
      </c>
      <c r="O65" s="2417" t="s">
        <v>2379</v>
      </c>
      <c r="P65" s="2418" t="s">
        <v>2380</v>
      </c>
      <c r="Q65" s="2419" t="s">
        <v>2381</v>
      </c>
      <c r="R65" s="2418" t="s">
        <v>2382</v>
      </c>
    </row>
    <row r="66" spans="1:18" s="2057" customFormat="1" ht="24.75" thickBot="1">
      <c r="A66" s="794" t="s">
        <v>1777</v>
      </c>
      <c r="B66" s="3034" t="s">
        <v>2830</v>
      </c>
      <c r="C66" s="796">
        <f ca="1">C47-C57</f>
        <v>-112</v>
      </c>
      <c r="D66" s="2661" t="s">
        <v>700</v>
      </c>
      <c r="E66" s="2660"/>
      <c r="F66" s="817"/>
      <c r="K66" s="2084"/>
      <c r="O66" s="2420" t="s">
        <v>2383</v>
      </c>
      <c r="P66" s="2421" t="s">
        <v>2413</v>
      </c>
      <c r="Q66" s="2422">
        <f ca="1">C40+J29</f>
        <v>16421</v>
      </c>
      <c r="R66" s="2421" t="s">
        <v>2384</v>
      </c>
    </row>
    <row r="67" spans="1:18" s="2057" customFormat="1" ht="20.25" thickBot="1">
      <c r="A67" s="778" t="s">
        <v>1781</v>
      </c>
      <c r="B67" s="2230" t="s">
        <v>2304</v>
      </c>
      <c r="C67" s="780">
        <f ca="1">ROUND(C66*(1-((1+F69)/(1+F67))^F68)/(F67-F69),0)</f>
        <v>-1769</v>
      </c>
      <c r="D67" s="811" t="s">
        <v>704</v>
      </c>
      <c r="E67" s="781" t="s">
        <v>705</v>
      </c>
      <c r="F67" s="791">
        <f ca="1">F40</f>
        <v>5.5E-2</v>
      </c>
      <c r="K67" s="2084"/>
      <c r="O67" s="2420" t="s">
        <v>2385</v>
      </c>
      <c r="P67" s="2421" t="s">
        <v>2416</v>
      </c>
      <c r="Q67" s="2422">
        <f ca="1">L60</f>
        <v>0</v>
      </c>
      <c r="R67" s="2425" t="s">
        <v>2418</v>
      </c>
    </row>
    <row r="68" spans="1:18" ht="21.75" thickBot="1">
      <c r="A68" s="783"/>
      <c r="B68" s="784"/>
      <c r="C68" s="785"/>
      <c r="D68" s="818" t="s">
        <v>1809</v>
      </c>
      <c r="E68" s="781" t="s">
        <v>1785</v>
      </c>
      <c r="F68" s="819">
        <f ca="1">F41</f>
        <v>37.89</v>
      </c>
      <c r="O68" s="2423" t="s">
        <v>2387</v>
      </c>
      <c r="P68" s="2421" t="s">
        <v>2417</v>
      </c>
      <c r="Q68" s="2427">
        <f ca="1">L51</f>
        <v>7268</v>
      </c>
      <c r="R68" s="2428" t="s">
        <v>2420</v>
      </c>
    </row>
    <row r="69" spans="1:18" ht="20.25" thickBot="1">
      <c r="A69" s="787"/>
      <c r="B69" s="788"/>
      <c r="C69" s="789"/>
      <c r="D69" s="813"/>
      <c r="E69" s="781" t="s">
        <v>710</v>
      </c>
      <c r="F69" s="2369"/>
      <c r="O69" s="2423" t="s">
        <v>2388</v>
      </c>
      <c r="P69" s="2429" t="s">
        <v>2402</v>
      </c>
      <c r="Q69" s="2422">
        <f ca="1">ROUND(Q70-Q71*Q72,0)</f>
        <v>424</v>
      </c>
      <c r="R69" s="2425"/>
    </row>
    <row r="70" spans="1:18" ht="15.75" thickBot="1">
      <c r="A70" s="820" t="s">
        <v>1788</v>
      </c>
      <c r="B70" s="821" t="s">
        <v>1811</v>
      </c>
      <c r="C70" s="822">
        <f ca="1">ROUND(C67*10000/F70,0)</f>
        <v>-2527</v>
      </c>
      <c r="D70" s="823" t="s">
        <v>1812</v>
      </c>
      <c r="E70" s="824" t="s">
        <v>1813</v>
      </c>
      <c r="F70" s="825">
        <f ca="1">F43</f>
        <v>7000</v>
      </c>
      <c r="O70" s="2423" t="s">
        <v>2403</v>
      </c>
      <c r="P70" s="2429" t="s">
        <v>2404</v>
      </c>
      <c r="Q70" s="2422">
        <f ca="1">C39</f>
        <v>741</v>
      </c>
      <c r="R70" s="2421" t="s">
        <v>2384</v>
      </c>
    </row>
    <row r="71" spans="1:18" ht="15.75" thickBot="1">
      <c r="O71" s="2423" t="s">
        <v>2405</v>
      </c>
      <c r="P71" s="2429" t="s">
        <v>2406</v>
      </c>
      <c r="Q71" s="2422">
        <f ca="1">C13</f>
        <v>3730</v>
      </c>
      <c r="R71" s="2421" t="s">
        <v>2384</v>
      </c>
    </row>
    <row r="72" spans="1:18" ht="15.75" thickBot="1">
      <c r="O72" s="2423" t="s">
        <v>2407</v>
      </c>
      <c r="P72" s="2429" t="s">
        <v>2408</v>
      </c>
      <c r="Q72" s="2424">
        <f ca="1">J36</f>
        <v>8.5000000000000006E-2</v>
      </c>
      <c r="R72" s="2425"/>
    </row>
    <row r="73" spans="1:18" ht="15.75" thickBot="1">
      <c r="O73" s="2423" t="s">
        <v>2390</v>
      </c>
      <c r="P73" s="2421" t="s">
        <v>2397</v>
      </c>
      <c r="Q73" s="2424">
        <f>L52</f>
        <v>0</v>
      </c>
      <c r="R73" s="2425"/>
    </row>
    <row r="74" spans="1:18" ht="20.25" thickBot="1">
      <c r="O74" s="2423" t="s">
        <v>2392</v>
      </c>
      <c r="P74" s="2421" t="s">
        <v>2398</v>
      </c>
      <c r="Q74" s="2422" t="e">
        <f ca="1">L58</f>
        <v>#DIV/0!</v>
      </c>
      <c r="R74" s="2425" t="s">
        <v>2399</v>
      </c>
    </row>
    <row r="75" spans="1:18" ht="15.75" thickBot="1">
      <c r="O75" s="2423" t="s">
        <v>2421</v>
      </c>
      <c r="P75" s="2421" t="str">
        <f>K59</f>
        <v>建设期及建筑物耐用年限下的土地年期修正系数Kn</v>
      </c>
      <c r="Q75" s="2422" t="e">
        <f ca="1">L59</f>
        <v>#DIV/0!</v>
      </c>
      <c r="R75" s="2425" t="s">
        <v>2401</v>
      </c>
    </row>
    <row r="76" spans="1:18" ht="15.75" thickBot="1">
      <c r="O76" s="2420" t="s">
        <v>2395</v>
      </c>
      <c r="P76" s="2421" t="s">
        <v>2412</v>
      </c>
      <c r="Q76" s="2422">
        <f ca="1">Q66+Q67</f>
        <v>16421</v>
      </c>
      <c r="R76" s="242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2477</v>
      </c>
      <c r="B1" s="3490"/>
      <c r="C1" s="3491"/>
      <c r="D1" s="3492">
        <f>SUM(I10,I15,I20,I21,I23)</f>
        <v>0</v>
      </c>
      <c r="E1" s="3492"/>
      <c r="F1" s="3492"/>
      <c r="G1" s="3492"/>
      <c r="H1" s="3492"/>
      <c r="I1" s="3493"/>
    </row>
    <row r="2" spans="1:9">
      <c r="A2" s="3479" t="s">
        <v>2478</v>
      </c>
      <c r="B2" s="3480" t="s">
        <v>2479</v>
      </c>
      <c r="C2" s="3480"/>
      <c r="D2" s="2529" t="s">
        <v>2480</v>
      </c>
      <c r="E2" s="2529" t="s">
        <v>2481</v>
      </c>
      <c r="F2" s="2529" t="s">
        <v>2482</v>
      </c>
      <c r="G2" s="2529" t="s">
        <v>2483</v>
      </c>
      <c r="H2" s="2529" t="s">
        <v>2484</v>
      </c>
      <c r="I2" s="2530" t="s">
        <v>2485</v>
      </c>
    </row>
    <row r="3" spans="1:9">
      <c r="A3" s="3479"/>
      <c r="B3" s="3480" t="s">
        <v>2486</v>
      </c>
      <c r="C3" s="3480"/>
      <c r="D3" s="2531"/>
      <c r="E3" s="2529"/>
      <c r="F3" s="2532"/>
      <c r="G3" s="2532"/>
      <c r="H3" s="2533"/>
      <c r="I3" s="2534">
        <f>ROUND(D3*E3*F3*G3*H3/10000,0)</f>
        <v>0</v>
      </c>
    </row>
    <row r="4" spans="1:9">
      <c r="A4" s="3479"/>
      <c r="B4" s="3480" t="s">
        <v>2487</v>
      </c>
      <c r="C4" s="3480"/>
      <c r="D4" s="2531"/>
      <c r="E4" s="2529"/>
      <c r="F4" s="2532"/>
      <c r="G4" s="2532"/>
      <c r="H4" s="2533"/>
      <c r="I4" s="2534">
        <f t="shared" ref="I4:I9" si="0">ROUND(D4*E4*F4*G4*H4/10000,0)</f>
        <v>0</v>
      </c>
    </row>
    <row r="5" spans="1:9">
      <c r="A5" s="3479"/>
      <c r="B5" s="3480" t="s">
        <v>2488</v>
      </c>
      <c r="C5" s="3480"/>
      <c r="D5" s="2531"/>
      <c r="E5" s="2529"/>
      <c r="F5" s="2532"/>
      <c r="G5" s="2532"/>
      <c r="H5" s="2533"/>
      <c r="I5" s="2534">
        <f t="shared" si="0"/>
        <v>0</v>
      </c>
    </row>
    <row r="6" spans="1:9">
      <c r="A6" s="3479"/>
      <c r="B6" s="3480" t="s">
        <v>2489</v>
      </c>
      <c r="C6" s="3480"/>
      <c r="D6" s="2531"/>
      <c r="E6" s="2529"/>
      <c r="F6" s="2532"/>
      <c r="G6" s="2532"/>
      <c r="H6" s="2533"/>
      <c r="I6" s="2534">
        <f t="shared" si="0"/>
        <v>0</v>
      </c>
    </row>
    <row r="7" spans="1:9">
      <c r="A7" s="3479"/>
      <c r="B7" s="3480" t="s">
        <v>2490</v>
      </c>
      <c r="C7" s="3480"/>
      <c r="D7" s="2531"/>
      <c r="E7" s="2529"/>
      <c r="F7" s="2532"/>
      <c r="G7" s="2532"/>
      <c r="H7" s="2533"/>
      <c r="I7" s="2534">
        <f t="shared" si="0"/>
        <v>0</v>
      </c>
    </row>
    <row r="8" spans="1:9">
      <c r="A8" s="3479"/>
      <c r="B8" s="3480" t="s">
        <v>2491</v>
      </c>
      <c r="C8" s="3480"/>
      <c r="D8" s="2531"/>
      <c r="E8" s="2529"/>
      <c r="F8" s="2532"/>
      <c r="G8" s="2532"/>
      <c r="H8" s="2533"/>
      <c r="I8" s="2534">
        <f t="shared" si="0"/>
        <v>0</v>
      </c>
    </row>
    <row r="9" spans="1:9">
      <c r="A9" s="3479"/>
      <c r="B9" s="3480" t="s">
        <v>2492</v>
      </c>
      <c r="C9" s="3480"/>
      <c r="D9" s="2531"/>
      <c r="E9" s="2529"/>
      <c r="F9" s="2532"/>
      <c r="G9" s="2532"/>
      <c r="H9" s="2533"/>
      <c r="I9" s="2534">
        <f t="shared" si="0"/>
        <v>0</v>
      </c>
    </row>
    <row r="10" spans="1:9">
      <c r="A10" s="3479"/>
      <c r="B10" s="3481" t="s">
        <v>2493</v>
      </c>
      <c r="C10" s="3481"/>
      <c r="D10" s="2535">
        <v>527</v>
      </c>
      <c r="E10" s="2535" t="e">
        <f>ROUND(D1*10000/D10/H9,0)</f>
        <v>#DIV/0!</v>
      </c>
      <c r="F10" s="2536"/>
      <c r="G10" s="2536"/>
      <c r="H10" s="2537"/>
      <c r="I10" s="2538">
        <f>SUM(I3:I9)</f>
        <v>0</v>
      </c>
    </row>
    <row r="11" spans="1:9" ht="14.25">
      <c r="A11" s="3479" t="s">
        <v>2494</v>
      </c>
      <c r="B11" s="3480" t="s">
        <v>2495</v>
      </c>
      <c r="C11" s="3480"/>
      <c r="D11" s="2531" t="s">
        <v>2496</v>
      </c>
      <c r="E11" s="2531" t="s">
        <v>2497</v>
      </c>
      <c r="F11" s="2532" t="s">
        <v>2498</v>
      </c>
      <c r="G11" s="2532" t="s">
        <v>2499</v>
      </c>
      <c r="H11" s="2539" t="s">
        <v>2500</v>
      </c>
      <c r="I11" s="2530" t="s">
        <v>2501</v>
      </c>
    </row>
    <row r="12" spans="1:9">
      <c r="A12" s="3479"/>
      <c r="B12" s="3480" t="s">
        <v>2502</v>
      </c>
      <c r="C12" s="3480"/>
      <c r="D12" s="2531"/>
      <c r="E12" s="2531"/>
      <c r="F12" s="2532"/>
      <c r="G12" s="2533"/>
      <c r="H12" s="2540"/>
      <c r="I12" s="2530">
        <f>ROUND(D12*E12*F12*G12/10000,0)</f>
        <v>0</v>
      </c>
    </row>
    <row r="13" spans="1:9">
      <c r="A13" s="3479"/>
      <c r="B13" s="3480" t="s">
        <v>2503</v>
      </c>
      <c r="C13" s="3480"/>
      <c r="D13" s="2531"/>
      <c r="E13" s="2531"/>
      <c r="F13" s="2532"/>
      <c r="G13" s="2533"/>
      <c r="H13" s="2540"/>
      <c r="I13" s="2530">
        <f>ROUND(D13*E13*F13*G13/10000,0)</f>
        <v>0</v>
      </c>
    </row>
    <row r="14" spans="1:9">
      <c r="A14" s="3479"/>
      <c r="B14" s="3480" t="s">
        <v>2504</v>
      </c>
      <c r="C14" s="3480"/>
      <c r="D14" s="2531"/>
      <c r="E14" s="2531"/>
      <c r="F14" s="2532"/>
      <c r="G14" s="2533"/>
      <c r="H14" s="2540"/>
      <c r="I14" s="2530">
        <f>ROUND(D14*E14*F14*G14/10000,0)</f>
        <v>0</v>
      </c>
    </row>
    <row r="15" spans="1:9">
      <c r="A15" s="3479"/>
      <c r="B15" s="3481" t="s">
        <v>2493</v>
      </c>
      <c r="C15" s="3481"/>
      <c r="D15" s="2535"/>
      <c r="E15" s="2535">
        <f>SUM(E12:E14)</f>
        <v>0</v>
      </c>
      <c r="F15" s="2536"/>
      <c r="G15" s="2533"/>
      <c r="H15" s="2540"/>
      <c r="I15" s="2541">
        <f>SUM(I12:I14)</f>
        <v>0</v>
      </c>
    </row>
    <row r="16" spans="1:9" ht="24">
      <c r="A16" s="3479" t="s">
        <v>2505</v>
      </c>
      <c r="B16" s="3480" t="s">
        <v>2506</v>
      </c>
      <c r="C16" s="3480"/>
      <c r="D16" s="2531" t="s">
        <v>2507</v>
      </c>
      <c r="E16" s="2542" t="s">
        <v>2508</v>
      </c>
      <c r="F16" s="2532" t="s">
        <v>2509</v>
      </c>
      <c r="G16" s="2533" t="s">
        <v>2499</v>
      </c>
      <c r="H16" s="2539" t="s">
        <v>2500</v>
      </c>
      <c r="I16" s="2530" t="s">
        <v>2501</v>
      </c>
    </row>
    <row r="17" spans="1:9" ht="14.25">
      <c r="A17" s="3479"/>
      <c r="B17" s="3480" t="s">
        <v>2510</v>
      </c>
      <c r="C17" s="3480"/>
      <c r="D17" s="2531"/>
      <c r="E17" s="2531"/>
      <c r="F17" s="2532"/>
      <c r="G17" s="2533"/>
      <c r="H17" s="2543"/>
      <c r="I17" s="2544">
        <f>ROUND(D17*E17*F17*G17/10000,0)</f>
        <v>0</v>
      </c>
    </row>
    <row r="18" spans="1:9" ht="14.25">
      <c r="A18" s="3479"/>
      <c r="B18" s="3480" t="s">
        <v>2511</v>
      </c>
      <c r="C18" s="3480"/>
      <c r="D18" s="2531"/>
      <c r="E18" s="2531"/>
      <c r="F18" s="2532"/>
      <c r="G18" s="2533"/>
      <c r="H18" s="2543"/>
      <c r="I18" s="2544">
        <f>ROUND(D18*E18*F18*G18/10000,0)</f>
        <v>0</v>
      </c>
    </row>
    <row r="19" spans="1:9" ht="14.25">
      <c r="A19" s="3479"/>
      <c r="B19" s="3480" t="s">
        <v>2512</v>
      </c>
      <c r="C19" s="3480"/>
      <c r="D19" s="2531"/>
      <c r="E19" s="2531"/>
      <c r="F19" s="2532"/>
      <c r="G19" s="2533"/>
      <c r="H19" s="2543"/>
      <c r="I19" s="2544">
        <f>ROUND(D19*E19*F19*G19/10000,0)</f>
        <v>0</v>
      </c>
    </row>
    <row r="20" spans="1:9">
      <c r="A20" s="3479"/>
      <c r="B20" s="3481" t="s">
        <v>2493</v>
      </c>
      <c r="C20" s="3481"/>
      <c r="D20" s="2535">
        <f>SUM(D17:D19)</f>
        <v>0</v>
      </c>
      <c r="E20" s="2535"/>
      <c r="F20" s="2536"/>
      <c r="G20" s="2533"/>
      <c r="H20" s="2540"/>
      <c r="I20" s="2541">
        <f>SUM(I17:I19)</f>
        <v>0</v>
      </c>
    </row>
    <row r="21" spans="1:9">
      <c r="A21" s="3479" t="s">
        <v>2513</v>
      </c>
      <c r="B21" s="3482"/>
      <c r="C21" s="3482"/>
      <c r="D21" s="3482"/>
      <c r="E21" s="3482"/>
      <c r="F21" s="3482"/>
      <c r="G21" s="3482"/>
      <c r="H21" s="2545">
        <v>0.1</v>
      </c>
      <c r="I21" s="2538">
        <f>ROUND(I10*H21,0)</f>
        <v>0</v>
      </c>
    </row>
    <row r="22" spans="1:9" ht="14.25">
      <c r="A22" s="3483" t="s">
        <v>2514</v>
      </c>
      <c r="B22" s="3484"/>
      <c r="C22" s="3485"/>
      <c r="D22" s="2546" t="s">
        <v>2515</v>
      </c>
      <c r="E22" s="2546" t="s">
        <v>2516</v>
      </c>
      <c r="F22" s="2547" t="s">
        <v>2517</v>
      </c>
      <c r="G22" s="2547" t="s">
        <v>2518</v>
      </c>
      <c r="H22" s="2539" t="s">
        <v>2519</v>
      </c>
      <c r="I22" s="2530" t="s">
        <v>2520</v>
      </c>
    </row>
    <row r="23" spans="1:9" ht="14.25" thickBot="1">
      <c r="A23" s="3486"/>
      <c r="B23" s="3487"/>
      <c r="C23" s="3488"/>
      <c r="D23" s="2548"/>
      <c r="E23" s="2548"/>
      <c r="F23" s="2548"/>
      <c r="G23" s="2549"/>
      <c r="H23" s="2550"/>
      <c r="I23" s="2551">
        <f>ROUND(E23*D23*F23*(1-G23)/10000,0)</f>
        <v>0</v>
      </c>
    </row>
    <row r="26" spans="1:9">
      <c r="A26" s="2552" t="s">
        <v>2521</v>
      </c>
      <c r="B26" s="2552"/>
      <c r="C26" s="2552"/>
      <c r="D26" s="2552"/>
      <c r="E26" s="3476">
        <f>C27-C30-C31-C32</f>
        <v>0</v>
      </c>
      <c r="F26" s="3476"/>
      <c r="G26" s="3476"/>
      <c r="H26" s="3067" t="s">
        <v>2851</v>
      </c>
    </row>
    <row r="27" spans="1:9">
      <c r="A27" s="2553">
        <v>1</v>
      </c>
      <c r="B27" s="2554" t="s">
        <v>2522</v>
      </c>
      <c r="C27" s="2554"/>
      <c r="D27" s="2554"/>
      <c r="E27" s="3477"/>
      <c r="F27" s="3477"/>
      <c r="G27" s="3477"/>
    </row>
    <row r="28" spans="1:9">
      <c r="A28" s="2555" t="s">
        <v>2523</v>
      </c>
      <c r="B28" s="2554" t="s">
        <v>2524</v>
      </c>
      <c r="C28" s="2554"/>
      <c r="D28" s="2554"/>
      <c r="E28" s="3477"/>
      <c r="F28" s="3477"/>
      <c r="G28" s="3477"/>
    </row>
    <row r="29" spans="1:9">
      <c r="A29" s="2555" t="s">
        <v>2525</v>
      </c>
      <c r="B29" s="2554" t="s">
        <v>2465</v>
      </c>
      <c r="C29" s="2554"/>
      <c r="D29" s="2554"/>
      <c r="E29" s="2554" t="s">
        <v>2526</v>
      </c>
      <c r="F29" s="2554"/>
      <c r="G29" s="2554"/>
    </row>
    <row r="30" spans="1:9">
      <c r="A30" s="2553">
        <v>2</v>
      </c>
      <c r="B30" s="2554" t="s">
        <v>2527</v>
      </c>
      <c r="C30" s="2554">
        <f>C27*D30</f>
        <v>0</v>
      </c>
      <c r="D30" s="2556">
        <v>0.2</v>
      </c>
      <c r="E30" s="2554" t="s">
        <v>2528</v>
      </c>
      <c r="F30" s="2554"/>
      <c r="G30" s="2554"/>
    </row>
    <row r="31" spans="1:9">
      <c r="A31" s="2553">
        <v>3</v>
      </c>
      <c r="B31" s="2554" t="s">
        <v>2529</v>
      </c>
      <c r="C31" s="2554">
        <f>C25*D31</f>
        <v>0</v>
      </c>
      <c r="D31" s="2556">
        <v>0.15</v>
      </c>
      <c r="E31" s="2554" t="s">
        <v>2530</v>
      </c>
      <c r="F31" s="2554"/>
      <c r="G31" s="2554"/>
    </row>
    <row r="32" spans="1:9">
      <c r="A32" s="2553">
        <v>4</v>
      </c>
      <c r="B32" s="2554" t="s">
        <v>2531</v>
      </c>
      <c r="C32" s="2554">
        <f>C27*D32</f>
        <v>0</v>
      </c>
      <c r="D32" s="2556">
        <v>0.05</v>
      </c>
      <c r="E32" s="3478"/>
      <c r="F32" s="3478"/>
      <c r="G32" s="3478"/>
    </row>
    <row r="33" spans="1:7" hidden="1">
      <c r="A33" s="3473" t="s">
        <v>2532</v>
      </c>
      <c r="B33" s="3474"/>
      <c r="C33" s="3474"/>
      <c r="D33" s="3475"/>
      <c r="E33" s="3476"/>
      <c r="F33" s="3476"/>
      <c r="G33" s="3476"/>
    </row>
    <row r="34" spans="1:7" hidden="1">
      <c r="A34" s="2557">
        <v>1</v>
      </c>
      <c r="B34" s="2554" t="s">
        <v>2533</v>
      </c>
      <c r="C34" s="2554"/>
      <c r="D34" s="2554"/>
      <c r="E34" s="3477"/>
      <c r="F34" s="3477"/>
      <c r="G34" s="3477"/>
    </row>
    <row r="35" spans="1:7" hidden="1">
      <c r="A35" s="2557">
        <v>2</v>
      </c>
      <c r="B35" s="2554" t="s">
        <v>2534</v>
      </c>
      <c r="C35" s="2554"/>
      <c r="D35" s="2554"/>
      <c r="E35" s="3477"/>
      <c r="F35" s="3477"/>
      <c r="G35" s="3477"/>
    </row>
    <row r="36" spans="1:7" hidden="1">
      <c r="A36" s="2557">
        <v>3</v>
      </c>
      <c r="B36" s="2554" t="s">
        <v>2535</v>
      </c>
      <c r="C36" s="2554"/>
      <c r="D36" s="2554"/>
      <c r="E36" s="3477"/>
      <c r="F36" s="3477"/>
      <c r="G36" s="3477"/>
    </row>
    <row r="37" spans="1:7" hidden="1">
      <c r="A37" s="2557">
        <v>4</v>
      </c>
      <c r="B37" s="2554" t="s">
        <v>2536</v>
      </c>
      <c r="C37" s="2554"/>
      <c r="D37" s="2554"/>
      <c r="E37" s="3477"/>
      <c r="F37" s="3477"/>
      <c r="G37" s="3477"/>
    </row>
    <row r="38" spans="1:7" hidden="1">
      <c r="A38" s="3473" t="s">
        <v>2537</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603</v>
      </c>
      <c r="B1" s="739"/>
      <c r="C1" s="2180"/>
      <c r="D1" s="2180"/>
      <c r="E1" s="2180"/>
      <c r="F1" s="2180"/>
      <c r="G1" s="2106"/>
    </row>
    <row r="2" spans="1:25" s="2057" customFormat="1" ht="18" customHeight="1">
      <c r="A2" s="420" t="s">
        <v>466</v>
      </c>
      <c r="B2" s="422">
        <f ca="1">C23</f>
        <v>0</v>
      </c>
      <c r="C2" s="2106"/>
      <c r="D2" s="2106"/>
      <c r="E2" s="2106"/>
      <c r="F2" s="2106"/>
      <c r="G2" s="2106"/>
    </row>
    <row r="3" spans="1:25" s="2057" customFormat="1" ht="18" customHeight="1">
      <c r="A3" s="1376" t="s">
        <v>1686</v>
      </c>
      <c r="B3" s="422">
        <f ca="1">ROUND(B2*10000/'数据-汇总表'!E3,0)</f>
        <v>0</v>
      </c>
      <c r="C3" s="2106"/>
      <c r="D3" s="2106"/>
      <c r="E3" s="2106"/>
      <c r="F3" s="2106"/>
      <c r="G3" s="2106"/>
    </row>
    <row r="4" spans="1:25" s="2057" customFormat="1" ht="18" customHeight="1">
      <c r="A4" s="423" t="s">
        <v>467</v>
      </c>
      <c r="B4" s="424">
        <f ca="1">ROUND(B2*10000/'数据-汇总表'!D3,0)</f>
        <v>0</v>
      </c>
      <c r="C4" s="2059"/>
      <c r="D4" s="2106"/>
      <c r="E4" s="2106"/>
      <c r="F4" s="2106"/>
      <c r="G4" s="2106"/>
    </row>
    <row r="5" spans="1:25" s="2057" customFormat="1" ht="18" customHeight="1" thickBot="1">
      <c r="A5" s="426"/>
      <c r="B5" s="427">
        <f ca="1">ROUND(B2/('数据-汇总表'!D3/666.67),0)</f>
        <v>0</v>
      </c>
      <c r="C5" s="428" t="s">
        <v>468</v>
      </c>
      <c r="D5" s="2106"/>
      <c r="E5" s="2106"/>
      <c r="F5" s="2106"/>
      <c r="G5" s="2106"/>
    </row>
    <row r="6" spans="1:25" s="2181" customFormat="1" ht="13.5" customHeight="1">
      <c r="A6" s="740"/>
      <c r="B6" s="741" t="s">
        <v>604</v>
      </c>
      <c r="C6" s="742" t="s">
        <v>605</v>
      </c>
      <c r="D6" s="742" t="s">
        <v>606</v>
      </c>
      <c r="E6" s="743" t="s">
        <v>607</v>
      </c>
      <c r="F6" s="743" t="s">
        <v>608</v>
      </c>
      <c r="G6" s="744"/>
    </row>
    <row r="7" spans="1:25" s="2181" customFormat="1" ht="13.5" customHeight="1">
      <c r="A7" s="2491">
        <v>1</v>
      </c>
      <c r="B7" s="745" t="s">
        <v>609</v>
      </c>
      <c r="C7" s="746">
        <f>C8+C9</f>
        <v>0</v>
      </c>
      <c r="D7" s="746"/>
      <c r="E7" s="747"/>
      <c r="F7" s="747"/>
      <c r="G7" s="2501"/>
    </row>
    <row r="8" spans="1:25" s="2181" customFormat="1" ht="13.5" customHeight="1">
      <c r="A8" s="2491" t="s">
        <v>2444</v>
      </c>
      <c r="B8" s="2494" t="s">
        <v>2446</v>
      </c>
      <c r="C8" s="2495"/>
      <c r="D8" s="746"/>
      <c r="E8" s="747"/>
      <c r="F8" s="747"/>
      <c r="G8" s="748"/>
    </row>
    <row r="9" spans="1:25" s="2181" customFormat="1" ht="13.5" customHeight="1">
      <c r="A9" s="2491" t="s">
        <v>2445</v>
      </c>
      <c r="B9" s="2494" t="s">
        <v>2447</v>
      </c>
      <c r="C9" s="2495"/>
      <c r="D9" s="746"/>
      <c r="E9" s="747"/>
      <c r="F9" s="747"/>
      <c r="G9" s="748"/>
    </row>
    <row r="10" spans="1:25" s="2181" customFormat="1" ht="36">
      <c r="A10" s="2491">
        <v>2</v>
      </c>
      <c r="B10" s="745" t="s">
        <v>613</v>
      </c>
      <c r="C10" s="746">
        <f>C11+C14+C15</f>
        <v>0</v>
      </c>
      <c r="D10" s="757">
        <f>'数据-汇总表'!E3</f>
        <v>136430.07</v>
      </c>
      <c r="E10" s="746">
        <f>'数据-取费表'!B31</f>
        <v>200</v>
      </c>
      <c r="F10" s="758"/>
      <c r="G10" s="756" t="s">
        <v>614</v>
      </c>
    </row>
    <row r="11" spans="1:25" s="2181" customFormat="1" ht="13.5" customHeight="1">
      <c r="A11" s="2491" t="s">
        <v>2444</v>
      </c>
      <c r="B11" s="749" t="s">
        <v>610</v>
      </c>
      <c r="C11" s="750">
        <f>'数据-取费表'!B29</f>
        <v>0</v>
      </c>
      <c r="D11" s="751"/>
      <c r="E11" s="750"/>
      <c r="F11" s="752"/>
      <c r="G11" s="2500" t="s">
        <v>2455</v>
      </c>
    </row>
    <row r="12" spans="1:25" s="2181" customFormat="1" ht="13.5" customHeight="1">
      <c r="A12" s="2498" t="s">
        <v>2452</v>
      </c>
      <c r="B12" s="753" t="s">
        <v>611</v>
      </c>
      <c r="C12" s="754">
        <f>ROUND(D12*E12/10000,0)</f>
        <v>1082</v>
      </c>
      <c r="D12" s="755">
        <f>'数据-汇总表'!E5</f>
        <v>103065.77</v>
      </c>
      <c r="E12" s="754">
        <f>'数据-取费表'!B27</f>
        <v>105</v>
      </c>
      <c r="F12" s="752"/>
      <c r="G12" s="756"/>
    </row>
    <row r="13" spans="1:25" s="2181" customFormat="1" ht="13.5" customHeight="1">
      <c r="A13" s="2498" t="s">
        <v>2451</v>
      </c>
      <c r="B13" s="753" t="s">
        <v>612</v>
      </c>
      <c r="C13" s="754">
        <f>ROUND(D13*E13/10000,0)</f>
        <v>350</v>
      </c>
      <c r="D13" s="755">
        <f>'数据-汇总表'!E6</f>
        <v>33364.300000000003</v>
      </c>
      <c r="E13" s="754">
        <f>'数据-取费表'!B28</f>
        <v>105</v>
      </c>
      <c r="F13" s="752"/>
      <c r="G13" s="756"/>
    </row>
    <row r="14" spans="1:25" s="2181" customFormat="1" ht="13.5" customHeight="1">
      <c r="A14" s="2491" t="s">
        <v>2445</v>
      </c>
      <c r="B14" s="2497" t="s">
        <v>2448</v>
      </c>
      <c r="C14" s="2495"/>
      <c r="D14" s="755"/>
      <c r="E14" s="754"/>
      <c r="F14" s="2496"/>
      <c r="G14" s="2499" t="s">
        <v>2453</v>
      </c>
    </row>
    <row r="15" spans="1:25" s="2181" customFormat="1" ht="13.5" customHeight="1">
      <c r="A15" s="2491" t="s">
        <v>2450</v>
      </c>
      <c r="B15" s="2497" t="s">
        <v>2449</v>
      </c>
      <c r="C15" s="2495"/>
      <c r="D15" s="755"/>
      <c r="E15" s="754"/>
      <c r="F15" s="2496"/>
      <c r="G15" s="2499" t="s">
        <v>2454</v>
      </c>
    </row>
    <row r="16" spans="1:25" s="2182" customFormat="1" ht="48">
      <c r="A16" s="2491">
        <v>3</v>
      </c>
      <c r="B16" s="745" t="s">
        <v>615</v>
      </c>
      <c r="C16" s="2495"/>
      <c r="D16" s="757"/>
      <c r="E16" s="746"/>
      <c r="F16" s="758"/>
      <c r="G16" s="756" t="s">
        <v>2456</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616</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617</v>
      </c>
      <c r="C18" s="746">
        <f>ROUND((C7+C10+C16)*F18,0)</f>
        <v>0</v>
      </c>
      <c r="D18" s="759"/>
      <c r="E18" s="760"/>
      <c r="F18" s="758">
        <f>'数据-取费表'!Q16</f>
        <v>0.14000000000000001</v>
      </c>
      <c r="G18" s="762"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619</v>
      </c>
      <c r="C19" s="746">
        <f ca="1">C7+C10+C16+C17+C18</f>
        <v>0</v>
      </c>
      <c r="D19" s="757"/>
      <c r="E19" s="746"/>
      <c r="F19" s="758"/>
      <c r="G19" s="762"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621</v>
      </c>
      <c r="C20" s="746">
        <f ca="1">ROUND(C19*F20,0)</f>
        <v>0</v>
      </c>
      <c r="D20" s="757"/>
      <c r="E20" s="746"/>
      <c r="F20" s="1345"/>
      <c r="G20" s="762"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623</v>
      </c>
      <c r="C21" s="746">
        <f ca="1">C19+C20</f>
        <v>0</v>
      </c>
      <c r="D21" s="757"/>
      <c r="E21" s="746"/>
      <c r="F21" s="758"/>
      <c r="G21" s="762"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625</v>
      </c>
      <c r="C22" s="746">
        <f ca="1">ROUND(C21*F22,0)</f>
        <v>0</v>
      </c>
      <c r="D22" s="757"/>
      <c r="E22" s="746"/>
      <c r="F22" s="763">
        <f>'数据-取费表'!AP16</f>
        <v>0.93100000000000005</v>
      </c>
      <c r="G22" s="762"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627</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757</v>
      </c>
      <c r="C1" s="501" t="s">
        <v>720</v>
      </c>
      <c r="D1" s="2368"/>
      <c r="E1" s="503"/>
      <c r="F1" s="2831"/>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466</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519</v>
      </c>
      <c r="B3" s="507" t="e">
        <f>C49</f>
        <v>#DIV/0!</v>
      </c>
      <c r="C3" s="849" t="s">
        <v>722</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521</v>
      </c>
      <c r="B4" s="510"/>
      <c r="C4" s="3389" t="s">
        <v>522</v>
      </c>
      <c r="D4" s="3390"/>
      <c r="E4" s="3414" t="s">
        <v>523</v>
      </c>
      <c r="F4" s="3415"/>
      <c r="G4" s="3389" t="s">
        <v>524</v>
      </c>
      <c r="H4" s="3390"/>
      <c r="I4" s="3389" t="s">
        <v>525</v>
      </c>
      <c r="J4" s="3390"/>
      <c r="K4" s="511" t="s">
        <v>526</v>
      </c>
      <c r="L4" s="2131"/>
      <c r="M4" s="2132"/>
      <c r="N4" s="2132"/>
      <c r="O4" s="2132"/>
      <c r="P4" s="3391" t="s">
        <v>527</v>
      </c>
      <c r="Q4" s="3392"/>
      <c r="R4" s="3377" t="s">
        <v>523</v>
      </c>
      <c r="S4" s="3378"/>
      <c r="T4" s="3377" t="s">
        <v>524</v>
      </c>
      <c r="U4" s="3378"/>
      <c r="V4" s="3397" t="s">
        <v>525</v>
      </c>
      <c r="W4" s="3397"/>
      <c r="X4" s="1564"/>
      <c r="Y4" s="3377" t="s">
        <v>527</v>
      </c>
      <c r="Z4" s="3378"/>
      <c r="AA4" s="3372" t="s">
        <v>523</v>
      </c>
      <c r="AB4" s="3397" t="s">
        <v>524</v>
      </c>
      <c r="AC4" s="3372" t="s">
        <v>525</v>
      </c>
    </row>
    <row r="5" spans="1:29" ht="15">
      <c r="A5" s="512"/>
      <c r="B5" s="513"/>
      <c r="C5" s="3400" t="s">
        <v>2939</v>
      </c>
      <c r="D5" s="3401"/>
      <c r="E5" s="3416" t="s">
        <v>2940</v>
      </c>
      <c r="F5" s="3417"/>
      <c r="G5" s="3400" t="s">
        <v>2941</v>
      </c>
      <c r="H5" s="3401"/>
      <c r="I5" s="3400" t="s">
        <v>2942</v>
      </c>
      <c r="J5" s="3401"/>
      <c r="K5" s="511"/>
      <c r="L5" s="2131"/>
      <c r="M5" s="2132"/>
      <c r="N5" s="2132"/>
      <c r="O5" s="2132"/>
      <c r="P5" s="3393"/>
      <c r="Q5" s="3394"/>
      <c r="R5" s="3379"/>
      <c r="S5" s="3380"/>
      <c r="T5" s="3379"/>
      <c r="U5" s="3380"/>
      <c r="V5" s="3397"/>
      <c r="W5" s="3397"/>
      <c r="X5" s="1564"/>
      <c r="Y5" s="3379"/>
      <c r="Z5" s="3380"/>
      <c r="AA5" s="3373"/>
      <c r="AB5" s="3397"/>
      <c r="AC5" s="3373"/>
    </row>
    <row r="6" spans="1:29" ht="15.75" thickBot="1">
      <c r="A6" s="514"/>
      <c r="B6" s="515"/>
      <c r="C6" s="3418" t="s">
        <v>2943</v>
      </c>
      <c r="D6" s="3399"/>
      <c r="E6" s="3419" t="s">
        <v>2943</v>
      </c>
      <c r="F6" s="3420"/>
      <c r="G6" s="3418" t="s">
        <v>2943</v>
      </c>
      <c r="H6" s="3399"/>
      <c r="I6" s="3418" t="s">
        <v>2943</v>
      </c>
      <c r="J6" s="3399"/>
      <c r="K6" s="511" t="s">
        <v>528</v>
      </c>
      <c r="L6" s="2131"/>
      <c r="M6" s="2132"/>
      <c r="N6" s="2132"/>
      <c r="O6" s="2132"/>
      <c r="P6" s="3395"/>
      <c r="Q6" s="3396"/>
      <c r="R6" s="3379"/>
      <c r="S6" s="3380"/>
      <c r="T6" s="3381"/>
      <c r="U6" s="3382"/>
      <c r="V6" s="3397"/>
      <c r="W6" s="3397"/>
      <c r="X6" s="1564"/>
      <c r="Y6" s="3381"/>
      <c r="Z6" s="3382"/>
      <c r="AA6" s="3374"/>
      <c r="AB6" s="3397"/>
      <c r="AC6" s="3374"/>
    </row>
    <row r="7" spans="1:29" s="1216" customFormat="1" ht="15.75" thickBot="1">
      <c r="A7" s="2935"/>
      <c r="B7" s="2942" t="s">
        <v>529</v>
      </c>
      <c r="C7" s="516">
        <f>'数据-取费表'!B2</f>
        <v>43104</v>
      </c>
      <c r="D7" s="517">
        <v>100</v>
      </c>
      <c r="E7" s="518"/>
      <c r="F7" s="519">
        <f>SUMIF(58:58,YEAR(E7)&amp;"-"&amp;MONTH(E7),59:59)</f>
        <v>0</v>
      </c>
      <c r="G7" s="518"/>
      <c r="H7" s="517">
        <f>SUMIF(58:58,YEAR(G7)&amp;"-"&amp;MONTH(G7),59:59)</f>
        <v>0</v>
      </c>
      <c r="I7" s="518"/>
      <c r="J7" s="517">
        <f>SUMIF(58:58,YEAR(I7)&amp;"-"&amp;MONTH(I7),59:59)</f>
        <v>0</v>
      </c>
      <c r="K7" s="521"/>
      <c r="L7" s="2133"/>
      <c r="M7" s="2134"/>
      <c r="N7" s="2134"/>
      <c r="O7" s="2134"/>
      <c r="P7" s="3375" t="s">
        <v>530</v>
      </c>
      <c r="Q7" s="3384"/>
      <c r="R7" s="1565" t="s">
        <v>8</v>
      </c>
      <c r="S7" s="1566">
        <f t="shared" ref="S7:S15" si="0">F7</f>
        <v>0</v>
      </c>
      <c r="T7" s="1565" t="s">
        <v>8</v>
      </c>
      <c r="U7" s="1566">
        <f t="shared" ref="U7:U15" si="1">H7</f>
        <v>0</v>
      </c>
      <c r="V7" s="1565" t="s">
        <v>8</v>
      </c>
      <c r="W7" s="1566">
        <f t="shared" ref="W7:W15" si="2">J7</f>
        <v>0</v>
      </c>
      <c r="X7" s="1567"/>
      <c r="Y7" s="3375" t="s">
        <v>530</v>
      </c>
      <c r="Z7" s="3376"/>
      <c r="AA7" s="1568" t="e">
        <f>D7/F7</f>
        <v>#DIV/0!</v>
      </c>
      <c r="AB7" s="1568" t="e">
        <f>D7/H7</f>
        <v>#DIV/0!</v>
      </c>
      <c r="AC7" s="1568" t="e">
        <f>D7/J7</f>
        <v>#DIV/0!</v>
      </c>
    </row>
    <row r="8" spans="1:29" s="1216" customFormat="1" ht="15.75" thickBot="1">
      <c r="A8" s="2936"/>
      <c r="B8" s="2943" t="s">
        <v>531</v>
      </c>
      <c r="C8" s="522" t="s">
        <v>576</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375" t="s">
        <v>533</v>
      </c>
      <c r="Q8" s="3376"/>
      <c r="R8" s="1565" t="s">
        <v>8</v>
      </c>
      <c r="S8" s="1566">
        <f t="shared" si="0"/>
        <v>0</v>
      </c>
      <c r="T8" s="1565" t="s">
        <v>8</v>
      </c>
      <c r="U8" s="1566">
        <f t="shared" si="1"/>
        <v>0</v>
      </c>
      <c r="V8" s="1565" t="s">
        <v>8</v>
      </c>
      <c r="W8" s="1566">
        <f t="shared" si="2"/>
        <v>0</v>
      </c>
      <c r="X8" s="1567"/>
      <c r="Y8" s="3375" t="s">
        <v>533</v>
      </c>
      <c r="Z8" s="3376"/>
      <c r="AA8" s="1568" t="e">
        <f t="shared" ref="AA8:AA46" si="3">D8/F8</f>
        <v>#DIV/0!</v>
      </c>
      <c r="AB8" s="1568" t="e">
        <f t="shared" ref="AB8:AB46" si="4">D8/H8</f>
        <v>#DIV/0!</v>
      </c>
      <c r="AC8" s="1568" t="e">
        <f t="shared" ref="AC8:AC46" si="5">D8/J8</f>
        <v>#DIV/0!</v>
      </c>
    </row>
    <row r="9" spans="1:29" s="1216" customFormat="1" ht="15">
      <c r="A9" s="2937"/>
      <c r="B9" s="2944" t="s">
        <v>2764</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83" t="s">
        <v>535</v>
      </c>
      <c r="Q9" s="1147" t="str">
        <f t="shared" ref="Q9:Q15" si="6">B9</f>
        <v>用途</v>
      </c>
      <c r="R9" s="1565" t="s">
        <v>8</v>
      </c>
      <c r="S9" s="1566">
        <f t="shared" si="0"/>
        <v>100</v>
      </c>
      <c r="T9" s="1565" t="s">
        <v>8</v>
      </c>
      <c r="U9" s="1566">
        <f t="shared" si="1"/>
        <v>100</v>
      </c>
      <c r="V9" s="1565" t="s">
        <v>8</v>
      </c>
      <c r="W9" s="1566">
        <f t="shared" si="2"/>
        <v>100</v>
      </c>
      <c r="X9" s="1567"/>
      <c r="Y9" s="3340" t="s">
        <v>536</v>
      </c>
      <c r="Z9" s="1146" t="str">
        <f t="shared" ref="Z9:Z15" si="7">Q9</f>
        <v>用途</v>
      </c>
      <c r="AA9" s="1568">
        <f t="shared" si="3"/>
        <v>1</v>
      </c>
      <c r="AB9" s="1568">
        <f t="shared" si="4"/>
        <v>1</v>
      </c>
      <c r="AC9" s="1568">
        <f t="shared" si="5"/>
        <v>1</v>
      </c>
    </row>
    <row r="10" spans="1:29" s="1334" customFormat="1" ht="27">
      <c r="A10" s="2938"/>
      <c r="B10" s="2943" t="s">
        <v>2765</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39"/>
      <c r="B11" s="2943" t="s">
        <v>2766</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83"/>
      <c r="Q11" s="1147" t="str">
        <f t="shared" si="6"/>
        <v>容积率</v>
      </c>
      <c r="R11" s="1565" t="s">
        <v>8</v>
      </c>
      <c r="S11" s="1566" t="e">
        <f t="shared" si="0"/>
        <v>#N/A</v>
      </c>
      <c r="T11" s="1565" t="s">
        <v>8</v>
      </c>
      <c r="U11" s="1566" t="e">
        <f t="shared" si="1"/>
        <v>#N/A</v>
      </c>
      <c r="V11" s="1565" t="s">
        <v>8</v>
      </c>
      <c r="W11" s="1566" t="e">
        <f t="shared" si="2"/>
        <v>#N/A</v>
      </c>
      <c r="X11" s="1567"/>
      <c r="Y11" s="3340"/>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71.25">
      <c r="A15" s="2933" t="s">
        <v>2762</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385" t="s">
        <v>540</v>
      </c>
      <c r="Q15" s="1569" t="str">
        <f t="shared" si="6"/>
        <v>商业繁华度</v>
      </c>
      <c r="R15" s="1570" t="s">
        <v>8</v>
      </c>
      <c r="S15" s="1571">
        <f t="shared" si="0"/>
        <v>100</v>
      </c>
      <c r="T15" s="1570" t="s">
        <v>8</v>
      </c>
      <c r="U15" s="1571">
        <f t="shared" si="1"/>
        <v>100</v>
      </c>
      <c r="V15" s="1570" t="s">
        <v>8</v>
      </c>
      <c r="W15" s="1571">
        <f t="shared" si="2"/>
        <v>100</v>
      </c>
      <c r="X15" s="1564"/>
      <c r="Y15" s="3385" t="s">
        <v>540</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2" t="s">
        <v>2552</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5" t="s">
        <v>2564</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386"/>
      <c r="Q22" s="2601"/>
      <c r="R22" s="1570"/>
      <c r="S22" s="1571"/>
      <c r="T22" s="1570"/>
      <c r="U22" s="1571"/>
      <c r="V22" s="1570"/>
      <c r="W22" s="1571"/>
      <c r="X22" s="2603"/>
      <c r="Y22" s="3386"/>
      <c r="Z22" s="2602"/>
      <c r="AA22" s="1573">
        <v>1</v>
      </c>
      <c r="AB22" s="1573">
        <v>1</v>
      </c>
      <c r="AC22" s="1573">
        <v>1</v>
      </c>
    </row>
    <row r="23" spans="1:29" ht="57">
      <c r="A23" s="529"/>
      <c r="B23" s="868" t="s">
        <v>296</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386"/>
      <c r="Q23" s="1569" t="str">
        <f>B23</f>
        <v>自然及人文环境</v>
      </c>
      <c r="R23" s="1570" t="s">
        <v>8</v>
      </c>
      <c r="S23" s="1571">
        <f>F23</f>
        <v>100</v>
      </c>
      <c r="T23" s="1570" t="s">
        <v>8</v>
      </c>
      <c r="U23" s="1571">
        <f>H23</f>
        <v>100</v>
      </c>
      <c r="V23" s="1570" t="s">
        <v>8</v>
      </c>
      <c r="W23" s="1571">
        <f>J23</f>
        <v>100</v>
      </c>
      <c r="X23" s="1564"/>
      <c r="Y23" s="338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386"/>
      <c r="Q25" s="1569" t="str">
        <f t="shared" ref="Q25:Q46" si="11">B25</f>
        <v>临街状况</v>
      </c>
      <c r="R25" s="1570" t="s">
        <v>8</v>
      </c>
      <c r="S25" s="1571">
        <f>F25</f>
        <v>100</v>
      </c>
      <c r="T25" s="1570" t="s">
        <v>8</v>
      </c>
      <c r="U25" s="1571">
        <f>H25</f>
        <v>100</v>
      </c>
      <c r="V25" s="1570" t="s">
        <v>8</v>
      </c>
      <c r="W25" s="1571">
        <f>J25</f>
        <v>100</v>
      </c>
      <c r="X25" s="1564"/>
      <c r="Y25" s="3386"/>
      <c r="Z25" s="1572" t="str">
        <f>Q25</f>
        <v>临街状况</v>
      </c>
      <c r="AA25" s="1573">
        <f t="shared" si="3"/>
        <v>1</v>
      </c>
      <c r="AB25" s="1573">
        <f t="shared" si="4"/>
        <v>1</v>
      </c>
      <c r="AC25" s="1573">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386"/>
      <c r="Q26" s="1569" t="str">
        <f t="shared" si="11"/>
        <v>平面位置/可视性</v>
      </c>
      <c r="R26" s="1570" t="s">
        <v>8</v>
      </c>
      <c r="S26" s="1571">
        <f>F26</f>
        <v>100</v>
      </c>
      <c r="T26" s="1570" t="s">
        <v>8</v>
      </c>
      <c r="U26" s="1571">
        <f>H26</f>
        <v>100</v>
      </c>
      <c r="V26" s="1570" t="s">
        <v>8</v>
      </c>
      <c r="W26" s="1571">
        <f>J26</f>
        <v>100</v>
      </c>
      <c r="X26" s="1564"/>
      <c r="Y26" s="3386"/>
      <c r="Z26" s="1572" t="str">
        <f>Q26</f>
        <v>平面位置/可视性</v>
      </c>
      <c r="AA26" s="1573">
        <f t="shared" si="3"/>
        <v>1</v>
      </c>
      <c r="AB26" s="1573">
        <f t="shared" si="4"/>
        <v>1</v>
      </c>
      <c r="AC26" s="1573">
        <f t="shared" si="5"/>
        <v>1</v>
      </c>
    </row>
    <row r="27" spans="1:29" s="1216"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386"/>
      <c r="Q27" s="1147" t="str">
        <f t="shared" si="11"/>
        <v>人流量</v>
      </c>
      <c r="R27" s="1565" t="s">
        <v>8</v>
      </c>
      <c r="S27" s="1566">
        <f>F27</f>
        <v>100</v>
      </c>
      <c r="T27" s="1565" t="s">
        <v>8</v>
      </c>
      <c r="U27" s="1566">
        <f>H27</f>
        <v>100</v>
      </c>
      <c r="V27" s="1565" t="s">
        <v>8</v>
      </c>
      <c r="W27" s="1566">
        <f>J27</f>
        <v>100</v>
      </c>
      <c r="X27" s="1567"/>
      <c r="Y27" s="3386"/>
      <c r="Z27" s="1146" t="str">
        <f>Q27</f>
        <v>人流量</v>
      </c>
      <c r="AA27" s="1573">
        <f>D27/F27</f>
        <v>1</v>
      </c>
      <c r="AB27" s="1573">
        <f>D27/H27</f>
        <v>1</v>
      </c>
      <c r="AC27" s="1573">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38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386"/>
      <c r="Q29" s="1569">
        <f t="shared" si="11"/>
        <v>111</v>
      </c>
      <c r="R29" s="1570" t="s">
        <v>8</v>
      </c>
      <c r="S29" s="1571">
        <f t="shared" si="12"/>
        <v>100</v>
      </c>
      <c r="T29" s="1570" t="s">
        <v>8</v>
      </c>
      <c r="U29" s="1571">
        <f t="shared" si="13"/>
        <v>100</v>
      </c>
      <c r="V29" s="1570" t="s">
        <v>8</v>
      </c>
      <c r="W29" s="1571">
        <f t="shared" si="14"/>
        <v>100</v>
      </c>
      <c r="X29" s="1564"/>
      <c r="Y29" s="338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
      <c r="A32" s="2931" t="s">
        <v>2763</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387" t="s">
        <v>550</v>
      </c>
      <c r="Q32" s="1569" t="str">
        <f t="shared" si="11"/>
        <v>商业类型</v>
      </c>
      <c r="R32" s="1570" t="s">
        <v>8</v>
      </c>
      <c r="S32" s="1571">
        <f t="shared" si="12"/>
        <v>100</v>
      </c>
      <c r="T32" s="1570" t="s">
        <v>8</v>
      </c>
      <c r="U32" s="1571">
        <f t="shared" si="13"/>
        <v>100</v>
      </c>
      <c r="V32" s="1570" t="s">
        <v>8</v>
      </c>
      <c r="W32" s="1571">
        <f t="shared" si="14"/>
        <v>100</v>
      </c>
      <c r="X32" s="1564"/>
      <c r="Y32" s="3388" t="s">
        <v>550</v>
      </c>
      <c r="Z32" s="1572" t="str">
        <f t="shared" si="15"/>
        <v>商业类型</v>
      </c>
      <c r="AA32" s="1573">
        <f t="shared" si="3"/>
        <v>1</v>
      </c>
      <c r="AB32" s="1573">
        <f t="shared" si="4"/>
        <v>1</v>
      </c>
      <c r="AC32" s="1573">
        <f t="shared" si="5"/>
        <v>1</v>
      </c>
    </row>
    <row r="33" spans="1:29" s="1335" customFormat="1" ht="15">
      <c r="A33" s="600"/>
      <c r="B33" s="524" t="s">
        <v>726</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388"/>
      <c r="Q33" s="1602" t="str">
        <f t="shared" si="11"/>
        <v>项目建筑规模</v>
      </c>
      <c r="R33" s="1574" t="s">
        <v>8</v>
      </c>
      <c r="S33" s="1575" t="e">
        <f t="shared" si="12"/>
        <v>#N/A</v>
      </c>
      <c r="T33" s="1574" t="s">
        <v>8</v>
      </c>
      <c r="U33" s="1575" t="e">
        <f t="shared" si="13"/>
        <v>#N/A</v>
      </c>
      <c r="V33" s="1574" t="s">
        <v>8</v>
      </c>
      <c r="W33" s="1575" t="e">
        <f t="shared" si="14"/>
        <v>#N/A</v>
      </c>
      <c r="X33" s="1576"/>
      <c r="Y33" s="3388"/>
      <c r="Z33" s="1577" t="str">
        <f t="shared" si="15"/>
        <v>项目建筑规模</v>
      </c>
      <c r="AA33" s="1573" t="e">
        <f t="shared" si="3"/>
        <v>#N/A</v>
      </c>
      <c r="AB33" s="1573" t="e">
        <f t="shared" si="4"/>
        <v>#N/A</v>
      </c>
      <c r="AC33" s="1573"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388"/>
      <c r="Q34" s="1569" t="str">
        <f t="shared" si="11"/>
        <v>建筑结构</v>
      </c>
      <c r="R34" s="1570" t="s">
        <v>8</v>
      </c>
      <c r="S34" s="1571">
        <f t="shared" si="12"/>
        <v>100</v>
      </c>
      <c r="T34" s="1570" t="s">
        <v>8</v>
      </c>
      <c r="U34" s="1571">
        <f t="shared" si="13"/>
        <v>100</v>
      </c>
      <c r="V34" s="1570" t="s">
        <v>8</v>
      </c>
      <c r="W34" s="1571">
        <f t="shared" si="14"/>
        <v>100</v>
      </c>
      <c r="X34" s="1564"/>
      <c r="Y34" s="3388"/>
      <c r="Z34" s="1572" t="str">
        <f t="shared" si="15"/>
        <v>建筑结构</v>
      </c>
      <c r="AA34" s="1573">
        <f t="shared" si="3"/>
        <v>1</v>
      </c>
      <c r="AB34" s="1573">
        <f t="shared" si="4"/>
        <v>1</v>
      </c>
      <c r="AC34" s="1573">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388"/>
      <c r="Q35" s="1569" t="str">
        <f t="shared" si="11"/>
        <v>公共部分装修</v>
      </c>
      <c r="R35" s="1570" t="s">
        <v>8</v>
      </c>
      <c r="S35" s="1571">
        <f t="shared" si="12"/>
        <v>100</v>
      </c>
      <c r="T35" s="1570" t="s">
        <v>8</v>
      </c>
      <c r="U35" s="1571">
        <f t="shared" si="13"/>
        <v>100</v>
      </c>
      <c r="V35" s="1570" t="s">
        <v>8</v>
      </c>
      <c r="W35" s="1571">
        <f t="shared" si="14"/>
        <v>100</v>
      </c>
      <c r="X35" s="1564"/>
      <c r="Y35" s="3388"/>
      <c r="Z35" s="1572" t="str">
        <f t="shared" si="15"/>
        <v>公共部分装修</v>
      </c>
      <c r="AA35" s="1573">
        <f t="shared" si="3"/>
        <v>1</v>
      </c>
      <c r="AB35" s="1573">
        <f t="shared" si="4"/>
        <v>1</v>
      </c>
      <c r="AC35" s="1573">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388"/>
      <c r="Q36" s="1569" t="str">
        <f t="shared" si="11"/>
        <v>成新度</v>
      </c>
      <c r="R36" s="1570" t="s">
        <v>8</v>
      </c>
      <c r="S36" s="1571" t="e">
        <f t="shared" si="12"/>
        <v>#N/A</v>
      </c>
      <c r="T36" s="1570" t="s">
        <v>8</v>
      </c>
      <c r="U36" s="1571" t="e">
        <f t="shared" si="13"/>
        <v>#N/A</v>
      </c>
      <c r="V36" s="1570" t="s">
        <v>8</v>
      </c>
      <c r="W36" s="1571" t="e">
        <f t="shared" si="14"/>
        <v>#N/A</v>
      </c>
      <c r="X36" s="1564"/>
      <c r="Y36" s="3388"/>
      <c r="Z36" s="1572" t="str">
        <f t="shared" si="15"/>
        <v>成新度</v>
      </c>
      <c r="AA36" s="1573" t="e">
        <f t="shared" si="3"/>
        <v>#N/A</v>
      </c>
      <c r="AB36" s="1573" t="e">
        <f t="shared" si="4"/>
        <v>#N/A</v>
      </c>
      <c r="AC36" s="1573" t="e">
        <f t="shared" si="5"/>
        <v>#N/A</v>
      </c>
    </row>
    <row r="37" spans="1:29" s="1216" customFormat="1" ht="15">
      <c r="A37" s="597"/>
      <c r="B37" s="1893" t="s">
        <v>2571</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388"/>
      <c r="Q37" s="1147" t="str">
        <f t="shared" si="11"/>
        <v>市政基础设施</v>
      </c>
      <c r="R37" s="1565" t="s">
        <v>8</v>
      </c>
      <c r="S37" s="1566">
        <f t="shared" si="12"/>
        <v>100</v>
      </c>
      <c r="T37" s="1565" t="s">
        <v>8</v>
      </c>
      <c r="U37" s="1566">
        <f t="shared" si="13"/>
        <v>100</v>
      </c>
      <c r="V37" s="1565" t="s">
        <v>8</v>
      </c>
      <c r="W37" s="1566">
        <f t="shared" si="14"/>
        <v>100</v>
      </c>
      <c r="X37" s="1567"/>
      <c r="Y37" s="3388"/>
      <c r="Z37" s="1146" t="str">
        <f t="shared" si="15"/>
        <v>市政基础设施</v>
      </c>
      <c r="AA37" s="1568">
        <f t="shared" si="3"/>
        <v>1</v>
      </c>
      <c r="AB37" s="1568">
        <f t="shared" si="4"/>
        <v>1</v>
      </c>
      <c r="AC37" s="1568">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388" t="s">
        <v>766</v>
      </c>
      <c r="Q38" s="1569" t="str">
        <f t="shared" si="11"/>
        <v>业态</v>
      </c>
      <c r="R38" s="1570" t="s">
        <v>8</v>
      </c>
      <c r="S38" s="1571">
        <f t="shared" si="12"/>
        <v>100</v>
      </c>
      <c r="T38" s="1570" t="s">
        <v>8</v>
      </c>
      <c r="U38" s="1571">
        <f t="shared" si="13"/>
        <v>100</v>
      </c>
      <c r="V38" s="1570" t="s">
        <v>8</v>
      </c>
      <c r="W38" s="1571">
        <f t="shared" si="14"/>
        <v>100</v>
      </c>
      <c r="X38" s="1564"/>
      <c r="Y38" s="3388" t="s">
        <v>766</v>
      </c>
      <c r="Z38" s="1572" t="str">
        <f t="shared" si="15"/>
        <v>业态</v>
      </c>
      <c r="AA38" s="1573">
        <f t="shared" si="3"/>
        <v>1</v>
      </c>
      <c r="AB38" s="1573">
        <f t="shared" si="4"/>
        <v>1</v>
      </c>
      <c r="AC38" s="1573">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8"/>
      <c r="Q39" s="1569" t="str">
        <f t="shared" si="11"/>
        <v>层高</v>
      </c>
      <c r="R39" s="1570" t="s">
        <v>8</v>
      </c>
      <c r="S39" s="1571">
        <f t="shared" si="12"/>
        <v>100</v>
      </c>
      <c r="T39" s="1570" t="s">
        <v>8</v>
      </c>
      <c r="U39" s="1571">
        <f t="shared" si="13"/>
        <v>100</v>
      </c>
      <c r="V39" s="1570" t="s">
        <v>8</v>
      </c>
      <c r="W39" s="1571">
        <f t="shared" si="14"/>
        <v>100</v>
      </c>
      <c r="X39" s="1564"/>
      <c r="Y39" s="3388"/>
      <c r="Z39" s="1572" t="str">
        <f t="shared" si="15"/>
        <v>层高</v>
      </c>
      <c r="AA39" s="1573">
        <f t="shared" si="3"/>
        <v>1</v>
      </c>
      <c r="AB39" s="1573">
        <f t="shared" si="4"/>
        <v>1</v>
      </c>
      <c r="AC39" s="1573">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388"/>
      <c r="Q40" s="1569" t="str">
        <f t="shared" si="11"/>
        <v>单套建筑面积</v>
      </c>
      <c r="R40" s="1570" t="s">
        <v>8</v>
      </c>
      <c r="S40" s="1571">
        <f t="shared" si="12"/>
        <v>100</v>
      </c>
      <c r="T40" s="1570" t="s">
        <v>8</v>
      </c>
      <c r="U40" s="1571">
        <f t="shared" si="13"/>
        <v>100</v>
      </c>
      <c r="V40" s="1570" t="s">
        <v>8</v>
      </c>
      <c r="W40" s="1571">
        <f t="shared" si="14"/>
        <v>100</v>
      </c>
      <c r="X40" s="1564"/>
      <c r="Y40" s="3388"/>
      <c r="Z40" s="1572" t="str">
        <f t="shared" si="15"/>
        <v>单套建筑面积</v>
      </c>
      <c r="AA40" s="1573">
        <f t="shared" si="3"/>
        <v>1</v>
      </c>
      <c r="AB40" s="1573">
        <f t="shared" si="4"/>
        <v>1</v>
      </c>
      <c r="AC40" s="1573">
        <f t="shared" si="5"/>
        <v>1</v>
      </c>
    </row>
    <row r="41" spans="1:29" s="1335"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388"/>
      <c r="Q41" s="1602" t="str">
        <f t="shared" si="11"/>
        <v>进深比</v>
      </c>
      <c r="R41" s="1574" t="s">
        <v>8</v>
      </c>
      <c r="S41" s="1575">
        <f t="shared" si="12"/>
        <v>100</v>
      </c>
      <c r="T41" s="1574" t="s">
        <v>8</v>
      </c>
      <c r="U41" s="1575">
        <f t="shared" si="13"/>
        <v>100</v>
      </c>
      <c r="V41" s="1574" t="s">
        <v>8</v>
      </c>
      <c r="W41" s="1575">
        <f t="shared" si="14"/>
        <v>100</v>
      </c>
      <c r="X41" s="1576"/>
      <c r="Y41" s="3388"/>
      <c r="Z41" s="1577" t="str">
        <f t="shared" si="15"/>
        <v>进深比</v>
      </c>
      <c r="AA41" s="1573">
        <f t="shared" si="3"/>
        <v>1</v>
      </c>
      <c r="AB41" s="1573">
        <f t="shared" si="4"/>
        <v>1</v>
      </c>
      <c r="AC41" s="1573">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388"/>
      <c r="Q42" s="1569" t="str">
        <f t="shared" si="11"/>
        <v>内部装修</v>
      </c>
      <c r="R42" s="1570" t="s">
        <v>8</v>
      </c>
      <c r="S42" s="1571">
        <f t="shared" si="12"/>
        <v>100</v>
      </c>
      <c r="T42" s="1570" t="s">
        <v>8</v>
      </c>
      <c r="U42" s="1571">
        <f t="shared" si="13"/>
        <v>100</v>
      </c>
      <c r="V42" s="1570" t="s">
        <v>8</v>
      </c>
      <c r="W42" s="1571">
        <f t="shared" si="14"/>
        <v>100</v>
      </c>
      <c r="X42" s="1564"/>
      <c r="Y42" s="3388"/>
      <c r="Z42" s="1572" t="str">
        <f t="shared" si="15"/>
        <v>内部装修</v>
      </c>
      <c r="AA42" s="1573">
        <f t="shared" si="3"/>
        <v>1</v>
      </c>
      <c r="AB42" s="1573">
        <f t="shared" si="4"/>
        <v>1</v>
      </c>
      <c r="AC42" s="1573">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388"/>
      <c r="Q43" s="1569" t="str">
        <f t="shared" si="11"/>
        <v>内部装修维护情况</v>
      </c>
      <c r="R43" s="1570" t="s">
        <v>8</v>
      </c>
      <c r="S43" s="1571">
        <f t="shared" si="12"/>
        <v>100</v>
      </c>
      <c r="T43" s="1570" t="s">
        <v>8</v>
      </c>
      <c r="U43" s="1571">
        <f t="shared" si="13"/>
        <v>100</v>
      </c>
      <c r="V43" s="1570" t="s">
        <v>8</v>
      </c>
      <c r="W43" s="1571">
        <f t="shared" si="14"/>
        <v>100</v>
      </c>
      <c r="X43" s="1564"/>
      <c r="Y43" s="338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388"/>
      <c r="Q44" s="1147">
        <f t="shared" si="11"/>
        <v>111</v>
      </c>
      <c r="R44" s="1565" t="s">
        <v>8</v>
      </c>
      <c r="S44" s="1566">
        <f t="shared" si="12"/>
        <v>100</v>
      </c>
      <c r="T44" s="1565" t="s">
        <v>8</v>
      </c>
      <c r="U44" s="1566">
        <f t="shared" si="13"/>
        <v>100</v>
      </c>
      <c r="V44" s="1565" t="s">
        <v>8</v>
      </c>
      <c r="W44" s="1566">
        <f t="shared" si="14"/>
        <v>100</v>
      </c>
      <c r="X44" s="1567"/>
      <c r="Y44" s="338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388"/>
      <c r="Q45" s="1569">
        <f t="shared" si="11"/>
        <v>111</v>
      </c>
      <c r="R45" s="1570" t="s">
        <v>8</v>
      </c>
      <c r="S45" s="1571">
        <f t="shared" si="12"/>
        <v>100</v>
      </c>
      <c r="T45" s="1570" t="s">
        <v>8</v>
      </c>
      <c r="U45" s="1571">
        <f t="shared" si="13"/>
        <v>100</v>
      </c>
      <c r="V45" s="1570" t="s">
        <v>8</v>
      </c>
      <c r="W45" s="1571">
        <f t="shared" si="14"/>
        <v>100</v>
      </c>
      <c r="X45" s="1564"/>
      <c r="Y45" s="338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6"/>
      <c r="Q46" s="1569">
        <f t="shared" si="11"/>
        <v>111</v>
      </c>
      <c r="R46" s="1570" t="s">
        <v>8</v>
      </c>
      <c r="S46" s="1571">
        <f t="shared" si="12"/>
        <v>100</v>
      </c>
      <c r="T46" s="1570" t="s">
        <v>8</v>
      </c>
      <c r="U46" s="1571">
        <f t="shared" si="13"/>
        <v>100</v>
      </c>
      <c r="V46" s="1570" t="s">
        <v>8</v>
      </c>
      <c r="W46" s="1571">
        <f t="shared" si="14"/>
        <v>100</v>
      </c>
      <c r="X46" s="1564"/>
      <c r="Y46" s="3466"/>
      <c r="Z46" s="1572">
        <f t="shared" si="15"/>
        <v>111</v>
      </c>
      <c r="AA46" s="1573">
        <f t="shared" si="3"/>
        <v>1</v>
      </c>
      <c r="AB46" s="1573">
        <f t="shared" si="4"/>
        <v>1</v>
      </c>
      <c r="AC46" s="1573">
        <f t="shared" si="5"/>
        <v>1</v>
      </c>
    </row>
    <row r="47" spans="1:29" ht="15">
      <c r="A47" s="604" t="s">
        <v>736</v>
      </c>
      <c r="B47" s="883"/>
      <c r="C47" s="2649" t="s">
        <v>1</v>
      </c>
      <c r="D47" s="2650"/>
      <c r="E47" s="2651"/>
      <c r="F47" s="2652"/>
      <c r="G47" s="2653"/>
      <c r="H47" s="2654"/>
      <c r="I47" s="2651"/>
      <c r="J47" s="2654"/>
      <c r="K47" s="1608"/>
      <c r="L47" s="2142"/>
      <c r="M47" s="2143"/>
      <c r="N47" s="2132"/>
      <c r="O47" s="2143"/>
      <c r="P47" s="3383" t="str">
        <f>A47</f>
        <v>成交单价（元/平方米）</v>
      </c>
      <c r="Q47" s="3383"/>
      <c r="R47" s="3465">
        <f>E47</f>
        <v>0</v>
      </c>
      <c r="S47" s="3465"/>
      <c r="T47" s="3465">
        <f>G47</f>
        <v>0</v>
      </c>
      <c r="U47" s="3465"/>
      <c r="V47" s="3465">
        <f>I47</f>
        <v>0</v>
      </c>
      <c r="W47" s="3465"/>
      <c r="X47" s="1556"/>
      <c r="Y47" s="1578"/>
      <c r="Z47" s="1556"/>
      <c r="AA47" s="1556"/>
      <c r="AB47" s="1556"/>
      <c r="AC47" s="1556"/>
    </row>
    <row r="48" spans="1:29" ht="15.75" thickBot="1">
      <c r="A48" s="612" t="s">
        <v>2768</v>
      </c>
      <c r="B48" s="884"/>
      <c r="C48" s="2655" t="e">
        <f>R49</f>
        <v>#DIV/0!</v>
      </c>
      <c r="D48" s="2656"/>
      <c r="E48" s="2657" t="e">
        <f>R48</f>
        <v>#DIV/0!</v>
      </c>
      <c r="F48" s="2657"/>
      <c r="G48" s="2655" t="e">
        <f>T48</f>
        <v>#DIV/0!</v>
      </c>
      <c r="H48" s="2656"/>
      <c r="I48" s="2657" t="e">
        <f>V48</f>
        <v>#DIV/0!</v>
      </c>
      <c r="J48" s="2656"/>
      <c r="K48" s="1609"/>
      <c r="L48" s="2142"/>
      <c r="M48" s="2143"/>
      <c r="N48" s="2132"/>
      <c r="O48" s="2143"/>
      <c r="P48" s="3383" t="str">
        <f>A48</f>
        <v>比较价格（元/平方米）</v>
      </c>
      <c r="Q48" s="3383"/>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6"/>
      <c r="Y48" s="1556"/>
      <c r="Z48" s="1556"/>
      <c r="AA48" s="1556"/>
      <c r="AB48" s="1556"/>
      <c r="AC48" s="1556"/>
    </row>
    <row r="49" spans="1:29" ht="15.75" thickBot="1">
      <c r="A49" s="618" t="s">
        <v>2945</v>
      </c>
      <c r="B49" s="619"/>
      <c r="C49" s="2658" t="e">
        <f>R49</f>
        <v>#DIV/0!</v>
      </c>
      <c r="D49" s="2658"/>
      <c r="E49" s="2658"/>
      <c r="F49" s="2658"/>
      <c r="G49" s="2658"/>
      <c r="H49" s="2658"/>
      <c r="I49" s="2658"/>
      <c r="J49" s="2658"/>
      <c r="K49" s="1610"/>
      <c r="L49" s="2142"/>
      <c r="M49" s="2143"/>
      <c r="N49" s="2132"/>
      <c r="O49" s="2143"/>
      <c r="P49" s="3405" t="str">
        <f>A49</f>
        <v>估价对象XX用房的比较价格（楼面单价，元/平方米）</v>
      </c>
      <c r="Q49" s="3406"/>
      <c r="R49" s="3464" t="e">
        <f>IF(F1="售价",ROUND(AVERAGE(R48:V48),0),ROUND(AVERAGE(R48:V48),1))</f>
        <v>#DIV/0!</v>
      </c>
      <c r="S49" s="3464"/>
      <c r="T49" s="3464"/>
      <c r="U49" s="3464"/>
      <c r="V49" s="3464"/>
      <c r="W49" s="346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529</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575</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531</v>
      </c>
      <c r="B61" s="645"/>
      <c r="C61" s="657" t="s">
        <v>576</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577</v>
      </c>
      <c r="B63" s="662" t="s">
        <v>534</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539</v>
      </c>
      <c r="B76" s="662" t="s">
        <v>578</v>
      </c>
      <c r="C76" s="700" t="s">
        <v>579</v>
      </c>
      <c r="D76" s="700" t="s">
        <v>580</v>
      </c>
      <c r="E76" s="700" t="s">
        <v>581</v>
      </c>
      <c r="F76" s="700" t="s">
        <v>582</v>
      </c>
      <c r="G76" s="700" t="s">
        <v>583</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586</v>
      </c>
      <c r="C78" s="705" t="s">
        <v>579</v>
      </c>
      <c r="D78" s="705" t="s">
        <v>580</v>
      </c>
      <c r="E78" s="705" t="s">
        <v>581</v>
      </c>
      <c r="F78" s="705" t="s">
        <v>582</v>
      </c>
      <c r="G78" s="705" t="s">
        <v>583</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2563</v>
      </c>
      <c r="C80" s="705" t="s">
        <v>579</v>
      </c>
      <c r="D80" s="705" t="s">
        <v>580</v>
      </c>
      <c r="E80" s="705" t="s">
        <v>581</v>
      </c>
      <c r="F80" s="705" t="s">
        <v>582</v>
      </c>
      <c r="G80" s="705" t="s">
        <v>583</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2564</v>
      </c>
      <c r="C82" s="2620" t="s">
        <v>2565</v>
      </c>
      <c r="D82" s="2620" t="s">
        <v>2566</v>
      </c>
      <c r="E82" s="2620" t="s">
        <v>2567</v>
      </c>
      <c r="F82" s="2620" t="s">
        <v>2568</v>
      </c>
      <c r="G82" s="2620" t="s">
        <v>2569</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744</v>
      </c>
      <c r="C84" s="705" t="s">
        <v>579</v>
      </c>
      <c r="D84" s="705" t="s">
        <v>580</v>
      </c>
      <c r="E84" s="705" t="s">
        <v>581</v>
      </c>
      <c r="F84" s="705" t="s">
        <v>582</v>
      </c>
      <c r="G84" s="705" t="s">
        <v>583</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551</v>
      </c>
      <c r="B100" s="662" t="s">
        <v>772</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749</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2562</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773</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774</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775</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776</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755</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788</v>
      </c>
      <c r="C1" s="501" t="s">
        <v>720</v>
      </c>
      <c r="D1" s="846"/>
      <c r="E1" s="503"/>
      <c r="F1" s="2831"/>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466</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519</v>
      </c>
      <c r="B3" s="507" t="e">
        <f>C43</f>
        <v>#DIV/0!</v>
      </c>
      <c r="C3" s="849" t="s">
        <v>722</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521</v>
      </c>
      <c r="B4" s="510"/>
      <c r="C4" s="3389" t="s">
        <v>522</v>
      </c>
      <c r="D4" s="3390"/>
      <c r="E4" s="3414" t="s">
        <v>523</v>
      </c>
      <c r="F4" s="3415"/>
      <c r="G4" s="3389" t="s">
        <v>524</v>
      </c>
      <c r="H4" s="3390"/>
      <c r="I4" s="3389" t="s">
        <v>525</v>
      </c>
      <c r="J4" s="3390"/>
      <c r="K4" s="511" t="s">
        <v>526</v>
      </c>
      <c r="L4" s="2131"/>
      <c r="M4" s="2132"/>
      <c r="N4" s="2132"/>
      <c r="O4" s="2132"/>
      <c r="P4" s="3391" t="s">
        <v>527</v>
      </c>
      <c r="Q4" s="3392"/>
      <c r="R4" s="3377" t="s">
        <v>523</v>
      </c>
      <c r="S4" s="3378"/>
      <c r="T4" s="3377" t="s">
        <v>524</v>
      </c>
      <c r="U4" s="3378"/>
      <c r="V4" s="3397" t="s">
        <v>525</v>
      </c>
      <c r="W4" s="3397"/>
      <c r="X4" s="1564"/>
      <c r="Y4" s="3377" t="s">
        <v>527</v>
      </c>
      <c r="Z4" s="3378"/>
      <c r="AA4" s="3372" t="s">
        <v>523</v>
      </c>
      <c r="AB4" s="3373" t="s">
        <v>524</v>
      </c>
      <c r="AC4" s="3372" t="s">
        <v>525</v>
      </c>
    </row>
    <row r="5" spans="1:29" ht="15">
      <c r="A5" s="512"/>
      <c r="B5" s="513"/>
      <c r="C5" s="3400" t="s">
        <v>2939</v>
      </c>
      <c r="D5" s="3401"/>
      <c r="E5" s="3416" t="s">
        <v>2940</v>
      </c>
      <c r="F5" s="3417"/>
      <c r="G5" s="3400" t="s">
        <v>2941</v>
      </c>
      <c r="H5" s="3401"/>
      <c r="I5" s="3400" t="s">
        <v>2942</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2943</v>
      </c>
      <c r="D6" s="3399"/>
      <c r="E6" s="3419" t="s">
        <v>2943</v>
      </c>
      <c r="F6" s="3420"/>
      <c r="G6" s="3418" t="s">
        <v>2943</v>
      </c>
      <c r="H6" s="3399"/>
      <c r="I6" s="3418" t="s">
        <v>2943</v>
      </c>
      <c r="J6" s="3399"/>
      <c r="K6" s="511" t="s">
        <v>528</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529</v>
      </c>
      <c r="C7" s="516">
        <f>'数据-取费表'!B2</f>
        <v>43104</v>
      </c>
      <c r="D7" s="517">
        <v>100</v>
      </c>
      <c r="E7" s="518"/>
      <c r="F7" s="519">
        <f>SUMIF(52:52,YEAR(E7)&amp;"-"&amp;MONTH(E7),53:53)</f>
        <v>0</v>
      </c>
      <c r="G7" s="518"/>
      <c r="H7" s="517">
        <f>SUMIF(52:52,YEAR(G7)&amp;"-"&amp;MONTH(G7),53:53)</f>
        <v>0</v>
      </c>
      <c r="I7" s="518"/>
      <c r="J7" s="517">
        <f>SUMIF(52:52,YEAR(I7)&amp;"-"&amp;MONTH(I7),53:53)</f>
        <v>0</v>
      </c>
      <c r="K7" s="521"/>
      <c r="L7" s="2133"/>
      <c r="M7" s="2134"/>
      <c r="N7" s="2134"/>
      <c r="O7" s="2134"/>
      <c r="P7" s="3375" t="s">
        <v>530</v>
      </c>
      <c r="Q7" s="3384"/>
      <c r="R7" s="1565" t="s">
        <v>8</v>
      </c>
      <c r="S7" s="1566">
        <f t="shared" ref="S7:S15" si="0">F7</f>
        <v>0</v>
      </c>
      <c r="T7" s="1565" t="s">
        <v>8</v>
      </c>
      <c r="U7" s="1566">
        <f t="shared" ref="U7:U15" si="1">H7</f>
        <v>0</v>
      </c>
      <c r="V7" s="1565" t="s">
        <v>8</v>
      </c>
      <c r="W7" s="1566">
        <f t="shared" ref="W7:W15" si="2">J7</f>
        <v>0</v>
      </c>
      <c r="X7" s="1567"/>
      <c r="Y7" s="3375" t="s">
        <v>530</v>
      </c>
      <c r="Z7" s="3376"/>
      <c r="AA7" s="1568" t="e">
        <f>D7/F7</f>
        <v>#DIV/0!</v>
      </c>
      <c r="AB7" s="1568" t="e">
        <f>D7/H7</f>
        <v>#DIV/0!</v>
      </c>
      <c r="AC7" s="1568" t="e">
        <f>D7/J7</f>
        <v>#DIV/0!</v>
      </c>
    </row>
    <row r="8" spans="1:29" s="1216" customFormat="1" ht="15.75" thickBot="1">
      <c r="A8" s="2936"/>
      <c r="B8" s="2943" t="s">
        <v>531</v>
      </c>
      <c r="C8" s="522" t="s">
        <v>576</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375" t="s">
        <v>533</v>
      </c>
      <c r="Q8" s="3376"/>
      <c r="R8" s="1565" t="s">
        <v>8</v>
      </c>
      <c r="S8" s="1566">
        <f t="shared" si="0"/>
        <v>0</v>
      </c>
      <c r="T8" s="1565" t="s">
        <v>8</v>
      </c>
      <c r="U8" s="1566">
        <f t="shared" si="1"/>
        <v>0</v>
      </c>
      <c r="V8" s="1565" t="s">
        <v>8</v>
      </c>
      <c r="W8" s="1566">
        <f t="shared" si="2"/>
        <v>0</v>
      </c>
      <c r="X8" s="1567"/>
      <c r="Y8" s="3375" t="s">
        <v>533</v>
      </c>
      <c r="Z8" s="3376"/>
      <c r="AA8" s="1568" t="e">
        <f t="shared" ref="AA8:AA40" si="3">D8/F8</f>
        <v>#DIV/0!</v>
      </c>
      <c r="AB8" s="1568" t="e">
        <f t="shared" ref="AB8:AB40" si="4">D8/H8</f>
        <v>#DIV/0!</v>
      </c>
      <c r="AC8" s="1568" t="e">
        <f t="shared" ref="AC8:AC40" si="5">D8/J8</f>
        <v>#DIV/0!</v>
      </c>
    </row>
    <row r="9" spans="1:29" s="1216" customFormat="1" ht="15">
      <c r="A9" s="2937"/>
      <c r="B9" s="2944" t="s">
        <v>2764</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83" t="s">
        <v>535</v>
      </c>
      <c r="Q9" s="1147" t="str">
        <f t="shared" ref="Q9:Q15" si="6">B9</f>
        <v>用途</v>
      </c>
      <c r="R9" s="1565" t="s">
        <v>8</v>
      </c>
      <c r="S9" s="1566">
        <f t="shared" si="0"/>
        <v>100</v>
      </c>
      <c r="T9" s="1565" t="s">
        <v>8</v>
      </c>
      <c r="U9" s="1566">
        <f t="shared" si="1"/>
        <v>100</v>
      </c>
      <c r="V9" s="1565" t="s">
        <v>8</v>
      </c>
      <c r="W9" s="1566">
        <f t="shared" si="2"/>
        <v>100</v>
      </c>
      <c r="X9" s="1567"/>
      <c r="Y9" s="3340" t="s">
        <v>536</v>
      </c>
      <c r="Z9" s="1146" t="str">
        <f t="shared" ref="Z9:Z15" si="7">Q9</f>
        <v>用途</v>
      </c>
      <c r="AA9" s="1568">
        <f t="shared" si="3"/>
        <v>1</v>
      </c>
      <c r="AB9" s="1568">
        <f t="shared" si="4"/>
        <v>1</v>
      </c>
      <c r="AC9" s="1568">
        <f t="shared" si="5"/>
        <v>1</v>
      </c>
    </row>
    <row r="10" spans="1:29" s="1334" customFormat="1" ht="27">
      <c r="A10" s="2938"/>
      <c r="B10" s="2943" t="s">
        <v>2765</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39"/>
      <c r="B11" s="2943" t="s">
        <v>2766</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83"/>
      <c r="Q11" s="1147" t="str">
        <f t="shared" si="6"/>
        <v>容积率</v>
      </c>
      <c r="R11" s="1565" t="s">
        <v>8</v>
      </c>
      <c r="S11" s="1566" t="e">
        <f t="shared" si="0"/>
        <v>#N/A</v>
      </c>
      <c r="T11" s="1565" t="s">
        <v>8</v>
      </c>
      <c r="U11" s="1566" t="e">
        <f t="shared" si="1"/>
        <v>#N/A</v>
      </c>
      <c r="V11" s="1565" t="s">
        <v>8</v>
      </c>
      <c r="W11" s="1566" t="e">
        <f t="shared" si="2"/>
        <v>#N/A</v>
      </c>
      <c r="X11" s="1567"/>
      <c r="Y11" s="3340"/>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57">
      <c r="A15" s="2933" t="s">
        <v>2762</v>
      </c>
      <c r="B15" s="166"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385" t="s">
        <v>540</v>
      </c>
      <c r="Q15" s="1569" t="str">
        <f t="shared" si="6"/>
        <v>产业集聚程度</v>
      </c>
      <c r="R15" s="1570" t="s">
        <v>8</v>
      </c>
      <c r="S15" s="1571">
        <f t="shared" si="0"/>
        <v>100</v>
      </c>
      <c r="T15" s="1570" t="s">
        <v>8</v>
      </c>
      <c r="U15" s="1571">
        <f t="shared" si="1"/>
        <v>100</v>
      </c>
      <c r="V15" s="1570" t="s">
        <v>8</v>
      </c>
      <c r="W15" s="1571">
        <f t="shared" si="2"/>
        <v>100</v>
      </c>
      <c r="X15" s="1564"/>
      <c r="Y15" s="3385"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5" t="s">
        <v>2552</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3" t="s">
        <v>2564</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386"/>
      <c r="Q22" s="2601"/>
      <c r="R22" s="1570"/>
      <c r="S22" s="1571"/>
      <c r="T22" s="1570"/>
      <c r="U22" s="1571"/>
      <c r="V22" s="1570"/>
      <c r="W22" s="1571"/>
      <c r="X22" s="2603"/>
      <c r="Y22" s="3386"/>
      <c r="Z22" s="2602"/>
      <c r="AA22" s="1573">
        <v>1</v>
      </c>
      <c r="AB22" s="1573">
        <v>1</v>
      </c>
      <c r="AC22" s="1573">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386"/>
      <c r="Q25" s="1569">
        <f>B25</f>
        <v>111</v>
      </c>
      <c r="R25" s="1570" t="s">
        <v>8</v>
      </c>
      <c r="S25" s="1571">
        <f>F25</f>
        <v>100</v>
      </c>
      <c r="T25" s="1570" t="s">
        <v>8</v>
      </c>
      <c r="U25" s="1571">
        <f>H25</f>
        <v>100</v>
      </c>
      <c r="V25" s="1570" t="s">
        <v>8</v>
      </c>
      <c r="W25" s="1571">
        <f>J25</f>
        <v>100</v>
      </c>
      <c r="X25" s="1564"/>
      <c r="Y25" s="338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386"/>
      <c r="Q26" s="1569">
        <f t="shared" ref="Q26:Q40" si="11">B26</f>
        <v>111</v>
      </c>
      <c r="R26" s="1570" t="s">
        <v>8</v>
      </c>
      <c r="S26" s="1571">
        <f>F26</f>
        <v>100</v>
      </c>
      <c r="T26" s="1570" t="s">
        <v>8</v>
      </c>
      <c r="U26" s="1571">
        <f>H26</f>
        <v>100</v>
      </c>
      <c r="V26" s="1570" t="s">
        <v>8</v>
      </c>
      <c r="W26" s="1571">
        <f>J26</f>
        <v>100</v>
      </c>
      <c r="X26" s="1564"/>
      <c r="Y26" s="338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386"/>
      <c r="Q27" s="1147">
        <f t="shared" si="11"/>
        <v>111</v>
      </c>
      <c r="R27" s="1565" t="s">
        <v>8</v>
      </c>
      <c r="S27" s="1566">
        <f>F27</f>
        <v>100</v>
      </c>
      <c r="T27" s="1565" t="s">
        <v>8</v>
      </c>
      <c r="U27" s="1566">
        <f>H27</f>
        <v>100</v>
      </c>
      <c r="V27" s="1565" t="s">
        <v>8</v>
      </c>
      <c r="W27" s="1566">
        <f>J27</f>
        <v>100</v>
      </c>
      <c r="X27" s="1567"/>
      <c r="Y27" s="338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386"/>
      <c r="Q28" s="1569">
        <f t="shared" si="11"/>
        <v>111</v>
      </c>
      <c r="R28" s="1570" t="s">
        <v>8</v>
      </c>
      <c r="S28" s="1571">
        <f t="shared" ref="S28:S40" si="12">F28</f>
        <v>100</v>
      </c>
      <c r="T28" s="1570" t="s">
        <v>8</v>
      </c>
      <c r="U28" s="1571">
        <f t="shared" ref="U28:U40" si="13">H28</f>
        <v>100</v>
      </c>
      <c r="V28" s="1570" t="s">
        <v>8</v>
      </c>
      <c r="W28" s="1571">
        <f t="shared" ref="W28:W40" si="14">J28</f>
        <v>100</v>
      </c>
      <c r="X28" s="1564"/>
      <c r="Y28" s="3386"/>
      <c r="Z28" s="1572">
        <f t="shared" ref="Z28:Z40" si="15">Q28</f>
        <v>111</v>
      </c>
      <c r="AA28" s="1573">
        <f t="shared" si="3"/>
        <v>1</v>
      </c>
      <c r="AB28" s="1573">
        <f t="shared" si="4"/>
        <v>1</v>
      </c>
      <c r="AC28" s="1573">
        <f t="shared" si="5"/>
        <v>1</v>
      </c>
    </row>
    <row r="29" spans="1:29" ht="15">
      <c r="A29" s="2931" t="s">
        <v>2763</v>
      </c>
      <c r="B29" s="172" t="s">
        <v>780</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387" t="s">
        <v>550</v>
      </c>
      <c r="Q29" s="1569" t="str">
        <f t="shared" si="11"/>
        <v>建筑类型</v>
      </c>
      <c r="R29" s="1570" t="s">
        <v>8</v>
      </c>
      <c r="S29" s="1571">
        <f t="shared" si="12"/>
        <v>100</v>
      </c>
      <c r="T29" s="1570" t="s">
        <v>8</v>
      </c>
      <c r="U29" s="1571">
        <f t="shared" si="13"/>
        <v>100</v>
      </c>
      <c r="V29" s="1570" t="s">
        <v>8</v>
      </c>
      <c r="W29" s="1571">
        <f t="shared" si="14"/>
        <v>100</v>
      </c>
      <c r="X29" s="1564"/>
      <c r="Y29" s="3388" t="s">
        <v>550</v>
      </c>
      <c r="Z29" s="1572" t="str">
        <f t="shared" si="15"/>
        <v>建筑类型</v>
      </c>
      <c r="AA29" s="1573">
        <f t="shared" si="3"/>
        <v>1</v>
      </c>
      <c r="AB29" s="1573">
        <f t="shared" si="4"/>
        <v>1</v>
      </c>
      <c r="AC29" s="1573">
        <f t="shared" si="5"/>
        <v>1</v>
      </c>
    </row>
    <row r="30" spans="1:29" s="1335" customFormat="1" ht="15">
      <c r="A30" s="600"/>
      <c r="B30" s="524" t="s">
        <v>726</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388"/>
      <c r="Q30" s="1602" t="str">
        <f t="shared" si="11"/>
        <v>项目建筑规模</v>
      </c>
      <c r="R30" s="1574" t="s">
        <v>8</v>
      </c>
      <c r="S30" s="1575" t="e">
        <f t="shared" si="12"/>
        <v>#N/A</v>
      </c>
      <c r="T30" s="1574" t="s">
        <v>8</v>
      </c>
      <c r="U30" s="1575" t="e">
        <f t="shared" si="13"/>
        <v>#N/A</v>
      </c>
      <c r="V30" s="1574" t="s">
        <v>8</v>
      </c>
      <c r="W30" s="1575" t="e">
        <f t="shared" si="14"/>
        <v>#N/A</v>
      </c>
      <c r="X30" s="1576"/>
      <c r="Y30" s="3388"/>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388"/>
      <c r="Q31" s="1569" t="str">
        <f t="shared" si="11"/>
        <v>建筑结构</v>
      </c>
      <c r="R31" s="1570" t="s">
        <v>8</v>
      </c>
      <c r="S31" s="1571">
        <f t="shared" si="12"/>
        <v>100</v>
      </c>
      <c r="T31" s="1570" t="s">
        <v>8</v>
      </c>
      <c r="U31" s="1571">
        <f t="shared" si="13"/>
        <v>100</v>
      </c>
      <c r="V31" s="1570" t="s">
        <v>8</v>
      </c>
      <c r="W31" s="1571">
        <f t="shared" si="14"/>
        <v>100</v>
      </c>
      <c r="X31" s="1564"/>
      <c r="Y31" s="3388"/>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388"/>
      <c r="Q32" s="1569" t="str">
        <f t="shared" si="11"/>
        <v>公共部分装修</v>
      </c>
      <c r="R32" s="1570" t="s">
        <v>8</v>
      </c>
      <c r="S32" s="1571">
        <f t="shared" si="12"/>
        <v>100</v>
      </c>
      <c r="T32" s="1570" t="s">
        <v>8</v>
      </c>
      <c r="U32" s="1571">
        <f t="shared" si="13"/>
        <v>100</v>
      </c>
      <c r="V32" s="1570" t="s">
        <v>8</v>
      </c>
      <c r="W32" s="1571">
        <f t="shared" si="14"/>
        <v>100</v>
      </c>
      <c r="X32" s="1564"/>
      <c r="Y32" s="3388"/>
      <c r="Z32" s="1572" t="str">
        <f t="shared" si="15"/>
        <v>公共部分装修</v>
      </c>
      <c r="AA32" s="1573">
        <f t="shared" si="3"/>
        <v>1</v>
      </c>
      <c r="AB32" s="1573">
        <f t="shared" si="4"/>
        <v>1</v>
      </c>
      <c r="AC32" s="1573">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388"/>
      <c r="Q33" s="1569" t="str">
        <f t="shared" si="11"/>
        <v>成新度</v>
      </c>
      <c r="R33" s="1570" t="s">
        <v>8</v>
      </c>
      <c r="S33" s="1571" t="e">
        <f t="shared" si="12"/>
        <v>#N/A</v>
      </c>
      <c r="T33" s="1570" t="s">
        <v>8</v>
      </c>
      <c r="U33" s="1571" t="e">
        <f t="shared" si="13"/>
        <v>#N/A</v>
      </c>
      <c r="V33" s="1570" t="s">
        <v>8</v>
      </c>
      <c r="W33" s="1571" t="e">
        <f t="shared" si="14"/>
        <v>#N/A</v>
      </c>
      <c r="X33" s="1564"/>
      <c r="Y33" s="3388"/>
      <c r="Z33" s="1572" t="str">
        <f t="shared" si="15"/>
        <v>成新度</v>
      </c>
      <c r="AA33" s="1573" t="e">
        <f t="shared" si="3"/>
        <v>#N/A</v>
      </c>
      <c r="AB33" s="1573" t="e">
        <f t="shared" si="4"/>
        <v>#N/A</v>
      </c>
      <c r="AC33" s="1573" t="e">
        <f t="shared" si="5"/>
        <v>#N/A</v>
      </c>
    </row>
    <row r="34" spans="1:29" s="1216" customFormat="1" ht="15">
      <c r="A34" s="597"/>
      <c r="B34" s="524" t="s">
        <v>782</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388"/>
      <c r="Q34" s="1147" t="str">
        <f t="shared" si="11"/>
        <v>物业管理</v>
      </c>
      <c r="R34" s="1565" t="s">
        <v>8</v>
      </c>
      <c r="S34" s="1566">
        <f t="shared" si="12"/>
        <v>100</v>
      </c>
      <c r="T34" s="1565" t="s">
        <v>8</v>
      </c>
      <c r="U34" s="1566">
        <f t="shared" si="13"/>
        <v>100</v>
      </c>
      <c r="V34" s="1565" t="s">
        <v>8</v>
      </c>
      <c r="W34" s="1566">
        <f t="shared" si="14"/>
        <v>100</v>
      </c>
      <c r="X34" s="1567"/>
      <c r="Y34" s="3388"/>
      <c r="Z34" s="1146" t="str">
        <f t="shared" si="15"/>
        <v>物业管理</v>
      </c>
      <c r="AA34" s="1568">
        <f t="shared" si="3"/>
        <v>1</v>
      </c>
      <c r="AB34" s="1568">
        <f t="shared" si="4"/>
        <v>1</v>
      </c>
      <c r="AC34" s="1568">
        <f t="shared" si="5"/>
        <v>1</v>
      </c>
    </row>
    <row r="35" spans="1:29" ht="15">
      <c r="A35" s="591"/>
      <c r="B35" s="1893" t="s">
        <v>2571</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388" t="s">
        <v>550</v>
      </c>
      <c r="Q35" s="1569" t="str">
        <f t="shared" si="11"/>
        <v>市政基础设施</v>
      </c>
      <c r="R35" s="1570" t="s">
        <v>8</v>
      </c>
      <c r="S35" s="1571">
        <f t="shared" si="12"/>
        <v>100</v>
      </c>
      <c r="T35" s="1570" t="s">
        <v>8</v>
      </c>
      <c r="U35" s="1571">
        <f t="shared" si="13"/>
        <v>100</v>
      </c>
      <c r="V35" s="1570" t="s">
        <v>8</v>
      </c>
      <c r="W35" s="1571">
        <f t="shared" si="14"/>
        <v>100</v>
      </c>
      <c r="X35" s="1564"/>
      <c r="Y35" s="3388"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388"/>
      <c r="Q36" s="1569" t="str">
        <f t="shared" si="11"/>
        <v>内部装修</v>
      </c>
      <c r="R36" s="1570" t="s">
        <v>8</v>
      </c>
      <c r="S36" s="1571">
        <f t="shared" si="12"/>
        <v>100</v>
      </c>
      <c r="T36" s="1570" t="s">
        <v>8</v>
      </c>
      <c r="U36" s="1571">
        <f t="shared" si="13"/>
        <v>100</v>
      </c>
      <c r="V36" s="1570" t="s">
        <v>8</v>
      </c>
      <c r="W36" s="1571">
        <f t="shared" si="14"/>
        <v>100</v>
      </c>
      <c r="X36" s="1564"/>
      <c r="Y36" s="3388"/>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388"/>
      <c r="Q37" s="1569" t="str">
        <f t="shared" si="11"/>
        <v>内部装修状况</v>
      </c>
      <c r="R37" s="1570" t="s">
        <v>8</v>
      </c>
      <c r="S37" s="1571">
        <f t="shared" si="12"/>
        <v>100</v>
      </c>
      <c r="T37" s="1570" t="s">
        <v>8</v>
      </c>
      <c r="U37" s="1571">
        <f t="shared" si="13"/>
        <v>100</v>
      </c>
      <c r="V37" s="1570" t="s">
        <v>8</v>
      </c>
      <c r="W37" s="1571">
        <f t="shared" si="14"/>
        <v>100</v>
      </c>
      <c r="X37" s="1564"/>
      <c r="Y37" s="338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388"/>
      <c r="Q38" s="1602">
        <f t="shared" si="11"/>
        <v>111</v>
      </c>
      <c r="R38" s="1574" t="s">
        <v>8</v>
      </c>
      <c r="S38" s="1575">
        <f t="shared" si="12"/>
        <v>100</v>
      </c>
      <c r="T38" s="1574" t="s">
        <v>8</v>
      </c>
      <c r="U38" s="1575">
        <f t="shared" si="13"/>
        <v>100</v>
      </c>
      <c r="V38" s="1574" t="s">
        <v>8</v>
      </c>
      <c r="W38" s="1575">
        <f t="shared" si="14"/>
        <v>100</v>
      </c>
      <c r="X38" s="1576"/>
      <c r="Y38" s="338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388"/>
      <c r="Q39" s="1569">
        <f t="shared" si="11"/>
        <v>111</v>
      </c>
      <c r="R39" s="1570" t="s">
        <v>8</v>
      </c>
      <c r="S39" s="1571">
        <f t="shared" si="12"/>
        <v>100</v>
      </c>
      <c r="T39" s="1570" t="s">
        <v>8</v>
      </c>
      <c r="U39" s="1571">
        <f t="shared" si="13"/>
        <v>100</v>
      </c>
      <c r="V39" s="1570" t="s">
        <v>8</v>
      </c>
      <c r="W39" s="1571">
        <f t="shared" si="14"/>
        <v>100</v>
      </c>
      <c r="X39" s="1564"/>
      <c r="Y39" s="338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6"/>
      <c r="Q40" s="1569">
        <f t="shared" si="11"/>
        <v>111</v>
      </c>
      <c r="R40" s="1570" t="s">
        <v>8</v>
      </c>
      <c r="S40" s="1571">
        <f t="shared" si="12"/>
        <v>100</v>
      </c>
      <c r="T40" s="1570" t="s">
        <v>8</v>
      </c>
      <c r="U40" s="1571">
        <f t="shared" si="13"/>
        <v>100</v>
      </c>
      <c r="V40" s="1570" t="s">
        <v>8</v>
      </c>
      <c r="W40" s="1571">
        <f t="shared" si="14"/>
        <v>100</v>
      </c>
      <c r="X40" s="1564"/>
      <c r="Y40" s="3466"/>
      <c r="Z40" s="1572">
        <f t="shared" si="15"/>
        <v>111</v>
      </c>
      <c r="AA40" s="1573">
        <f t="shared" si="3"/>
        <v>1</v>
      </c>
      <c r="AB40" s="1573">
        <f t="shared" si="4"/>
        <v>1</v>
      </c>
      <c r="AC40" s="1573">
        <f t="shared" si="5"/>
        <v>1</v>
      </c>
    </row>
    <row r="41" spans="1:29" ht="15">
      <c r="A41" s="604" t="s">
        <v>736</v>
      </c>
      <c r="B41" s="883"/>
      <c r="C41" s="2649" t="s">
        <v>1</v>
      </c>
      <c r="D41" s="2650"/>
      <c r="E41" s="2651"/>
      <c r="F41" s="2652"/>
      <c r="G41" s="2653"/>
      <c r="H41" s="2654"/>
      <c r="I41" s="2651"/>
      <c r="J41" s="2654"/>
      <c r="K41" s="1608"/>
      <c r="L41" s="2142"/>
      <c r="M41" s="2143"/>
      <c r="N41" s="2132"/>
      <c r="O41" s="2143"/>
      <c r="P41" s="3383" t="str">
        <f>A41</f>
        <v>成交单价（元/平方米）</v>
      </c>
      <c r="Q41" s="3383"/>
      <c r="R41" s="3465">
        <f>E41</f>
        <v>0</v>
      </c>
      <c r="S41" s="3465"/>
      <c r="T41" s="3465">
        <f>G41</f>
        <v>0</v>
      </c>
      <c r="U41" s="3465"/>
      <c r="V41" s="3465">
        <f>I41</f>
        <v>0</v>
      </c>
      <c r="W41" s="3465"/>
      <c r="X41" s="1556"/>
      <c r="Y41" s="1578"/>
      <c r="Z41" s="1556"/>
      <c r="AA41" s="1556"/>
      <c r="AB41" s="1556"/>
      <c r="AC41" s="1556"/>
    </row>
    <row r="42" spans="1:29" ht="15.75" thickBot="1">
      <c r="A42" s="612" t="s">
        <v>2768</v>
      </c>
      <c r="B42" s="884"/>
      <c r="C42" s="2655" t="e">
        <f>R43</f>
        <v>#DIV/0!</v>
      </c>
      <c r="D42" s="2656"/>
      <c r="E42" s="2657" t="e">
        <f>R42</f>
        <v>#DIV/0!</v>
      </c>
      <c r="F42" s="2657"/>
      <c r="G42" s="2655" t="e">
        <f>T42</f>
        <v>#DIV/0!</v>
      </c>
      <c r="H42" s="2656"/>
      <c r="I42" s="2657" t="e">
        <f>V42</f>
        <v>#DIV/0!</v>
      </c>
      <c r="J42" s="2656"/>
      <c r="K42" s="1609"/>
      <c r="L42" s="2142"/>
      <c r="M42" s="2143"/>
      <c r="N42" s="2132"/>
      <c r="O42" s="2143"/>
      <c r="P42" s="3383" t="str">
        <f>A42</f>
        <v>比较价格（元/平方米）</v>
      </c>
      <c r="Q42" s="3383"/>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6"/>
      <c r="Y42" s="1556"/>
      <c r="Z42" s="1556"/>
      <c r="AA42" s="1556"/>
      <c r="AB42" s="1556"/>
      <c r="AC42" s="1556"/>
    </row>
    <row r="43" spans="1:29" ht="15.75" thickBot="1">
      <c r="A43" s="618" t="s">
        <v>2945</v>
      </c>
      <c r="B43" s="619"/>
      <c r="C43" s="2658" t="e">
        <f>R43</f>
        <v>#DIV/0!</v>
      </c>
      <c r="D43" s="2658"/>
      <c r="E43" s="2658"/>
      <c r="F43" s="2658"/>
      <c r="G43" s="2658"/>
      <c r="H43" s="2658"/>
      <c r="I43" s="2658"/>
      <c r="J43" s="2658"/>
      <c r="K43" s="1610"/>
      <c r="L43" s="2142"/>
      <c r="M43" s="2143"/>
      <c r="N43" s="2143"/>
      <c r="O43" s="2143"/>
      <c r="P43" s="3405" t="str">
        <f>A43</f>
        <v>估价对象XX用房的比较价格（楼面单价，元/平方米）</v>
      </c>
      <c r="Q43" s="3406"/>
      <c r="R43" s="3464" t="e">
        <f>IF(F1="售价",ROUND(AVERAGE(R42:V42),0),ROUND(AVERAGE(R42:V42),1))</f>
        <v>#DIV/0!</v>
      </c>
      <c r="S43" s="3464"/>
      <c r="T43" s="3464"/>
      <c r="U43" s="3464"/>
      <c r="V43" s="3464"/>
      <c r="W43" s="3464"/>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529</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575</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531</v>
      </c>
      <c r="B55" s="645"/>
      <c r="C55" s="657" t="s">
        <v>576</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577</v>
      </c>
      <c r="B57" s="662" t="s">
        <v>534</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539</v>
      </c>
      <c r="B70" s="662" t="s">
        <v>585</v>
      </c>
      <c r="C70" s="700" t="s">
        <v>579</v>
      </c>
      <c r="D70" s="700" t="s">
        <v>580</v>
      </c>
      <c r="E70" s="700" t="s">
        <v>581</v>
      </c>
      <c r="F70" s="700" t="s">
        <v>582</v>
      </c>
      <c r="G70" s="700" t="s">
        <v>583</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586</v>
      </c>
      <c r="C72" s="705" t="s">
        <v>579</v>
      </c>
      <c r="D72" s="705" t="s">
        <v>580</v>
      </c>
      <c r="E72" s="705" t="s">
        <v>581</v>
      </c>
      <c r="F72" s="705" t="s">
        <v>582</v>
      </c>
      <c r="G72" s="705" t="s">
        <v>583</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2563</v>
      </c>
      <c r="C74" s="705" t="s">
        <v>579</v>
      </c>
      <c r="D74" s="705" t="s">
        <v>580</v>
      </c>
      <c r="E74" s="705" t="s">
        <v>581</v>
      </c>
      <c r="F74" s="705" t="s">
        <v>582</v>
      </c>
      <c r="G74" s="705" t="s">
        <v>583</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2564</v>
      </c>
      <c r="C76" s="2620" t="s">
        <v>2565</v>
      </c>
      <c r="D76" s="2620" t="s">
        <v>2566</v>
      </c>
      <c r="E76" s="2620" t="s">
        <v>2567</v>
      </c>
      <c r="F76" s="2620" t="s">
        <v>2568</v>
      </c>
      <c r="G76" s="2620" t="s">
        <v>2569</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784</v>
      </c>
      <c r="C78" s="705" t="s">
        <v>579</v>
      </c>
      <c r="D78" s="705" t="s">
        <v>580</v>
      </c>
      <c r="E78" s="705" t="s">
        <v>581</v>
      </c>
      <c r="F78" s="705" t="s">
        <v>582</v>
      </c>
      <c r="G78" s="705" t="s">
        <v>583</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551</v>
      </c>
      <c r="B88" s="662" t="s">
        <v>747</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749</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751</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753</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2562</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755</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919"/>
      <c r="C1" s="501" t="s">
        <v>792</v>
      </c>
      <c r="D1" s="846"/>
      <c r="E1" s="503"/>
      <c r="F1" s="2831"/>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795</v>
      </c>
      <c r="B3" s="507" t="e">
        <f>IF(B37="元/平方米",C39,ROUND(B2*10000/D3,0))</f>
        <v>#DIV/0!</v>
      </c>
      <c r="C3" s="849" t="s">
        <v>796</v>
      </c>
      <c r="D3" s="848">
        <f>SUMIF('数据-汇总表'!$C19:$C33,D1,'数据-汇总表'!$E19:$E33)</f>
        <v>0</v>
      </c>
      <c r="E3" s="1846" t="s">
        <v>2079</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797</v>
      </c>
      <c r="B4" s="510"/>
      <c r="C4" s="3389" t="s">
        <v>798</v>
      </c>
      <c r="D4" s="3390"/>
      <c r="E4" s="3389" t="s">
        <v>799</v>
      </c>
      <c r="F4" s="3390"/>
      <c r="G4" s="3389" t="s">
        <v>800</v>
      </c>
      <c r="H4" s="3390"/>
      <c r="I4" s="3389" t="s">
        <v>801</v>
      </c>
      <c r="J4" s="3390"/>
      <c r="K4" s="511" t="s">
        <v>802</v>
      </c>
      <c r="L4" s="2131"/>
      <c r="M4" s="2132"/>
      <c r="N4" s="2132"/>
      <c r="O4" s="2132"/>
      <c r="P4" s="3391" t="s">
        <v>803</v>
      </c>
      <c r="Q4" s="3392"/>
      <c r="R4" s="3377" t="s">
        <v>799</v>
      </c>
      <c r="S4" s="3378"/>
      <c r="T4" s="3377" t="s">
        <v>800</v>
      </c>
      <c r="U4" s="3378"/>
      <c r="V4" s="3397" t="s">
        <v>801</v>
      </c>
      <c r="W4" s="3397"/>
      <c r="X4" s="1564"/>
      <c r="Y4" s="3377" t="s">
        <v>803</v>
      </c>
      <c r="Z4" s="3378"/>
      <c r="AA4" s="3372" t="s">
        <v>799</v>
      </c>
      <c r="AB4" s="3373" t="s">
        <v>800</v>
      </c>
      <c r="AC4" s="3372" t="s">
        <v>801</v>
      </c>
    </row>
    <row r="5" spans="1:29" ht="15">
      <c r="A5" s="512"/>
      <c r="B5" s="513"/>
      <c r="C5" s="3400" t="s">
        <v>2939</v>
      </c>
      <c r="D5" s="3401"/>
      <c r="E5" s="3400" t="s">
        <v>2940</v>
      </c>
      <c r="F5" s="3401"/>
      <c r="G5" s="3400" t="s">
        <v>2941</v>
      </c>
      <c r="H5" s="3401"/>
      <c r="I5" s="3400" t="s">
        <v>2942</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2943</v>
      </c>
      <c r="D6" s="3399"/>
      <c r="E6" s="3402" t="s">
        <v>2943</v>
      </c>
      <c r="F6" s="3403"/>
      <c r="G6" s="3418" t="s">
        <v>2943</v>
      </c>
      <c r="H6" s="3399"/>
      <c r="I6" s="3418" t="s">
        <v>2943</v>
      </c>
      <c r="J6" s="3399"/>
      <c r="K6" s="511" t="s">
        <v>528</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529</v>
      </c>
      <c r="C7" s="516">
        <f>'数据-取费表'!B2</f>
        <v>43104</v>
      </c>
      <c r="D7" s="517">
        <v>100</v>
      </c>
      <c r="E7" s="518"/>
      <c r="F7" s="519">
        <f>SUMIF(48:48,YEAR(E7)&amp;"-"&amp;MONTH(E7),49:49)</f>
        <v>0</v>
      </c>
      <c r="G7" s="520"/>
      <c r="H7" s="517">
        <f>SUMIF(48:48,YEAR(G7)&amp;"-"&amp;MONTH(G7),49:49)</f>
        <v>0</v>
      </c>
      <c r="I7" s="520"/>
      <c r="J7" s="517">
        <f>SUMIF(48:48,YEAR(I7)&amp;"-"&amp;MONTH(I7),49:49)</f>
        <v>0</v>
      </c>
      <c r="K7" s="521"/>
      <c r="L7" s="2133"/>
      <c r="M7" s="2134"/>
      <c r="N7" s="2134"/>
      <c r="O7" s="2134"/>
      <c r="P7" s="3375" t="s">
        <v>530</v>
      </c>
      <c r="Q7" s="3384"/>
      <c r="R7" s="1565" t="s">
        <v>8</v>
      </c>
      <c r="S7" s="1566">
        <f t="shared" ref="S7:S14" si="0">F7</f>
        <v>0</v>
      </c>
      <c r="T7" s="1565" t="s">
        <v>8</v>
      </c>
      <c r="U7" s="1566">
        <f t="shared" ref="U7:U14" si="1">H7</f>
        <v>0</v>
      </c>
      <c r="V7" s="1565" t="s">
        <v>8</v>
      </c>
      <c r="W7" s="1566">
        <f t="shared" ref="W7:W14" si="2">J7</f>
        <v>0</v>
      </c>
      <c r="X7" s="1567"/>
      <c r="Y7" s="3375" t="s">
        <v>530</v>
      </c>
      <c r="Z7" s="3376"/>
      <c r="AA7" s="1568" t="e">
        <f>D7/F7</f>
        <v>#DIV/0!</v>
      </c>
      <c r="AB7" s="1568" t="e">
        <f>D7/H7</f>
        <v>#DIV/0!</v>
      </c>
      <c r="AC7" s="1568" t="e">
        <f>D7/J7</f>
        <v>#DIV/0!</v>
      </c>
    </row>
    <row r="8" spans="1:29" s="1216" customFormat="1" ht="15.75" thickBot="1">
      <c r="A8" s="2936"/>
      <c r="B8" s="2943" t="s">
        <v>531</v>
      </c>
      <c r="C8" s="522" t="s">
        <v>576</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375" t="s">
        <v>533</v>
      </c>
      <c r="Q8" s="3376"/>
      <c r="R8" s="1565" t="s">
        <v>8</v>
      </c>
      <c r="S8" s="1566">
        <f t="shared" si="0"/>
        <v>0</v>
      </c>
      <c r="T8" s="1565" t="s">
        <v>8</v>
      </c>
      <c r="U8" s="1566">
        <f t="shared" si="1"/>
        <v>0</v>
      </c>
      <c r="V8" s="1565" t="s">
        <v>8</v>
      </c>
      <c r="W8" s="1566">
        <f t="shared" si="2"/>
        <v>0</v>
      </c>
      <c r="X8" s="1567"/>
      <c r="Y8" s="3375" t="s">
        <v>533</v>
      </c>
      <c r="Z8" s="3376"/>
      <c r="AA8" s="1568" t="e">
        <f t="shared" ref="AA8:AA36" si="3">D8/F8</f>
        <v>#DIV/0!</v>
      </c>
      <c r="AB8" s="1568" t="e">
        <f t="shared" ref="AB8:AB36" si="4">D8/H8</f>
        <v>#DIV/0!</v>
      </c>
      <c r="AC8" s="1568" t="e">
        <f t="shared" ref="AC8:AC36" si="5">D8/J8</f>
        <v>#DIV/0!</v>
      </c>
    </row>
    <row r="9" spans="1:29" s="1216" customFormat="1" ht="15">
      <c r="A9" s="2937"/>
      <c r="B9" s="2944" t="s">
        <v>2764</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83" t="s">
        <v>535</v>
      </c>
      <c r="Q9" s="1147" t="str">
        <f t="shared" ref="Q9:Q14" si="6">B9</f>
        <v>用途</v>
      </c>
      <c r="R9" s="1565" t="s">
        <v>8</v>
      </c>
      <c r="S9" s="1566">
        <f t="shared" si="0"/>
        <v>100</v>
      </c>
      <c r="T9" s="1565" t="s">
        <v>8</v>
      </c>
      <c r="U9" s="1566">
        <f t="shared" si="1"/>
        <v>100</v>
      </c>
      <c r="V9" s="1565" t="s">
        <v>8</v>
      </c>
      <c r="W9" s="1566">
        <f t="shared" si="2"/>
        <v>100</v>
      </c>
      <c r="X9" s="1567"/>
      <c r="Y9" s="3340" t="s">
        <v>536</v>
      </c>
      <c r="Z9" s="1146" t="str">
        <f t="shared" ref="Z9:Z14" si="7">Q9</f>
        <v>用途</v>
      </c>
      <c r="AA9" s="1568">
        <f t="shared" si="3"/>
        <v>1</v>
      </c>
      <c r="AB9" s="1568">
        <f t="shared" si="4"/>
        <v>1</v>
      </c>
      <c r="AC9" s="1568">
        <f t="shared" si="5"/>
        <v>1</v>
      </c>
    </row>
    <row r="10" spans="1:29" s="1334" customFormat="1" ht="27">
      <c r="A10" s="2938"/>
      <c r="B10" s="2943" t="s">
        <v>2765</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83"/>
      <c r="Q11" s="1147">
        <f t="shared" si="6"/>
        <v>111</v>
      </c>
      <c r="R11" s="1565" t="s">
        <v>8</v>
      </c>
      <c r="S11" s="1566">
        <f t="shared" si="0"/>
        <v>100</v>
      </c>
      <c r="T11" s="1565" t="s">
        <v>8</v>
      </c>
      <c r="U11" s="1566">
        <f t="shared" si="1"/>
        <v>100</v>
      </c>
      <c r="V11" s="1565" t="s">
        <v>8</v>
      </c>
      <c r="W11" s="1566">
        <f t="shared" si="2"/>
        <v>100</v>
      </c>
      <c r="X11" s="1567"/>
      <c r="Y11" s="3340"/>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85.5">
      <c r="A14" s="2933" t="s">
        <v>2762</v>
      </c>
      <c r="B14" s="544" t="s">
        <v>543</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385" t="s">
        <v>540</v>
      </c>
      <c r="Q14" s="1569" t="str">
        <f t="shared" si="6"/>
        <v>交通便捷度</v>
      </c>
      <c r="R14" s="1570" t="s">
        <v>8</v>
      </c>
      <c r="S14" s="1571">
        <f t="shared" si="0"/>
        <v>100</v>
      </c>
      <c r="T14" s="1570" t="s">
        <v>8</v>
      </c>
      <c r="U14" s="1571">
        <f t="shared" si="1"/>
        <v>100</v>
      </c>
      <c r="V14" s="1570" t="s">
        <v>8</v>
      </c>
      <c r="W14" s="1571">
        <f t="shared" si="2"/>
        <v>100</v>
      </c>
      <c r="X14" s="1564"/>
      <c r="Y14" s="3385" t="s">
        <v>540</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386"/>
      <c r="Q15" s="1569"/>
      <c r="R15" s="1570"/>
      <c r="S15" s="1571"/>
      <c r="T15" s="1570"/>
      <c r="U15" s="1571"/>
      <c r="V15" s="1570"/>
      <c r="W15" s="1571"/>
      <c r="X15" s="1564"/>
      <c r="Y15" s="3386"/>
      <c r="Z15" s="1572"/>
      <c r="AA15" s="1573">
        <v>1</v>
      </c>
      <c r="AB15" s="1573">
        <v>1</v>
      </c>
      <c r="AC15" s="1573">
        <v>1</v>
      </c>
    </row>
    <row r="16" spans="1:29" ht="42.75">
      <c r="A16" s="512"/>
      <c r="B16" s="2625" t="s">
        <v>2552</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386"/>
      <c r="Q17" s="1569"/>
      <c r="R17" s="1570"/>
      <c r="S17" s="1571"/>
      <c r="T17" s="1570"/>
      <c r="U17" s="1571"/>
      <c r="V17" s="1570"/>
      <c r="W17" s="1571"/>
      <c r="X17" s="1564"/>
      <c r="Y17" s="3386"/>
      <c r="Z17" s="1572"/>
      <c r="AA17" s="1573">
        <v>1</v>
      </c>
      <c r="AB17" s="1573">
        <v>1</v>
      </c>
      <c r="AC17" s="1573">
        <v>1</v>
      </c>
    </row>
    <row r="18" spans="1:29" ht="28.5">
      <c r="A18" s="512"/>
      <c r="B18" s="2613" t="s">
        <v>2564</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386"/>
      <c r="Q18" s="2601" t="str">
        <f>B18</f>
        <v>基础设施水平</v>
      </c>
      <c r="R18" s="1570" t="s">
        <v>8</v>
      </c>
      <c r="S18" s="1571">
        <f>F18</f>
        <v>100</v>
      </c>
      <c r="T18" s="1570" t="s">
        <v>8</v>
      </c>
      <c r="U18" s="1571">
        <f>H18</f>
        <v>100</v>
      </c>
      <c r="V18" s="1570" t="s">
        <v>8</v>
      </c>
      <c r="W18" s="1571">
        <f>J18</f>
        <v>100</v>
      </c>
      <c r="X18" s="2603"/>
      <c r="Y18" s="338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386"/>
      <c r="Q19" s="2601"/>
      <c r="R19" s="1570"/>
      <c r="S19" s="1571"/>
      <c r="T19" s="1570"/>
      <c r="U19" s="1571"/>
      <c r="V19" s="1570"/>
      <c r="W19" s="1571"/>
      <c r="X19" s="2603"/>
      <c r="Y19" s="3386"/>
      <c r="Z19" s="2602"/>
      <c r="AA19" s="1573">
        <v>1</v>
      </c>
      <c r="AB19" s="1573">
        <v>1</v>
      </c>
      <c r="AC19" s="1573">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386"/>
      <c r="Q21" s="1569"/>
      <c r="R21" s="1570"/>
      <c r="S21" s="1571"/>
      <c r="T21" s="1570"/>
      <c r="U21" s="1571"/>
      <c r="V21" s="1570"/>
      <c r="W21" s="1571"/>
      <c r="X21" s="1564"/>
      <c r="Y21" s="3386"/>
      <c r="Z21" s="1572"/>
      <c r="AA21" s="1573">
        <v>1</v>
      </c>
      <c r="AB21" s="1573">
        <v>1</v>
      </c>
      <c r="AC21" s="1573">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386"/>
      <c r="Q24" s="1569">
        <f t="shared" ref="Q24:Q36"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386"/>
      <c r="Q25" s="1147">
        <f t="shared" si="11"/>
        <v>111</v>
      </c>
      <c r="R25" s="1565" t="s">
        <v>8</v>
      </c>
      <c r="S25" s="1566">
        <f>F25</f>
        <v>100</v>
      </c>
      <c r="T25" s="1565" t="s">
        <v>8</v>
      </c>
      <c r="U25" s="1566">
        <f>H25</f>
        <v>100</v>
      </c>
      <c r="V25" s="1565" t="s">
        <v>8</v>
      </c>
      <c r="W25" s="1566">
        <f>J25</f>
        <v>100</v>
      </c>
      <c r="X25" s="1567"/>
      <c r="Y25" s="3386"/>
      <c r="Z25" s="1146">
        <f>Q25</f>
        <v>111</v>
      </c>
      <c r="AA25" s="1573">
        <f>D25/F25</f>
        <v>1</v>
      </c>
      <c r="AB25" s="1573">
        <f>D25/H25</f>
        <v>1</v>
      </c>
      <c r="AC25" s="1573">
        <f>D25/J25</f>
        <v>1</v>
      </c>
    </row>
    <row r="26" spans="1:29" ht="15">
      <c r="A26" s="2931" t="s">
        <v>2763</v>
      </c>
      <c r="B26" s="170"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387"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8" t="s">
        <v>550</v>
      </c>
      <c r="Z26" s="1572" t="str">
        <f t="shared" ref="Z26:Z36" si="15">Q26</f>
        <v>配套类型</v>
      </c>
      <c r="AA26" s="1573">
        <f t="shared" si="3"/>
        <v>1</v>
      </c>
      <c r="AB26" s="1573">
        <f t="shared" si="4"/>
        <v>1</v>
      </c>
      <c r="AC26" s="1573">
        <f t="shared" si="5"/>
        <v>1</v>
      </c>
    </row>
    <row r="27" spans="1:29" s="1335" customFormat="1" ht="15">
      <c r="A27" s="925"/>
      <c r="B27" s="579" t="s">
        <v>807</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388"/>
      <c r="Q27" s="1602" t="str">
        <f t="shared" si="11"/>
        <v>项目停车位配比</v>
      </c>
      <c r="R27" s="1574" t="s">
        <v>8</v>
      </c>
      <c r="S27" s="1575">
        <f t="shared" si="12"/>
        <v>100</v>
      </c>
      <c r="T27" s="1574" t="s">
        <v>8</v>
      </c>
      <c r="U27" s="1575">
        <f t="shared" si="13"/>
        <v>100</v>
      </c>
      <c r="V27" s="1574" t="s">
        <v>8</v>
      </c>
      <c r="W27" s="1575">
        <f t="shared" si="14"/>
        <v>100</v>
      </c>
      <c r="X27" s="1576"/>
      <c r="Y27" s="3388"/>
      <c r="Z27" s="1577" t="str">
        <f t="shared" si="15"/>
        <v>项目停车位配比</v>
      </c>
      <c r="AA27" s="1573">
        <f t="shared" si="3"/>
        <v>1</v>
      </c>
      <c r="AB27" s="1573">
        <f t="shared" si="4"/>
        <v>1</v>
      </c>
      <c r="AC27" s="1573">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388"/>
      <c r="Q28" s="1569" t="str">
        <f t="shared" si="11"/>
        <v>公共部分装修</v>
      </c>
      <c r="R28" s="1570" t="s">
        <v>8</v>
      </c>
      <c r="S28" s="1571">
        <f t="shared" si="12"/>
        <v>100</v>
      </c>
      <c r="T28" s="1570" t="s">
        <v>8</v>
      </c>
      <c r="U28" s="1571">
        <f t="shared" si="13"/>
        <v>100</v>
      </c>
      <c r="V28" s="1570" t="s">
        <v>8</v>
      </c>
      <c r="W28" s="1571">
        <f t="shared" si="14"/>
        <v>100</v>
      </c>
      <c r="X28" s="1564"/>
      <c r="Y28" s="3388"/>
      <c r="Z28" s="1572" t="str">
        <f t="shared" si="15"/>
        <v>公共部分装修</v>
      </c>
      <c r="AA28" s="1573">
        <f t="shared" si="3"/>
        <v>1</v>
      </c>
      <c r="AB28" s="1573">
        <f t="shared" si="4"/>
        <v>1</v>
      </c>
      <c r="AC28" s="1573">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388"/>
      <c r="Q29" s="1569" t="str">
        <f t="shared" si="11"/>
        <v>成新率</v>
      </c>
      <c r="R29" s="1570" t="s">
        <v>8</v>
      </c>
      <c r="S29" s="1571" t="e">
        <f t="shared" si="12"/>
        <v>#N/A</v>
      </c>
      <c r="T29" s="1570" t="s">
        <v>8</v>
      </c>
      <c r="U29" s="1571" t="e">
        <f t="shared" si="13"/>
        <v>#N/A</v>
      </c>
      <c r="V29" s="1570" t="s">
        <v>8</v>
      </c>
      <c r="W29" s="1571" t="e">
        <f t="shared" si="14"/>
        <v>#N/A</v>
      </c>
      <c r="X29" s="1564"/>
      <c r="Y29" s="3388"/>
      <c r="Z29" s="1572" t="str">
        <f t="shared" si="15"/>
        <v>成新率</v>
      </c>
      <c r="AA29" s="1573" t="e">
        <f t="shared" si="3"/>
        <v>#N/A</v>
      </c>
      <c r="AB29" s="1573" t="e">
        <f t="shared" si="4"/>
        <v>#N/A</v>
      </c>
      <c r="AC29" s="1573"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388"/>
      <c r="Q30" s="1569" t="str">
        <f t="shared" si="11"/>
        <v>物业等级</v>
      </c>
      <c r="R30" s="1570" t="s">
        <v>8</v>
      </c>
      <c r="S30" s="1571">
        <f t="shared" si="12"/>
        <v>100</v>
      </c>
      <c r="T30" s="1570" t="s">
        <v>8</v>
      </c>
      <c r="U30" s="1571">
        <f t="shared" si="13"/>
        <v>100</v>
      </c>
      <c r="V30" s="1570" t="s">
        <v>8</v>
      </c>
      <c r="W30" s="1571">
        <f t="shared" si="14"/>
        <v>100</v>
      </c>
      <c r="X30" s="1564"/>
      <c r="Y30" s="3388"/>
      <c r="Z30" s="1572" t="str">
        <f t="shared" si="15"/>
        <v>物业等级</v>
      </c>
      <c r="AA30" s="1573">
        <f t="shared" si="3"/>
        <v>1</v>
      </c>
      <c r="AB30" s="1573">
        <f t="shared" si="4"/>
        <v>1</v>
      </c>
      <c r="AC30" s="1573">
        <f t="shared" si="5"/>
        <v>1</v>
      </c>
    </row>
    <row r="31" spans="1:29" s="1216" customFormat="1" ht="15">
      <c r="A31" s="929"/>
      <c r="B31" s="579" t="s">
        <v>811</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388"/>
      <c r="Q31" s="1147" t="str">
        <f t="shared" si="11"/>
        <v>停车位面积</v>
      </c>
      <c r="R31" s="1565" t="s">
        <v>8</v>
      </c>
      <c r="S31" s="1566" t="e">
        <f t="shared" si="12"/>
        <v>#N/A</v>
      </c>
      <c r="T31" s="1565" t="s">
        <v>8</v>
      </c>
      <c r="U31" s="1566" t="e">
        <f t="shared" si="13"/>
        <v>#N/A</v>
      </c>
      <c r="V31" s="1565" t="s">
        <v>8</v>
      </c>
      <c r="W31" s="1566" t="e">
        <f t="shared" si="14"/>
        <v>#N/A</v>
      </c>
      <c r="X31" s="1567"/>
      <c r="Y31" s="3388"/>
      <c r="Z31" s="1146" t="str">
        <f t="shared" si="15"/>
        <v>停车位面积</v>
      </c>
      <c r="AA31" s="1568" t="e">
        <f t="shared" si="3"/>
        <v>#N/A</v>
      </c>
      <c r="AB31" s="1568" t="e">
        <f t="shared" si="4"/>
        <v>#N/A</v>
      </c>
      <c r="AC31" s="1568"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388" t="s">
        <v>550</v>
      </c>
      <c r="Q32" s="1569" t="str">
        <f t="shared" si="11"/>
        <v>车位类型</v>
      </c>
      <c r="R32" s="1570" t="s">
        <v>8</v>
      </c>
      <c r="S32" s="1571">
        <f t="shared" si="12"/>
        <v>100</v>
      </c>
      <c r="T32" s="1570" t="s">
        <v>8</v>
      </c>
      <c r="U32" s="1571">
        <f t="shared" si="13"/>
        <v>100</v>
      </c>
      <c r="V32" s="1570" t="s">
        <v>8</v>
      </c>
      <c r="W32" s="1571">
        <f t="shared" si="14"/>
        <v>100</v>
      </c>
      <c r="X32" s="1564"/>
      <c r="Y32" s="3388" t="s">
        <v>550</v>
      </c>
      <c r="Z32" s="1572" t="str">
        <f t="shared" si="15"/>
        <v>车位类型</v>
      </c>
      <c r="AA32" s="1573">
        <f t="shared" si="3"/>
        <v>1</v>
      </c>
      <c r="AB32" s="1573">
        <f t="shared" si="4"/>
        <v>1</v>
      </c>
      <c r="AC32" s="1573">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388"/>
      <c r="Q33" s="1569" t="str">
        <f t="shared" si="11"/>
        <v>是否直接入户</v>
      </c>
      <c r="R33" s="1570" t="s">
        <v>8</v>
      </c>
      <c r="S33" s="1571">
        <f t="shared" si="12"/>
        <v>100</v>
      </c>
      <c r="T33" s="1570" t="s">
        <v>8</v>
      </c>
      <c r="U33" s="1571">
        <f t="shared" si="13"/>
        <v>100</v>
      </c>
      <c r="V33" s="1570" t="s">
        <v>8</v>
      </c>
      <c r="W33" s="1571">
        <f t="shared" si="14"/>
        <v>100</v>
      </c>
      <c r="X33" s="1564"/>
      <c r="Y33" s="338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388"/>
      <c r="Q35" s="1602">
        <f t="shared" si="11"/>
        <v>111</v>
      </c>
      <c r="R35" s="1574" t="s">
        <v>8</v>
      </c>
      <c r="S35" s="1575">
        <f t="shared" si="12"/>
        <v>100</v>
      </c>
      <c r="T35" s="1574" t="s">
        <v>8</v>
      </c>
      <c r="U35" s="1575">
        <f t="shared" si="13"/>
        <v>100</v>
      </c>
      <c r="V35" s="1574" t="s">
        <v>8</v>
      </c>
      <c r="W35" s="1575">
        <f t="shared" si="14"/>
        <v>100</v>
      </c>
      <c r="X35" s="1576"/>
      <c r="Y35" s="338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388"/>
      <c r="Q36" s="1569">
        <f t="shared" si="11"/>
        <v>111</v>
      </c>
      <c r="R36" s="1570" t="s">
        <v>8</v>
      </c>
      <c r="S36" s="1571">
        <f t="shared" si="12"/>
        <v>100</v>
      </c>
      <c r="T36" s="1570" t="s">
        <v>8</v>
      </c>
      <c r="U36" s="1571">
        <f t="shared" si="13"/>
        <v>100</v>
      </c>
      <c r="V36" s="1570" t="s">
        <v>8</v>
      </c>
      <c r="W36" s="1571">
        <f t="shared" si="14"/>
        <v>100</v>
      </c>
      <c r="X36" s="1564"/>
      <c r="Y36" s="3388"/>
      <c r="Z36" s="1572">
        <f t="shared" si="15"/>
        <v>111</v>
      </c>
      <c r="AA36" s="1573">
        <f t="shared" si="3"/>
        <v>1</v>
      </c>
      <c r="AB36" s="1573">
        <f t="shared" si="4"/>
        <v>1</v>
      </c>
      <c r="AC36" s="1573">
        <f t="shared" si="5"/>
        <v>1</v>
      </c>
    </row>
    <row r="37" spans="1:29" ht="15">
      <c r="A37" s="1844" t="s">
        <v>2080</v>
      </c>
      <c r="B37" s="1845" t="s">
        <v>2081</v>
      </c>
      <c r="C37" s="2649" t="s">
        <v>1</v>
      </c>
      <c r="D37" s="2650"/>
      <c r="E37" s="2651"/>
      <c r="F37" s="2652"/>
      <c r="G37" s="2653"/>
      <c r="H37" s="2654"/>
      <c r="I37" s="2651"/>
      <c r="J37" s="2654"/>
      <c r="K37" s="1608"/>
      <c r="L37" s="2142"/>
      <c r="M37" s="2143"/>
      <c r="N37" s="2132"/>
      <c r="O37" s="2143"/>
      <c r="P37" s="3383" t="str">
        <f>A37</f>
        <v>成交单价</v>
      </c>
      <c r="Q37" s="3383"/>
      <c r="R37" s="3465">
        <f>E37</f>
        <v>0</v>
      </c>
      <c r="S37" s="3465"/>
      <c r="T37" s="3465">
        <f>G37</f>
        <v>0</v>
      </c>
      <c r="U37" s="3465"/>
      <c r="V37" s="3465">
        <f>I37</f>
        <v>0</v>
      </c>
      <c r="W37" s="3465"/>
      <c r="X37" s="1556"/>
      <c r="Y37" s="1578"/>
      <c r="Z37" s="1556"/>
      <c r="AA37" s="1556"/>
      <c r="AB37" s="1556"/>
      <c r="AC37" s="1556"/>
    </row>
    <row r="38" spans="1:29" ht="15.75" thickBot="1">
      <c r="A38" s="612" t="s">
        <v>2768</v>
      </c>
      <c r="B38" s="884"/>
      <c r="C38" s="2655" t="e">
        <f>R39</f>
        <v>#DIV/0!</v>
      </c>
      <c r="D38" s="2656"/>
      <c r="E38" s="2657" t="e">
        <f>R38</f>
        <v>#DIV/0!</v>
      </c>
      <c r="F38" s="2657"/>
      <c r="G38" s="2655" t="e">
        <f>T38</f>
        <v>#DIV/0!</v>
      </c>
      <c r="H38" s="2656"/>
      <c r="I38" s="2657" t="e">
        <f>V38</f>
        <v>#DIV/0!</v>
      </c>
      <c r="J38" s="2656"/>
      <c r="K38" s="1609"/>
      <c r="L38" s="2142"/>
      <c r="M38" s="2143"/>
      <c r="N38" s="2143"/>
      <c r="O38" s="2143"/>
      <c r="P38" s="3383" t="str">
        <f>A38</f>
        <v>比较价格（元/平方米）</v>
      </c>
      <c r="Q38" s="3383"/>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6"/>
      <c r="Y38" s="1556"/>
      <c r="Z38" s="1556"/>
      <c r="AA38" s="1556"/>
      <c r="AB38" s="1556"/>
      <c r="AC38" s="1556"/>
    </row>
    <row r="39" spans="1:29" ht="15.75" thickBot="1">
      <c r="A39" s="618" t="s">
        <v>2945</v>
      </c>
      <c r="B39" s="619"/>
      <c r="C39" s="2658" t="e">
        <f>R39</f>
        <v>#DIV/0!</v>
      </c>
      <c r="D39" s="2658"/>
      <c r="E39" s="2658"/>
      <c r="F39" s="2658"/>
      <c r="G39" s="2658"/>
      <c r="H39" s="2658"/>
      <c r="I39" s="2658"/>
      <c r="J39" s="2658"/>
      <c r="K39" s="1610"/>
      <c r="L39" s="2142"/>
      <c r="M39" s="2143"/>
      <c r="N39" s="2143"/>
      <c r="O39" s="2143"/>
      <c r="P39" s="3405" t="str">
        <f>A39</f>
        <v>估价对象XX用房的比较价格（楼面单价，元/平方米）</v>
      </c>
      <c r="Q39" s="3406"/>
      <c r="R39" s="3464" t="e">
        <f>IF(F1="售价",ROUND(AVERAGE(R38:V38),0),ROUND(AVERAGE(R38:V38),1))</f>
        <v>#DIV/0!</v>
      </c>
      <c r="S39" s="3464"/>
      <c r="T39" s="3464"/>
      <c r="U39" s="3464"/>
      <c r="V39" s="3464"/>
      <c r="W39" s="3464"/>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529</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575</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531</v>
      </c>
      <c r="B51" s="645"/>
      <c r="C51" s="657" t="s">
        <v>576</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577</v>
      </c>
      <c r="B53" s="662" t="s">
        <v>534</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2563</v>
      </c>
      <c r="C65" s="705" t="s">
        <v>579</v>
      </c>
      <c r="D65" s="705" t="s">
        <v>580</v>
      </c>
      <c r="E65" s="705" t="s">
        <v>581</v>
      </c>
      <c r="F65" s="705" t="s">
        <v>582</v>
      </c>
      <c r="G65" s="705" t="s">
        <v>583</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2564</v>
      </c>
      <c r="C67" s="2620" t="s">
        <v>2565</v>
      </c>
      <c r="D67" s="2620" t="s">
        <v>2566</v>
      </c>
      <c r="E67" s="2620" t="s">
        <v>2567</v>
      </c>
      <c r="F67" s="2620" t="s">
        <v>2568</v>
      </c>
      <c r="G67" s="2620" t="s">
        <v>2569</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744</v>
      </c>
      <c r="C69" s="705" t="s">
        <v>579</v>
      </c>
      <c r="D69" s="705" t="s">
        <v>580</v>
      </c>
      <c r="E69" s="705" t="s">
        <v>581</v>
      </c>
      <c r="F69" s="705" t="s">
        <v>582</v>
      </c>
      <c r="G69" s="705" t="s">
        <v>583</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745</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551</v>
      </c>
      <c r="B79" s="662" t="s">
        <v>814</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815</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751</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817</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819</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820</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919"/>
      <c r="C1" s="501" t="s">
        <v>792</v>
      </c>
      <c r="D1" s="846"/>
      <c r="E1" s="503"/>
      <c r="F1" s="2831"/>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795</v>
      </c>
      <c r="B3" s="507" t="e">
        <f>C37</f>
        <v>#DIV/0!</v>
      </c>
      <c r="C3" s="849" t="s">
        <v>796</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797</v>
      </c>
      <c r="B4" s="510"/>
      <c r="C4" s="3389" t="s">
        <v>798</v>
      </c>
      <c r="D4" s="3390"/>
      <c r="E4" s="3414" t="s">
        <v>799</v>
      </c>
      <c r="F4" s="3415"/>
      <c r="G4" s="3389" t="s">
        <v>800</v>
      </c>
      <c r="H4" s="3390"/>
      <c r="I4" s="3389" t="s">
        <v>801</v>
      </c>
      <c r="J4" s="3390"/>
      <c r="K4" s="511" t="s">
        <v>802</v>
      </c>
      <c r="L4" s="2131"/>
      <c r="M4" s="2132"/>
      <c r="N4" s="2132"/>
      <c r="O4" s="2132"/>
      <c r="P4" s="3391" t="s">
        <v>803</v>
      </c>
      <c r="Q4" s="3392"/>
      <c r="R4" s="3377" t="s">
        <v>799</v>
      </c>
      <c r="S4" s="3378"/>
      <c r="T4" s="3377" t="s">
        <v>800</v>
      </c>
      <c r="U4" s="3378"/>
      <c r="V4" s="3397" t="s">
        <v>801</v>
      </c>
      <c r="W4" s="3397"/>
      <c r="X4" s="1564"/>
      <c r="Y4" s="3377" t="s">
        <v>803</v>
      </c>
      <c r="Z4" s="3378"/>
      <c r="AA4" s="3372" t="s">
        <v>799</v>
      </c>
      <c r="AB4" s="3373" t="s">
        <v>800</v>
      </c>
      <c r="AC4" s="3372" t="s">
        <v>801</v>
      </c>
    </row>
    <row r="5" spans="1:29" ht="15">
      <c r="A5" s="512"/>
      <c r="B5" s="513"/>
      <c r="C5" s="3400" t="s">
        <v>2939</v>
      </c>
      <c r="D5" s="3401"/>
      <c r="E5" s="3416" t="s">
        <v>2940</v>
      </c>
      <c r="F5" s="3417"/>
      <c r="G5" s="3400" t="s">
        <v>2941</v>
      </c>
      <c r="H5" s="3401"/>
      <c r="I5" s="3400" t="s">
        <v>2942</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2943</v>
      </c>
      <c r="D6" s="3399"/>
      <c r="E6" s="3419" t="s">
        <v>2943</v>
      </c>
      <c r="F6" s="3420"/>
      <c r="G6" s="3418" t="s">
        <v>2943</v>
      </c>
      <c r="H6" s="3399"/>
      <c r="I6" s="3418" t="s">
        <v>2943</v>
      </c>
      <c r="J6" s="3399"/>
      <c r="K6" s="511" t="s">
        <v>528</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529</v>
      </c>
      <c r="C7" s="516">
        <f>'数据-取费表'!B2</f>
        <v>43104</v>
      </c>
      <c r="D7" s="517">
        <v>100</v>
      </c>
      <c r="E7" s="518"/>
      <c r="F7" s="519">
        <f>SUMIF(46:46,YEAR(E7)&amp;"-"&amp;MONTH(E7),47:47)</f>
        <v>0</v>
      </c>
      <c r="G7" s="520"/>
      <c r="H7" s="517">
        <f>SUMIF(46:46,YEAR(G7)&amp;"-"&amp;MONTH(G7),47:47)</f>
        <v>0</v>
      </c>
      <c r="I7" s="520"/>
      <c r="J7" s="517">
        <f>SUMIF(46:46,YEAR(I7)&amp;"-"&amp;MONTH(I7),47:47)</f>
        <v>0</v>
      </c>
      <c r="K7" s="521"/>
      <c r="L7" s="2133"/>
      <c r="M7" s="2134"/>
      <c r="N7" s="2134"/>
      <c r="O7" s="2134"/>
      <c r="P7" s="3375" t="s">
        <v>530</v>
      </c>
      <c r="Q7" s="3384"/>
      <c r="R7" s="1565" t="s">
        <v>8</v>
      </c>
      <c r="S7" s="1566">
        <f t="shared" ref="S7:S14" si="0">F7</f>
        <v>0</v>
      </c>
      <c r="T7" s="1565" t="s">
        <v>8</v>
      </c>
      <c r="U7" s="1566">
        <f t="shared" ref="U7:U14" si="1">H7</f>
        <v>0</v>
      </c>
      <c r="V7" s="1565" t="s">
        <v>8</v>
      </c>
      <c r="W7" s="1566">
        <f t="shared" ref="W7:W14" si="2">J7</f>
        <v>0</v>
      </c>
      <c r="X7" s="1567"/>
      <c r="Y7" s="3375" t="s">
        <v>530</v>
      </c>
      <c r="Z7" s="3376"/>
      <c r="AA7" s="1568" t="e">
        <f>D7/F7</f>
        <v>#DIV/0!</v>
      </c>
      <c r="AB7" s="1568" t="e">
        <f>D7/H7</f>
        <v>#DIV/0!</v>
      </c>
      <c r="AC7" s="1568" t="e">
        <f>D7/J7</f>
        <v>#DIV/0!</v>
      </c>
    </row>
    <row r="8" spans="1:29" s="1216" customFormat="1" ht="15.75" thickBot="1">
      <c r="A8" s="2936"/>
      <c r="B8" s="2943" t="s">
        <v>531</v>
      </c>
      <c r="C8" s="522" t="s">
        <v>576</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375" t="s">
        <v>533</v>
      </c>
      <c r="Q8" s="3376"/>
      <c r="R8" s="1565" t="s">
        <v>8</v>
      </c>
      <c r="S8" s="1566">
        <f t="shared" si="0"/>
        <v>0</v>
      </c>
      <c r="T8" s="1565" t="s">
        <v>8</v>
      </c>
      <c r="U8" s="1566">
        <f t="shared" si="1"/>
        <v>0</v>
      </c>
      <c r="V8" s="1565" t="s">
        <v>8</v>
      </c>
      <c r="W8" s="1566">
        <f t="shared" si="2"/>
        <v>0</v>
      </c>
      <c r="X8" s="1567"/>
      <c r="Y8" s="3375" t="s">
        <v>533</v>
      </c>
      <c r="Z8" s="3376"/>
      <c r="AA8" s="1568" t="e">
        <f t="shared" ref="AA8:AA34" si="3">D8/F8</f>
        <v>#DIV/0!</v>
      </c>
      <c r="AB8" s="1568" t="e">
        <f t="shared" ref="AB8:AB34" si="4">D8/H8</f>
        <v>#DIV/0!</v>
      </c>
      <c r="AC8" s="1568" t="e">
        <f t="shared" ref="AC8:AC34" si="5">D8/J8</f>
        <v>#DIV/0!</v>
      </c>
    </row>
    <row r="9" spans="1:29" s="1216" customFormat="1" ht="15">
      <c r="A9" s="2937"/>
      <c r="B9" s="2944" t="s">
        <v>2764</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83" t="s">
        <v>535</v>
      </c>
      <c r="Q9" s="1147" t="str">
        <f t="shared" ref="Q9:Q14" si="6">B9</f>
        <v>用途</v>
      </c>
      <c r="R9" s="1565" t="s">
        <v>8</v>
      </c>
      <c r="S9" s="1566">
        <f t="shared" si="0"/>
        <v>100</v>
      </c>
      <c r="T9" s="1565" t="s">
        <v>8</v>
      </c>
      <c r="U9" s="1566">
        <f t="shared" si="1"/>
        <v>100</v>
      </c>
      <c r="V9" s="1565" t="s">
        <v>8</v>
      </c>
      <c r="W9" s="1566">
        <f t="shared" si="2"/>
        <v>100</v>
      </c>
      <c r="X9" s="1567"/>
      <c r="Y9" s="3340" t="s">
        <v>536</v>
      </c>
      <c r="Z9" s="1146" t="str">
        <f t="shared" ref="Z9:Z14" si="7">Q9</f>
        <v>用途</v>
      </c>
      <c r="AA9" s="1568">
        <f t="shared" si="3"/>
        <v>1</v>
      </c>
      <c r="AB9" s="1568">
        <f t="shared" si="4"/>
        <v>1</v>
      </c>
      <c r="AC9" s="1568">
        <f t="shared" si="5"/>
        <v>1</v>
      </c>
    </row>
    <row r="10" spans="1:29" s="1334" customFormat="1" ht="27">
      <c r="A10" s="2938"/>
      <c r="B10" s="2943" t="s">
        <v>2765</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83"/>
      <c r="Q11" s="1147">
        <f t="shared" si="6"/>
        <v>111</v>
      </c>
      <c r="R11" s="1565" t="s">
        <v>8</v>
      </c>
      <c r="S11" s="1566">
        <f t="shared" si="0"/>
        <v>100</v>
      </c>
      <c r="T11" s="1565" t="s">
        <v>8</v>
      </c>
      <c r="U11" s="1566">
        <f t="shared" si="1"/>
        <v>100</v>
      </c>
      <c r="V11" s="1565" t="s">
        <v>8</v>
      </c>
      <c r="W11" s="1566">
        <f t="shared" si="2"/>
        <v>100</v>
      </c>
      <c r="X11" s="1567"/>
      <c r="Y11" s="3340"/>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85.5">
      <c r="A14" s="2933" t="s">
        <v>2762</v>
      </c>
      <c r="B14" s="166" t="s">
        <v>543</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385" t="s">
        <v>540</v>
      </c>
      <c r="Q14" s="1569" t="str">
        <f t="shared" si="6"/>
        <v>交通便捷度</v>
      </c>
      <c r="R14" s="1570" t="s">
        <v>8</v>
      </c>
      <c r="S14" s="1571">
        <f t="shared" si="0"/>
        <v>100</v>
      </c>
      <c r="T14" s="1570" t="s">
        <v>8</v>
      </c>
      <c r="U14" s="1571">
        <f t="shared" si="1"/>
        <v>100</v>
      </c>
      <c r="V14" s="1570" t="s">
        <v>8</v>
      </c>
      <c r="W14" s="1571">
        <f t="shared" si="2"/>
        <v>100</v>
      </c>
      <c r="X14" s="1564"/>
      <c r="Y14" s="3385"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386"/>
      <c r="Q15" s="1569"/>
      <c r="R15" s="1570"/>
      <c r="S15" s="1571"/>
      <c r="T15" s="1570"/>
      <c r="U15" s="1571"/>
      <c r="V15" s="1570"/>
      <c r="W15" s="1571"/>
      <c r="X15" s="1564"/>
      <c r="Y15" s="3386"/>
      <c r="Z15" s="1572"/>
      <c r="AA15" s="1573">
        <v>1</v>
      </c>
      <c r="AB15" s="1573">
        <v>1</v>
      </c>
      <c r="AC15" s="1573">
        <v>1</v>
      </c>
    </row>
    <row r="16" spans="1:29" ht="42.75">
      <c r="A16" s="529"/>
      <c r="B16" s="2625" t="s">
        <v>2552</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386"/>
      <c r="Q17" s="1569"/>
      <c r="R17" s="1570"/>
      <c r="S17" s="1571"/>
      <c r="T17" s="1570"/>
      <c r="U17" s="1571"/>
      <c r="V17" s="1570"/>
      <c r="W17" s="1571"/>
      <c r="X17" s="1564"/>
      <c r="Y17" s="3386"/>
      <c r="Z17" s="1572"/>
      <c r="AA17" s="1573">
        <v>1</v>
      </c>
      <c r="AB17" s="1573">
        <v>1</v>
      </c>
      <c r="AC17" s="1573">
        <v>1</v>
      </c>
    </row>
    <row r="18" spans="1:29" ht="28.5">
      <c r="A18" s="529"/>
      <c r="B18" s="2613" t="s">
        <v>2564</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386"/>
      <c r="Q18" s="2601" t="str">
        <f>B18</f>
        <v>基础设施水平</v>
      </c>
      <c r="R18" s="1570" t="s">
        <v>8</v>
      </c>
      <c r="S18" s="1571">
        <f>F18</f>
        <v>100</v>
      </c>
      <c r="T18" s="1570" t="s">
        <v>8</v>
      </c>
      <c r="U18" s="1571">
        <f>H18</f>
        <v>100</v>
      </c>
      <c r="V18" s="1570" t="s">
        <v>8</v>
      </c>
      <c r="W18" s="1571">
        <f>J18</f>
        <v>100</v>
      </c>
      <c r="X18" s="2603"/>
      <c r="Y18" s="338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386"/>
      <c r="Q19" s="2601"/>
      <c r="R19" s="1570"/>
      <c r="S19" s="1571"/>
      <c r="T19" s="1570"/>
      <c r="U19" s="1571"/>
      <c r="V19" s="1570"/>
      <c r="W19" s="1571"/>
      <c r="X19" s="2603"/>
      <c r="Y19" s="3386"/>
      <c r="Z19" s="2602"/>
      <c r="AA19" s="1573">
        <v>1</v>
      </c>
      <c r="AB19" s="1573">
        <v>1</v>
      </c>
      <c r="AC19" s="1573">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386"/>
      <c r="Q21" s="1569"/>
      <c r="R21" s="1570"/>
      <c r="S21" s="1571"/>
      <c r="T21" s="1570"/>
      <c r="U21" s="1571"/>
      <c r="V21" s="1570"/>
      <c r="W21" s="1571"/>
      <c r="X21" s="1564"/>
      <c r="Y21" s="3386"/>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386"/>
      <c r="Q24" s="1569">
        <f t="shared" ref="Q24:Q34"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386"/>
      <c r="Q25" s="1147">
        <f t="shared" si="11"/>
        <v>111</v>
      </c>
      <c r="R25" s="1565" t="s">
        <v>8</v>
      </c>
      <c r="S25" s="1566">
        <f>F25</f>
        <v>100</v>
      </c>
      <c r="T25" s="1565" t="s">
        <v>8</v>
      </c>
      <c r="U25" s="1566">
        <f>H25</f>
        <v>100</v>
      </c>
      <c r="V25" s="1565" t="s">
        <v>8</v>
      </c>
      <c r="W25" s="1566">
        <f>J25</f>
        <v>100</v>
      </c>
      <c r="X25" s="1567"/>
      <c r="Y25" s="3386"/>
      <c r="Z25" s="1146">
        <f>Q25</f>
        <v>111</v>
      </c>
      <c r="AA25" s="1573">
        <f>D25/F25</f>
        <v>1</v>
      </c>
      <c r="AB25" s="1573">
        <f>D25/H25</f>
        <v>1</v>
      </c>
      <c r="AC25" s="1573">
        <f>D25/J25</f>
        <v>1</v>
      </c>
    </row>
    <row r="26" spans="1:29" ht="15">
      <c r="A26" s="2931" t="s">
        <v>2763</v>
      </c>
      <c r="B26" s="172" t="s">
        <v>808</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387"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8" t="s">
        <v>821</v>
      </c>
      <c r="Z26" s="1572" t="str">
        <f t="shared" ref="Z26:Z34" si="15">Q26</f>
        <v>公共部分装修</v>
      </c>
      <c r="AA26" s="1573">
        <f t="shared" si="3"/>
        <v>1</v>
      </c>
      <c r="AB26" s="1573">
        <f t="shared" si="4"/>
        <v>1</v>
      </c>
      <c r="AC26" s="1573">
        <f t="shared" si="5"/>
        <v>1</v>
      </c>
    </row>
    <row r="27" spans="1:29" s="1335" customFormat="1" ht="15">
      <c r="A27" s="600"/>
      <c r="B27" s="524" t="s">
        <v>809</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388"/>
      <c r="Q27" s="1602" t="str">
        <f t="shared" si="11"/>
        <v>成新率</v>
      </c>
      <c r="R27" s="1574" t="s">
        <v>8</v>
      </c>
      <c r="S27" s="1575" t="e">
        <f t="shared" si="12"/>
        <v>#N/A</v>
      </c>
      <c r="T27" s="1574" t="s">
        <v>8</v>
      </c>
      <c r="U27" s="1575" t="e">
        <f t="shared" si="13"/>
        <v>#N/A</v>
      </c>
      <c r="V27" s="1574" t="s">
        <v>8</v>
      </c>
      <c r="W27" s="1575" t="e">
        <f t="shared" si="14"/>
        <v>#N/A</v>
      </c>
      <c r="X27" s="1576"/>
      <c r="Y27" s="3388"/>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388"/>
      <c r="Q28" s="1569" t="str">
        <f t="shared" si="11"/>
        <v>物业等级</v>
      </c>
      <c r="R28" s="1570" t="s">
        <v>8</v>
      </c>
      <c r="S28" s="1571">
        <f t="shared" si="12"/>
        <v>100</v>
      </c>
      <c r="T28" s="1570" t="s">
        <v>8</v>
      </c>
      <c r="U28" s="1571">
        <f t="shared" si="13"/>
        <v>100</v>
      </c>
      <c r="V28" s="1570" t="s">
        <v>8</v>
      </c>
      <c r="W28" s="1571">
        <f t="shared" si="14"/>
        <v>100</v>
      </c>
      <c r="X28" s="1564"/>
      <c r="Y28" s="3388"/>
      <c r="Z28" s="1572" t="str">
        <f t="shared" si="15"/>
        <v>物业等级</v>
      </c>
      <c r="AA28" s="1573">
        <f t="shared" si="3"/>
        <v>1</v>
      </c>
      <c r="AB28" s="1573">
        <f t="shared" si="4"/>
        <v>1</v>
      </c>
      <c r="AC28" s="1573">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388"/>
      <c r="Q29" s="1569" t="str">
        <f t="shared" si="11"/>
        <v>有无电梯</v>
      </c>
      <c r="R29" s="1570" t="s">
        <v>8</v>
      </c>
      <c r="S29" s="1571">
        <f t="shared" si="12"/>
        <v>100</v>
      </c>
      <c r="T29" s="1570" t="s">
        <v>8</v>
      </c>
      <c r="U29" s="1571">
        <f t="shared" si="13"/>
        <v>100</v>
      </c>
      <c r="V29" s="1570" t="s">
        <v>8</v>
      </c>
      <c r="W29" s="1571">
        <f t="shared" si="14"/>
        <v>100</v>
      </c>
      <c r="X29" s="1564"/>
      <c r="Y29" s="3388"/>
      <c r="Z29" s="1572" t="str">
        <f t="shared" si="15"/>
        <v>有无电梯</v>
      </c>
      <c r="AA29" s="1573">
        <f t="shared" si="3"/>
        <v>1</v>
      </c>
      <c r="AB29" s="1573">
        <f t="shared" si="4"/>
        <v>1</v>
      </c>
      <c r="AC29" s="1573">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388"/>
      <c r="Q30" s="1569" t="str">
        <f t="shared" si="11"/>
        <v>建筑面积</v>
      </c>
      <c r="R30" s="1570" t="s">
        <v>8</v>
      </c>
      <c r="S30" s="1571" t="e">
        <f t="shared" si="12"/>
        <v>#N/A</v>
      </c>
      <c r="T30" s="1570" t="s">
        <v>8</v>
      </c>
      <c r="U30" s="1571" t="e">
        <f t="shared" si="13"/>
        <v>#N/A</v>
      </c>
      <c r="V30" s="1570" t="s">
        <v>8</v>
      </c>
      <c r="W30" s="1571" t="e">
        <f t="shared" si="14"/>
        <v>#N/A</v>
      </c>
      <c r="X30" s="1564"/>
      <c r="Y30" s="3388"/>
      <c r="Z30" s="1572" t="str">
        <f t="shared" si="15"/>
        <v>建筑面积</v>
      </c>
      <c r="AA30" s="1573" t="e">
        <f t="shared" si="3"/>
        <v>#N/A</v>
      </c>
      <c r="AB30" s="1573" t="e">
        <f t="shared" si="4"/>
        <v>#N/A</v>
      </c>
      <c r="AC30" s="1573" t="e">
        <f t="shared" si="5"/>
        <v>#N/A</v>
      </c>
    </row>
    <row r="31" spans="1:29" s="1216" customFormat="1" ht="15">
      <c r="A31" s="597"/>
      <c r="B31" s="524" t="s">
        <v>824</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388"/>
      <c r="Q31" s="1147" t="str">
        <f t="shared" si="11"/>
        <v>是否封闭</v>
      </c>
      <c r="R31" s="1565" t="s">
        <v>8</v>
      </c>
      <c r="S31" s="1566">
        <f t="shared" si="12"/>
        <v>100</v>
      </c>
      <c r="T31" s="1565" t="s">
        <v>8</v>
      </c>
      <c r="U31" s="1566">
        <f t="shared" si="13"/>
        <v>100</v>
      </c>
      <c r="V31" s="1565" t="s">
        <v>8</v>
      </c>
      <c r="W31" s="1566">
        <f t="shared" si="14"/>
        <v>100</v>
      </c>
      <c r="X31" s="1567"/>
      <c r="Y31" s="338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388" t="s">
        <v>550</v>
      </c>
      <c r="Q32" s="1569">
        <f t="shared" si="11"/>
        <v>111</v>
      </c>
      <c r="R32" s="1570" t="s">
        <v>8</v>
      </c>
      <c r="S32" s="1571">
        <f t="shared" si="12"/>
        <v>100</v>
      </c>
      <c r="T32" s="1570" t="s">
        <v>8</v>
      </c>
      <c r="U32" s="1571">
        <f t="shared" si="13"/>
        <v>100</v>
      </c>
      <c r="V32" s="1570" t="s">
        <v>8</v>
      </c>
      <c r="W32" s="1571">
        <f t="shared" si="14"/>
        <v>100</v>
      </c>
      <c r="X32" s="1564"/>
      <c r="Y32" s="3388" t="s">
        <v>550</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388"/>
      <c r="Q33" s="1569">
        <f t="shared" si="11"/>
        <v>111</v>
      </c>
      <c r="R33" s="1570" t="s">
        <v>8</v>
      </c>
      <c r="S33" s="1571">
        <f t="shared" si="12"/>
        <v>100</v>
      </c>
      <c r="T33" s="1570" t="s">
        <v>8</v>
      </c>
      <c r="U33" s="1571">
        <f t="shared" si="13"/>
        <v>100</v>
      </c>
      <c r="V33" s="1570" t="s">
        <v>8</v>
      </c>
      <c r="W33" s="1571">
        <f t="shared" si="14"/>
        <v>100</v>
      </c>
      <c r="X33" s="1564"/>
      <c r="Y33" s="338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ht="15">
      <c r="A35" s="604" t="s">
        <v>736</v>
      </c>
      <c r="B35" s="883"/>
      <c r="C35" s="2649" t="s">
        <v>1</v>
      </c>
      <c r="D35" s="2650"/>
      <c r="E35" s="2651"/>
      <c r="F35" s="2652"/>
      <c r="G35" s="2653"/>
      <c r="H35" s="2654"/>
      <c r="I35" s="2651"/>
      <c r="J35" s="2654"/>
      <c r="K35" s="1608"/>
      <c r="L35" s="2142"/>
      <c r="M35" s="2143"/>
      <c r="N35" s="2132"/>
      <c r="O35" s="2143"/>
      <c r="P35" s="3383" t="str">
        <f>A35</f>
        <v>成交单价（元/平方米）</v>
      </c>
      <c r="Q35" s="3383"/>
      <c r="R35" s="3465">
        <f>E35</f>
        <v>0</v>
      </c>
      <c r="S35" s="3465"/>
      <c r="T35" s="3465">
        <f>G35</f>
        <v>0</v>
      </c>
      <c r="U35" s="3465"/>
      <c r="V35" s="3465">
        <f>I35</f>
        <v>0</v>
      </c>
      <c r="W35" s="3465"/>
      <c r="X35" s="1556"/>
      <c r="Y35" s="1578"/>
      <c r="Z35" s="1556"/>
      <c r="AA35" s="1556"/>
      <c r="AB35" s="1556"/>
      <c r="AC35" s="1556"/>
    </row>
    <row r="36" spans="1:29" ht="15.75" thickBot="1">
      <c r="A36" s="612" t="s">
        <v>2768</v>
      </c>
      <c r="B36" s="884"/>
      <c r="C36" s="2655" t="e">
        <f>R37</f>
        <v>#DIV/0!</v>
      </c>
      <c r="D36" s="2656"/>
      <c r="E36" s="2657" t="e">
        <f>R36</f>
        <v>#DIV/0!</v>
      </c>
      <c r="F36" s="2657"/>
      <c r="G36" s="2655" t="e">
        <f>T36</f>
        <v>#DIV/0!</v>
      </c>
      <c r="H36" s="2656"/>
      <c r="I36" s="2657" t="e">
        <f>V36</f>
        <v>#DIV/0!</v>
      </c>
      <c r="J36" s="2656"/>
      <c r="K36" s="1609"/>
      <c r="L36" s="2142"/>
      <c r="M36" s="2143"/>
      <c r="N36" s="2132"/>
      <c r="O36" s="2143"/>
      <c r="P36" s="3383" t="str">
        <f>A36</f>
        <v>比较价格（元/平方米）</v>
      </c>
      <c r="Q36" s="3383"/>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6"/>
      <c r="Y36" s="1556"/>
      <c r="Z36" s="1556"/>
      <c r="AA36" s="1556"/>
      <c r="AB36" s="1556"/>
      <c r="AC36" s="1556"/>
    </row>
    <row r="37" spans="1:29" ht="15.75" thickBot="1">
      <c r="A37" s="618" t="s">
        <v>2945</v>
      </c>
      <c r="B37" s="619"/>
      <c r="C37" s="2658" t="e">
        <f>R37</f>
        <v>#DIV/0!</v>
      </c>
      <c r="D37" s="2658"/>
      <c r="E37" s="2658"/>
      <c r="F37" s="2658"/>
      <c r="G37" s="2658"/>
      <c r="H37" s="2658"/>
      <c r="I37" s="2658"/>
      <c r="J37" s="2658"/>
      <c r="K37" s="1610"/>
      <c r="L37" s="2142"/>
      <c r="M37" s="2143"/>
      <c r="N37" s="2143"/>
      <c r="O37" s="2143"/>
      <c r="P37" s="3405" t="str">
        <f>A37</f>
        <v>估价对象XX用房的比较价格（楼面单价，元/平方米）</v>
      </c>
      <c r="Q37" s="3406"/>
      <c r="R37" s="3464" t="e">
        <f>IF(F1="售价",ROUND(AVERAGE(R36:V36),0),ROUND(AVERAGE(R36:V36),1))</f>
        <v>#DIV/0!</v>
      </c>
      <c r="S37" s="3464"/>
      <c r="T37" s="3464"/>
      <c r="U37" s="3464"/>
      <c r="V37" s="3464"/>
      <c r="W37" s="3464"/>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529</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575</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531</v>
      </c>
      <c r="B49" s="645"/>
      <c r="C49" s="657" t="s">
        <v>576</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577</v>
      </c>
      <c r="B51" s="662" t="s">
        <v>534</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2563</v>
      </c>
      <c r="C63" s="705" t="s">
        <v>579</v>
      </c>
      <c r="D63" s="705" t="s">
        <v>580</v>
      </c>
      <c r="E63" s="705" t="s">
        <v>581</v>
      </c>
      <c r="F63" s="705" t="s">
        <v>582</v>
      </c>
      <c r="G63" s="705" t="s">
        <v>583</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2564</v>
      </c>
      <c r="C65" s="2620" t="s">
        <v>2565</v>
      </c>
      <c r="D65" s="2620" t="s">
        <v>2566</v>
      </c>
      <c r="E65" s="2620" t="s">
        <v>2567</v>
      </c>
      <c r="F65" s="2620" t="s">
        <v>2568</v>
      </c>
      <c r="G65" s="2620" t="s">
        <v>2569</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744</v>
      </c>
      <c r="C67" s="705" t="s">
        <v>579</v>
      </c>
      <c r="D67" s="705" t="s">
        <v>580</v>
      </c>
      <c r="E67" s="705" t="s">
        <v>581</v>
      </c>
      <c r="F67" s="705" t="s">
        <v>582</v>
      </c>
      <c r="G67" s="705" t="s">
        <v>583</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551</v>
      </c>
      <c r="B77" s="662" t="s">
        <v>751</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817</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825</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827</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2306</v>
      </c>
      <c r="C1" s="3497" t="s">
        <v>2307</v>
      </c>
      <c r="D1" s="3498"/>
      <c r="E1" s="3498"/>
      <c r="F1" s="3498"/>
      <c r="G1" s="3498"/>
      <c r="H1" s="3498"/>
      <c r="I1" s="3498"/>
      <c r="J1" s="3498"/>
      <c r="K1" s="3498"/>
      <c r="L1" s="3498"/>
      <c r="M1" s="3498"/>
      <c r="N1" s="3498"/>
      <c r="O1" s="3498"/>
      <c r="P1" s="3498"/>
      <c r="Q1" s="3498"/>
      <c r="R1" s="3498"/>
      <c r="S1" s="3499"/>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2309</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2938</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2937</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2936</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2951</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2310</v>
      </c>
      <c r="B17" s="2276" t="s">
        <v>2311</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828</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829</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830</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2756</v>
      </c>
    </row>
    <row r="8" spans="1:4" ht="18.75">
      <c r="A8" s="1792" t="s">
        <v>1907</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2029</v>
      </c>
    </row>
    <row r="11" spans="1:4" ht="18.75">
      <c r="A11" s="1778" t="str">
        <f>TEXT(项目基本情况!D3,"yyyy年m月d日;;")&amp;IF(项目基本情况!B3=项目基本情况!D3,"（评估专业人员勘察现场之日）","")</f>
        <v>2018年1月4日（评估专业人员勘察现场之日）</v>
      </c>
    </row>
    <row r="12" spans="1:4" ht="18.75">
      <c r="A12" s="1795" t="s">
        <v>2028</v>
      </c>
    </row>
    <row r="13" spans="1:4" ht="18.75">
      <c r="A13" s="1789" t="s">
        <v>2074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2075</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2077</v>
      </c>
    </row>
    <row r="23" spans="1:1" ht="18.75">
      <c r="A23" s="2899" t="s">
        <v>2757</v>
      </c>
    </row>
    <row r="24" spans="1:1" ht="18.75">
      <c r="A24" s="1789" t="s">
        <v>2078</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2796</v>
      </c>
      <c r="C1" s="3027">
        <f>项目基本情况!D3</f>
        <v>43104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2827</v>
      </c>
      <c r="C2" s="3028">
        <f>'数据-取费表'!B22</f>
        <v>2</v>
      </c>
      <c r="D2" s="3023" t="s">
        <v>2797</v>
      </c>
      <c r="E2" s="3026">
        <f ca="1">INDIRECT("I"&amp;$I$1)/100</f>
        <v>4.7500000000000001E-2</v>
      </c>
      <c r="G2" s="2963"/>
      <c r="H2" s="2963"/>
      <c r="I2" s="2963" t="s">
        <v>2798</v>
      </c>
      <c r="K2" s="2963"/>
      <c r="L2" s="2963"/>
      <c r="M2" s="2963"/>
      <c r="N2" s="2963" t="s">
        <v>2799</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2829</v>
      </c>
      <c r="C3" s="3025">
        <f>'数据-取费表'!B19</f>
        <v>0</v>
      </c>
      <c r="D3" s="3023" t="s">
        <v>2797</v>
      </c>
      <c r="E3" s="3026">
        <f ca="1">INDIRECT("J"&amp;$J$1)/100</f>
        <v>0</v>
      </c>
      <c r="G3" s="2965" t="s">
        <v>2800</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2828</v>
      </c>
      <c r="C4" s="3026">
        <f ca="1">N4/100</f>
        <v>1.4999999999999999E-2</v>
      </c>
      <c r="G4" s="2971" t="s">
        <v>2801</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2802</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2803</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2804</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2805</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2806</v>
      </c>
      <c r="C10" s="2990"/>
      <c r="D10" s="2990"/>
      <c r="E10" s="2990"/>
      <c r="F10" s="2990"/>
      <c r="G10" s="2990"/>
      <c r="H10" s="2990"/>
      <c r="I10" s="2964"/>
      <c r="J10" s="2964"/>
      <c r="K10" s="2990"/>
      <c r="L10" s="2991" t="s">
        <v>2807</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2808</v>
      </c>
      <c r="C11" s="2995" t="s">
        <v>2809</v>
      </c>
      <c r="D11" s="2996" t="s">
        <v>2810</v>
      </c>
      <c r="E11" s="2997"/>
      <c r="F11" s="2996" t="s">
        <v>2811</v>
      </c>
      <c r="G11" s="2998"/>
      <c r="H11" s="2997"/>
      <c r="I11" s="2996" t="s">
        <v>2812</v>
      </c>
      <c r="J11" s="2997"/>
      <c r="K11" s="2993"/>
      <c r="L11" s="2994" t="s">
        <v>2808</v>
      </c>
      <c r="M11" s="2995" t="s">
        <v>2809</v>
      </c>
      <c r="N11" s="2994" t="s">
        <v>2813</v>
      </c>
      <c r="O11" s="2996" t="s">
        <v>2814</v>
      </c>
      <c r="P11" s="2998"/>
      <c r="Q11" s="2998"/>
      <c r="R11" s="2998"/>
      <c r="S11" s="2998"/>
      <c r="T11" s="2997"/>
      <c r="U11" s="2996" t="s">
        <v>2815</v>
      </c>
      <c r="V11" s="2998"/>
      <c r="W11" s="2997"/>
      <c r="X11" s="2994" t="s">
        <v>2816</v>
      </c>
      <c r="Y11" s="2994" t="s">
        <v>2817</v>
      </c>
      <c r="Z11" s="2994" t="s">
        <v>2818</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2819</v>
      </c>
      <c r="E12" s="3003" t="s">
        <v>2820</v>
      </c>
      <c r="F12" s="3003" t="s">
        <v>2821</v>
      </c>
      <c r="G12" s="3003" t="s">
        <v>2822</v>
      </c>
      <c r="H12" s="3003" t="s">
        <v>2804</v>
      </c>
      <c r="I12" s="3004" t="s">
        <v>2823</v>
      </c>
      <c r="J12" s="3004" t="s">
        <v>2823</v>
      </c>
      <c r="K12" s="3000"/>
      <c r="L12" s="3001"/>
      <c r="M12" s="3002"/>
      <c r="N12" s="3001"/>
      <c r="O12" s="3004" t="s">
        <v>2824</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2825</v>
      </c>
      <c r="C13" s="3008">
        <v>42301</v>
      </c>
      <c r="D13" s="3009">
        <v>4.3499999999999996</v>
      </c>
      <c r="E13" s="3009">
        <v>4.3499999999999996</v>
      </c>
      <c r="F13" s="3009">
        <v>4.75</v>
      </c>
      <c r="G13" s="3009">
        <v>4.75</v>
      </c>
      <c r="H13" s="3009">
        <v>4.9000000000000004</v>
      </c>
      <c r="I13" s="3009">
        <v>2.75</v>
      </c>
      <c r="J13" s="3009">
        <v>3.25</v>
      </c>
      <c r="K13" s="3006"/>
      <c r="L13" s="3007" t="s">
        <v>2825</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2826</v>
      </c>
      <c r="Y42" s="3013" t="s">
        <v>2826</v>
      </c>
      <c r="Z42" s="3013" t="s">
        <v>2826</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2826</v>
      </c>
      <c r="Y43" s="3013" t="s">
        <v>2826</v>
      </c>
      <c r="Z43" s="3013" t="s">
        <v>2826</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2826</v>
      </c>
      <c r="Y44" s="3013" t="s">
        <v>2826</v>
      </c>
      <c r="Z44" s="3013" t="s">
        <v>2826</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2826</v>
      </c>
      <c r="Y45" s="3013" t="s">
        <v>2826</v>
      </c>
      <c r="Z45" s="3013" t="s">
        <v>2826</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2826</v>
      </c>
      <c r="Y46" s="3013" t="s">
        <v>2826</v>
      </c>
      <c r="Z46" s="3013" t="s">
        <v>2826</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2826</v>
      </c>
      <c r="Y47" s="3013" t="s">
        <v>2826</v>
      </c>
      <c r="Z47" s="3013" t="s">
        <v>2826</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2826</v>
      </c>
      <c r="Y48" s="3013" t="s">
        <v>2826</v>
      </c>
      <c r="Z48" s="3013" t="s">
        <v>2826</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2826</v>
      </c>
      <c r="Y49" s="3013" t="s">
        <v>2826</v>
      </c>
      <c r="Z49" s="3013" t="s">
        <v>2826</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2826</v>
      </c>
      <c r="Y50" s="3013" t="s">
        <v>2826</v>
      </c>
      <c r="Z50" s="3013" t="s">
        <v>2826</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2826</v>
      </c>
      <c r="V51" s="3013" t="s">
        <v>2826</v>
      </c>
      <c r="W51" s="3013" t="s">
        <v>2826</v>
      </c>
      <c r="X51" s="3013" t="s">
        <v>2826</v>
      </c>
      <c r="Y51" s="3013" t="s">
        <v>2826</v>
      </c>
      <c r="Z51" s="3013" t="s">
        <v>2826</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2826</v>
      </c>
      <c r="J55" s="3013" t="s">
        <v>2826</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2041</v>
      </c>
      <c r="B1" s="3207"/>
      <c r="C1" s="3207"/>
      <c r="D1" s="3207"/>
      <c r="E1" s="3207"/>
      <c r="F1" s="3207"/>
      <c r="G1" s="3207"/>
      <c r="H1" s="3207"/>
      <c r="I1" s="3207"/>
      <c r="J1" s="3207"/>
      <c r="K1" s="3207"/>
      <c r="L1" s="3207"/>
      <c r="M1" s="3207"/>
      <c r="N1" s="3207"/>
      <c r="O1" s="3207"/>
      <c r="P1" s="3207"/>
      <c r="Q1" s="3207"/>
      <c r="R1" s="3207"/>
    </row>
    <row r="2" spans="1:18">
      <c r="A2" s="1805" t="s">
        <v>2043</v>
      </c>
      <c r="B2" s="1805"/>
      <c r="C2" s="1805"/>
      <c r="D2" s="1805"/>
      <c r="E2" s="1805"/>
      <c r="F2" s="1805"/>
      <c r="G2" s="1805"/>
      <c r="H2" s="1805"/>
      <c r="I2" s="1806"/>
      <c r="J2" s="1806"/>
      <c r="K2" s="1807" t="str">
        <f>"估价期日："&amp;TEXT(项目基本情况!D3,"yyyy年m月d日;;")</f>
        <v>估价期日：2018年1月4日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8" t="s">
        <v>2032</v>
      </c>
      <c r="B3" s="3208" t="s">
        <v>2739</v>
      </c>
      <c r="C3" s="3209" t="s">
        <v>2033</v>
      </c>
      <c r="D3" s="3208" t="s">
        <v>2743</v>
      </c>
      <c r="E3" s="3203" t="s">
        <v>2034</v>
      </c>
      <c r="F3" s="3203"/>
      <c r="G3" s="3203"/>
      <c r="H3" s="3203" t="s">
        <v>2035</v>
      </c>
      <c r="I3" s="3203"/>
      <c r="J3" s="3203"/>
      <c r="K3" s="3209" t="s">
        <v>2036</v>
      </c>
      <c r="L3" s="3209" t="s">
        <v>2037</v>
      </c>
      <c r="M3" s="3208" t="s">
        <v>2740</v>
      </c>
      <c r="N3" s="3210" t="str">
        <f>"（分摊）"&amp;项目基本情况!B16&amp;"国有建设用地使用权面积/㎡"</f>
        <v>（分摊）出让国有建设用地使用权面积/㎡</v>
      </c>
      <c r="O3" s="3208" t="s">
        <v>2066</v>
      </c>
      <c r="P3" s="3209" t="s">
        <v>2046</v>
      </c>
      <c r="Q3" s="3209" t="s">
        <v>2067</v>
      </c>
      <c r="R3" s="3209" t="s">
        <v>2038</v>
      </c>
    </row>
    <row r="4" spans="1:18" ht="36.75" customHeight="1">
      <c r="A4" s="3208"/>
      <c r="B4" s="3208"/>
      <c r="C4" s="3209"/>
      <c r="D4" s="3208"/>
      <c r="E4" s="2672" t="s">
        <v>2045</v>
      </c>
      <c r="F4" s="2672" t="s">
        <v>2752</v>
      </c>
      <c r="G4" s="2672" t="s">
        <v>2039</v>
      </c>
      <c r="H4" s="2672" t="s">
        <v>2040</v>
      </c>
      <c r="I4" s="2672" t="s">
        <v>2753</v>
      </c>
      <c r="J4" s="2672" t="s">
        <v>2039</v>
      </c>
      <c r="K4" s="3209"/>
      <c r="L4" s="3209"/>
      <c r="M4" s="3208"/>
      <c r="N4" s="3210"/>
      <c r="O4" s="3208"/>
      <c r="P4" s="3209"/>
      <c r="Q4" s="3209"/>
      <c r="R4" s="3209"/>
    </row>
    <row r="5" spans="1:18" ht="135" customHeight="1">
      <c r="A5" s="1941" t="s">
        <v>2663</v>
      </c>
      <c r="B5" s="2891" t="s">
        <v>2661</v>
      </c>
      <c r="C5" s="2671">
        <v>22</v>
      </c>
      <c r="D5" s="2670" t="s">
        <v>2662</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73638</v>
      </c>
      <c r="Q5" s="1808">
        <f ca="1">结果表!D42</f>
        <v>20175</v>
      </c>
      <c r="R5" s="1809">
        <f ca="1">结果表!C42</f>
        <v>275243</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0"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0"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0" t="str">
        <f>结果表!O41</f>
        <v>——</v>
      </c>
    </row>
    <row r="9" spans="1:18">
      <c r="A9" s="1811" t="s">
        <v>2044</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2031</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1" t="s">
        <v>2068</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2069</v>
      </c>
      <c r="B5" s="3214"/>
      <c r="C5" s="3214"/>
      <c r="D5" s="3214"/>
    </row>
    <row r="6" spans="1:4">
      <c r="A6" s="3211" t="s">
        <v>2047</v>
      </c>
      <c r="B6" s="3211"/>
      <c r="C6" s="3211"/>
      <c r="D6" s="3211"/>
    </row>
    <row r="7" spans="1:4" ht="33" customHeight="1">
      <c r="A7" s="3211" t="s">
        <v>2581</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2071</v>
      </c>
      <c r="B12" s="3214"/>
      <c r="C12" s="3214"/>
      <c r="D12" s="3214"/>
    </row>
    <row r="13" spans="1:4">
      <c r="A13" s="3212" t="s">
        <v>2754</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2710</v>
      </c>
      <c r="B17" s="3211"/>
      <c r="C17" s="3211"/>
      <c r="D17" s="3211"/>
    </row>
    <row r="18" spans="1:4">
      <c r="A18" s="3211" t="s">
        <v>2702</v>
      </c>
      <c r="B18" s="3211"/>
      <c r="C18" s="3211"/>
      <c r="D18" s="3211"/>
    </row>
    <row r="19" spans="1:4">
      <c r="A19" s="2892" t="s">
        <v>2703</v>
      </c>
      <c r="B19" s="2892" t="s">
        <v>2704</v>
      </c>
      <c r="C19" s="2892" t="s">
        <v>2705</v>
      </c>
      <c r="D19" s="2892" t="s">
        <v>2706</v>
      </c>
    </row>
    <row r="20" spans="1:4">
      <c r="A20" s="2892" t="str">
        <f>项目基本情况!B4</f>
        <v>土地估价师</v>
      </c>
      <c r="B20" s="2892">
        <f>项目基本情况!C4</f>
        <v>0</v>
      </c>
      <c r="C20" s="2894"/>
      <c r="D20" s="1798" t="s">
        <v>2711</v>
      </c>
    </row>
    <row r="21" spans="1:4">
      <c r="A21" s="2892" t="str">
        <f>项目基本情况!D4</f>
        <v>土地估价师</v>
      </c>
      <c r="B21" s="2892">
        <f>项目基本情况!E4</f>
        <v>0</v>
      </c>
      <c r="C21" s="2894"/>
      <c r="D21" s="1798" t="s">
        <v>2712</v>
      </c>
    </row>
    <row r="23" spans="1:4">
      <c r="A23" s="3211" t="s">
        <v>2707</v>
      </c>
      <c r="B23" s="3211"/>
      <c r="C23" s="3211"/>
      <c r="D23" s="3211"/>
    </row>
    <row r="24" spans="1:4">
      <c r="A24" s="2892" t="s">
        <v>2703</v>
      </c>
      <c r="B24" s="2892" t="s">
        <v>2708</v>
      </c>
      <c r="C24" s="2892" t="s">
        <v>2705</v>
      </c>
      <c r="D24" s="2892" t="s">
        <v>2706</v>
      </c>
    </row>
    <row r="25" spans="1:4">
      <c r="A25" s="2895" t="s">
        <v>2709</v>
      </c>
      <c r="B25" s="2892" t="s">
        <v>952</v>
      </c>
      <c r="C25" s="2894"/>
      <c r="D25" s="1798" t="s">
        <v>2712</v>
      </c>
    </row>
    <row r="29" spans="1:4">
      <c r="D29" s="2893" t="s">
        <v>2042</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3" t="s">
        <v>53</v>
      </c>
      <c r="B15" s="3224" t="s">
        <v>846</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837</v>
      </c>
    </row>
    <row r="25" spans="1:3" ht="14.25">
      <c r="A25" s="3222"/>
      <c r="B25" s="3226"/>
      <c r="C25" s="1172" t="s">
        <v>838</v>
      </c>
    </row>
    <row r="26" spans="1:3" ht="14.25">
      <c r="A26" s="3222"/>
      <c r="B26" s="3226"/>
      <c r="C26" s="1172" t="s">
        <v>839</v>
      </c>
    </row>
    <row r="27" spans="1:3" ht="14.25">
      <c r="A27" s="3222"/>
      <c r="B27" s="3226"/>
      <c r="C27" s="1172" t="s">
        <v>840</v>
      </c>
    </row>
    <row r="28" spans="1:3" ht="14.25">
      <c r="A28" s="3222"/>
      <c r="B28" s="3226"/>
      <c r="C28" s="1172" t="s">
        <v>841</v>
      </c>
    </row>
    <row r="29" spans="1:3" ht="14.25">
      <c r="A29" s="3222"/>
      <c r="B29" s="3226"/>
      <c r="C29" s="1172" t="s">
        <v>842</v>
      </c>
    </row>
    <row r="30" spans="1:3" ht="14.25">
      <c r="A30" s="3222"/>
      <c r="B30" s="3226"/>
      <c r="C30" s="1172" t="s">
        <v>843</v>
      </c>
    </row>
    <row r="31" spans="1:3" ht="14.25">
      <c r="A31" s="3222"/>
      <c r="B31" s="3226"/>
      <c r="C31" s="1172" t="s">
        <v>844</v>
      </c>
    </row>
    <row r="32" spans="1:3" ht="14.25">
      <c r="A32" s="3222"/>
      <c r="B32" s="3226"/>
      <c r="C32" s="1172" t="s">
        <v>1647</v>
      </c>
    </row>
    <row r="33" spans="1:3" ht="14.25">
      <c r="A33" s="3222"/>
      <c r="B33" s="3216" t="s">
        <v>1653</v>
      </c>
      <c r="C33" s="1172" t="s">
        <v>1648</v>
      </c>
    </row>
    <row r="34" spans="1:3" ht="14.25">
      <c r="A34" s="3222"/>
      <c r="B34" s="3217"/>
      <c r="C34" s="1177" t="s">
        <v>1649</v>
      </c>
    </row>
    <row r="35" spans="1:3" ht="14.25">
      <c r="A35" s="3222"/>
      <c r="B35" s="3217"/>
      <c r="C35" s="1178" t="s">
        <v>1650</v>
      </c>
    </row>
    <row r="36" spans="1:3" ht="14.25">
      <c r="A36" s="3222"/>
      <c r="B36" s="3217"/>
      <c r="C36" s="1178" t="s">
        <v>1651</v>
      </c>
    </row>
    <row r="37" spans="1:3" ht="14.25">
      <c r="A37" s="3222"/>
      <c r="B37" s="3218"/>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43112</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9">
        <v>43849</v>
      </c>
      <c r="D4" s="2341" t="s">
        <v>1915</v>
      </c>
      <c r="E4" s="2341">
        <f ca="1">IF(F4&lt;B2,"已过期",96010014)</f>
        <v>96010014</v>
      </c>
      <c r="F4" s="3030">
        <v>47118</v>
      </c>
    </row>
    <row r="5" spans="1:6" ht="20.25" customHeight="1">
      <c r="A5" s="2341" t="s">
        <v>1916</v>
      </c>
      <c r="B5" s="2341">
        <f ca="1">IF(C5&lt;B2,"已过期",1119970074)</f>
        <v>1119970074</v>
      </c>
      <c r="C5" s="3029">
        <v>43849</v>
      </c>
      <c r="D5" s="2341" t="s">
        <v>1916</v>
      </c>
      <c r="E5" s="2341">
        <f ca="1">IF(F5&lt;B2,"已过期",2002110027)</f>
        <v>2002110027</v>
      </c>
      <c r="F5" s="3030">
        <v>46752</v>
      </c>
    </row>
    <row r="6" spans="1:6" ht="20.25" customHeight="1">
      <c r="A6" s="2341" t="s">
        <v>1917</v>
      </c>
      <c r="B6" s="2341">
        <f ca="1">IF(C6&lt;B2,"已过期",1119970111)</f>
        <v>1119970111</v>
      </c>
      <c r="C6" s="3029">
        <v>43849</v>
      </c>
      <c r="D6" s="2341" t="s">
        <v>1917</v>
      </c>
      <c r="E6" s="2341">
        <f ca="1">IF(F6&lt;B2,"已过期",94010078)</f>
        <v>94010078</v>
      </c>
      <c r="F6" s="3030">
        <v>46387</v>
      </c>
    </row>
    <row r="7" spans="1:6" ht="20.25" customHeight="1">
      <c r="A7" s="2341" t="s">
        <v>1918</v>
      </c>
      <c r="B7" s="2341">
        <f ca="1">IF(C7&lt;B2,"已过期",1120050019)</f>
        <v>1120050019</v>
      </c>
      <c r="C7" s="3029">
        <v>43359</v>
      </c>
      <c r="D7" s="2341" t="s">
        <v>1918</v>
      </c>
      <c r="E7" s="2341">
        <f ca="1">IF(F7&lt;B2,"已过期",2002110030)</f>
        <v>2002110030</v>
      </c>
      <c r="F7" s="3030">
        <v>46387</v>
      </c>
    </row>
    <row r="8" spans="1:6" ht="20.25" customHeight="1">
      <c r="A8" s="2341" t="s">
        <v>1919</v>
      </c>
      <c r="B8" s="2341">
        <f ca="1">IF(C8&lt;B2,"已过期",1120000080)</f>
        <v>1120000080</v>
      </c>
      <c r="C8" s="3029">
        <v>43849</v>
      </c>
      <c r="D8" s="2341" t="s">
        <v>1919</v>
      </c>
      <c r="E8" s="2341">
        <f ca="1">IF(F8&lt;B2,"已过期",2000110082)</f>
        <v>2000110082</v>
      </c>
      <c r="F8" s="3030">
        <v>46387</v>
      </c>
    </row>
    <row r="9" spans="1:6" ht="20.25" customHeight="1">
      <c r="A9" s="2341" t="s">
        <v>1920</v>
      </c>
      <c r="B9" s="2341">
        <f ca="1">IF(C9&lt;B2,"已过期",1419970001)</f>
        <v>1419970001</v>
      </c>
      <c r="C9" s="3029">
        <v>43867</v>
      </c>
      <c r="D9" s="2341" t="s">
        <v>1920</v>
      </c>
      <c r="E9" s="2341">
        <f ca="1">IF(F9&lt;B2,"已过期",2002110125)</f>
        <v>2002110125</v>
      </c>
      <c r="F9" s="3030">
        <v>47118</v>
      </c>
    </row>
    <row r="10" spans="1:6" ht="20.25" customHeight="1">
      <c r="A10" s="2341" t="s">
        <v>1921</v>
      </c>
      <c r="B10" s="2341">
        <f ca="1">IF(C10&lt;B2,"已过期",1120060040)</f>
        <v>1120060040</v>
      </c>
      <c r="C10" s="3029">
        <v>43483</v>
      </c>
      <c r="D10" s="2341" t="s">
        <v>1921</v>
      </c>
      <c r="E10" s="2341">
        <f ca="1">IF(F10&lt;B2,"已过期",2004110096)</f>
        <v>2004110096</v>
      </c>
      <c r="F10" s="3030">
        <v>47118</v>
      </c>
    </row>
    <row r="11" spans="1:6" ht="20.25" customHeight="1">
      <c r="A11" s="2341" t="s">
        <v>1922</v>
      </c>
      <c r="B11" s="2341">
        <f ca="1">IF(C11&lt;B2,"已过期",1120100036)</f>
        <v>1120100036</v>
      </c>
      <c r="C11" s="3029">
        <v>43622</v>
      </c>
      <c r="D11" s="2341" t="s">
        <v>1922</v>
      </c>
      <c r="E11" s="2341">
        <f ca="1">IF(F11&lt;B2,"已过期",2010110070)</f>
        <v>2010110070</v>
      </c>
      <c r="F11" s="3030">
        <v>47907</v>
      </c>
    </row>
    <row r="12" spans="1:6" ht="20.25" customHeight="1">
      <c r="A12" s="2341"/>
      <c r="B12" s="2341"/>
      <c r="C12" s="3029"/>
      <c r="D12" s="2341"/>
      <c r="E12" s="2341"/>
      <c r="F12" s="2341"/>
    </row>
    <row r="13" spans="1:6" ht="20.25" customHeight="1">
      <c r="A13" s="2341" t="s">
        <v>1923</v>
      </c>
      <c r="B13" s="2341">
        <f ca="1">IF(C13&lt;B2,"已过期",1120070131)</f>
        <v>1120070131</v>
      </c>
      <c r="C13" s="3029">
        <v>43814</v>
      </c>
      <c r="D13" s="2341" t="s">
        <v>1923</v>
      </c>
      <c r="E13" s="2341">
        <v>2014110011</v>
      </c>
      <c r="F13" s="3030">
        <v>49302</v>
      </c>
    </row>
    <row r="14" spans="1:6" ht="20.25" customHeight="1">
      <c r="A14" s="2341" t="s">
        <v>1924</v>
      </c>
      <c r="B14" s="2341">
        <f ca="1">IF(C14&lt;B2,"已过期",1120130020)</f>
        <v>1120130020</v>
      </c>
      <c r="C14" s="3029">
        <v>43622</v>
      </c>
      <c r="D14" s="2341"/>
      <c r="E14" s="2341"/>
      <c r="F14" s="2341"/>
    </row>
    <row r="15" spans="1:6" ht="20.25" customHeight="1">
      <c r="A15" s="2341" t="s">
        <v>2580</v>
      </c>
      <c r="B15" s="2341">
        <v>1120070085</v>
      </c>
      <c r="C15" s="3029">
        <v>43814</v>
      </c>
      <c r="D15" s="2341" t="s">
        <v>2580</v>
      </c>
      <c r="E15" s="2341">
        <v>2004110128</v>
      </c>
      <c r="F15" s="3030">
        <v>47118</v>
      </c>
    </row>
    <row r="16" spans="1:6" ht="20.25" customHeight="1">
      <c r="A16" s="2341" t="s">
        <v>1925</v>
      </c>
      <c r="B16" s="2341">
        <f ca="1">IF(C16&lt;B2,"已过期",1120140022)</f>
        <v>1120140022</v>
      </c>
      <c r="C16" s="3029">
        <v>44029</v>
      </c>
      <c r="D16" s="2341" t="s">
        <v>1925</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1926</v>
      </c>
      <c r="E21" s="2341">
        <f ca="1">IF(F21&lt;B2,"已过期",2011110090)</f>
        <v>2011110090</v>
      </c>
      <c r="F21" s="3030">
        <v>48302</v>
      </c>
    </row>
    <row r="22" spans="1:7" ht="20.25" customHeight="1">
      <c r="A22" s="2341" t="s">
        <v>1927</v>
      </c>
      <c r="B22" s="2341">
        <f ca="1">IF(C22&lt;B2,"已过期",1120020033)</f>
        <v>1120020033</v>
      </c>
      <c r="C22" s="3029">
        <v>43304</v>
      </c>
      <c r="D22" s="2341" t="s">
        <v>1927</v>
      </c>
      <c r="E22" s="2341">
        <f ca="1">IF(F22&lt;B2,"已过期",2000110137)</f>
        <v>2000110137</v>
      </c>
      <c r="F22" s="3030">
        <v>46387</v>
      </c>
    </row>
    <row r="23" spans="1:7" ht="20.25" customHeight="1">
      <c r="A23" s="2341" t="s">
        <v>1928</v>
      </c>
      <c r="B23" s="2341">
        <f ca="1">IF(C23&lt;B2,"已过期",1120130048)</f>
        <v>1120130048</v>
      </c>
      <c r="C23" s="3029">
        <v>43686</v>
      </c>
      <c r="D23" s="2341"/>
      <c r="E23" s="2341"/>
      <c r="F23" s="2341"/>
    </row>
    <row r="24" spans="1:7" s="2345" customFormat="1" ht="20.25" customHeight="1">
      <c r="A24" s="2343" t="s">
        <v>2056</v>
      </c>
      <c r="B24" s="2343" t="s">
        <v>2056</v>
      </c>
      <c r="C24" s="3029"/>
      <c r="D24" s="3031" t="s">
        <v>2056</v>
      </c>
      <c r="E24" s="2343" t="s">
        <v>2056</v>
      </c>
      <c r="F24" s="2344"/>
    </row>
    <row r="25" spans="1:7" ht="20.25" customHeight="1">
      <c r="A25" s="3227" t="s">
        <v>1929</v>
      </c>
      <c r="B25" s="3227"/>
      <c r="C25" s="3227"/>
      <c r="D25" s="3227"/>
      <c r="E25" s="3227"/>
      <c r="F25" s="3227"/>
      <c r="G25" s="3227"/>
    </row>
    <row r="26" spans="1:7" ht="20.25" customHeight="1">
      <c r="A26" s="3228" t="s">
        <v>1930</v>
      </c>
      <c r="B26" s="3228"/>
      <c r="C26" s="3228"/>
      <c r="D26" s="3228" t="s">
        <v>1931</v>
      </c>
      <c r="E26" s="3228"/>
      <c r="F26" s="3228"/>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2955</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3" sqref="Z1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2551</v>
      </c>
      <c r="R1" s="2604" t="s">
        <v>2545</v>
      </c>
      <c r="S1" s="6" t="s">
        <v>146</v>
      </c>
      <c r="T1" s="7" t="s">
        <v>147</v>
      </c>
      <c r="U1" s="6" t="s">
        <v>148</v>
      </c>
      <c r="V1" s="6" t="s">
        <v>149</v>
      </c>
      <c r="W1" s="1000"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2546</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2547</v>
      </c>
      <c r="S3" s="9" t="s">
        <v>84</v>
      </c>
      <c r="T3" s="9" t="s">
        <v>85</v>
      </c>
      <c r="U3" s="9" t="s">
        <v>84</v>
      </c>
      <c r="V3" s="9" t="s">
        <v>86</v>
      </c>
      <c r="W3" s="9" t="s">
        <v>876</v>
      </c>
    </row>
    <row r="4" spans="1:23">
      <c r="A4" s="8" t="s">
        <v>87</v>
      </c>
      <c r="B4" s="3140" t="s">
        <v>3067</v>
      </c>
      <c r="C4" s="1548" t="s">
        <v>1712</v>
      </c>
      <c r="D4" s="9" t="s">
        <v>1997</v>
      </c>
      <c r="E4" s="9" t="s">
        <v>88</v>
      </c>
      <c r="F4" s="9" t="s">
        <v>89</v>
      </c>
      <c r="G4" s="9">
        <v>70</v>
      </c>
      <c r="H4" s="9" t="s">
        <v>90</v>
      </c>
      <c r="I4" s="9" t="s">
        <v>91</v>
      </c>
      <c r="K4" s="9" t="s">
        <v>92</v>
      </c>
      <c r="L4" s="9" t="s">
        <v>92</v>
      </c>
      <c r="M4" s="9" t="s">
        <v>92</v>
      </c>
      <c r="N4" s="9" t="s">
        <v>92</v>
      </c>
      <c r="O4" s="9" t="s">
        <v>92</v>
      </c>
      <c r="P4" s="1002" t="s">
        <v>760</v>
      </c>
      <c r="Q4" s="9" t="s">
        <v>92</v>
      </c>
      <c r="R4" s="1002" t="s">
        <v>2548</v>
      </c>
      <c r="S4" s="9" t="s">
        <v>92</v>
      </c>
      <c r="T4" s="9" t="s">
        <v>93</v>
      </c>
      <c r="U4" s="9" t="s">
        <v>92</v>
      </c>
      <c r="W4" s="9" t="s">
        <v>877</v>
      </c>
    </row>
    <row r="5" spans="1:23">
      <c r="A5" s="8" t="s">
        <v>94</v>
      </c>
      <c r="B5" s="8" t="s">
        <v>152</v>
      </c>
      <c r="C5" s="1548" t="s">
        <v>1713</v>
      </c>
      <c r="F5" s="9" t="s">
        <v>95</v>
      </c>
      <c r="H5" s="9" t="s">
        <v>70</v>
      </c>
      <c r="I5" s="9" t="s">
        <v>96</v>
      </c>
      <c r="K5" s="9" t="s">
        <v>97</v>
      </c>
      <c r="L5" s="9" t="s">
        <v>97</v>
      </c>
      <c r="M5" s="9" t="s">
        <v>97</v>
      </c>
      <c r="N5" s="9" t="s">
        <v>97</v>
      </c>
      <c r="O5" s="9" t="s">
        <v>97</v>
      </c>
      <c r="P5" s="1002" t="s">
        <v>546</v>
      </c>
      <c r="Q5" s="9" t="s">
        <v>97</v>
      </c>
      <c r="R5" s="1002" t="s">
        <v>2549</v>
      </c>
      <c r="S5" s="9" t="s">
        <v>97</v>
      </c>
      <c r="T5" s="9" t="s">
        <v>98</v>
      </c>
      <c r="U5" s="9" t="s">
        <v>97</v>
      </c>
      <c r="W5" s="9" t="s">
        <v>878</v>
      </c>
    </row>
    <row r="6" spans="1:23">
      <c r="A6" s="8" t="s">
        <v>99</v>
      </c>
      <c r="B6" s="1145" t="s">
        <v>1641</v>
      </c>
      <c r="C6" s="1550" t="s">
        <v>1714</v>
      </c>
      <c r="F6" s="9" t="s">
        <v>71</v>
      </c>
      <c r="H6" s="9" t="s">
        <v>72</v>
      </c>
      <c r="I6" s="9" t="s">
        <v>100</v>
      </c>
      <c r="K6" s="9" t="s">
        <v>101</v>
      </c>
      <c r="L6" s="9" t="s">
        <v>101</v>
      </c>
      <c r="M6" s="9" t="s">
        <v>101</v>
      </c>
      <c r="N6" s="9" t="s">
        <v>101</v>
      </c>
      <c r="O6" s="9" t="s">
        <v>101</v>
      </c>
      <c r="P6" s="1002" t="s">
        <v>881</v>
      </c>
      <c r="Q6" s="9" t="s">
        <v>101</v>
      </c>
      <c r="R6" s="1002" t="s">
        <v>2550</v>
      </c>
      <c r="S6" s="9" t="s">
        <v>101</v>
      </c>
      <c r="T6" s="9"/>
      <c r="U6" s="9" t="s">
        <v>101</v>
      </c>
      <c r="W6" s="9" t="s">
        <v>879</v>
      </c>
    </row>
    <row r="7" spans="1:23">
      <c r="A7" s="8" t="s">
        <v>102</v>
      </c>
      <c r="B7" s="8" t="s">
        <v>103</v>
      </c>
      <c r="C7" s="1548" t="s">
        <v>1715</v>
      </c>
      <c r="F7" s="9" t="s">
        <v>153</v>
      </c>
      <c r="H7" s="9" t="s">
        <v>104</v>
      </c>
      <c r="I7" s="9" t="s">
        <v>105</v>
      </c>
    </row>
    <row r="8" spans="1:23">
      <c r="A8" s="8" t="s">
        <v>106</v>
      </c>
      <c r="B8" s="8" t="s">
        <v>107</v>
      </c>
      <c r="C8" s="1548" t="s">
        <v>1716</v>
      </c>
      <c r="F8" s="9" t="s">
        <v>154</v>
      </c>
      <c r="H8" s="9"/>
      <c r="I8" s="9" t="s">
        <v>108</v>
      </c>
    </row>
    <row r="9" spans="1:23">
      <c r="A9" s="8" t="s">
        <v>109</v>
      </c>
      <c r="B9" s="8" t="s">
        <v>155</v>
      </c>
      <c r="C9" s="1548" t="s">
        <v>1717</v>
      </c>
      <c r="F9" s="9" t="s">
        <v>110</v>
      </c>
      <c r="H9" s="9"/>
    </row>
    <row r="10" spans="1:23">
      <c r="A10" s="8" t="s">
        <v>111</v>
      </c>
      <c r="B10" s="8" t="s">
        <v>156</v>
      </c>
      <c r="C10" s="1548" t="s">
        <v>1718</v>
      </c>
      <c r="F10" s="9" t="s">
        <v>6</v>
      </c>
    </row>
    <row r="11" spans="1:23">
      <c r="A11" s="8" t="s">
        <v>112</v>
      </c>
      <c r="B11" s="8" t="s">
        <v>157</v>
      </c>
      <c r="C11" s="1548" t="s">
        <v>1719</v>
      </c>
    </row>
    <row r="12" spans="1:23">
      <c r="A12" s="8" t="s">
        <v>113</v>
      </c>
      <c r="B12" s="8" t="s">
        <v>158</v>
      </c>
      <c r="C12" s="1548" t="s">
        <v>1720</v>
      </c>
    </row>
    <row r="13" spans="1:23">
      <c r="A13" s="8" t="s">
        <v>114</v>
      </c>
      <c r="B13" s="8" t="s">
        <v>159</v>
      </c>
      <c r="C13" s="1548" t="s">
        <v>1721</v>
      </c>
    </row>
    <row r="14" spans="1:23">
      <c r="A14" s="8" t="s">
        <v>115</v>
      </c>
      <c r="B14" s="8" t="s">
        <v>160</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40" t="s">
        <v>2968</v>
      </c>
      <c r="C18" s="1551"/>
    </row>
    <row r="19" spans="1:3">
      <c r="A19" s="8" t="s">
        <v>120</v>
      </c>
      <c r="B19" s="3140" t="s">
        <v>2976</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1989</v>
      </c>
      <c r="B52" s="1766" t="s">
        <v>1990</v>
      </c>
      <c r="C52" s="1764" t="s">
        <v>1991</v>
      </c>
      <c r="D52" s="1764" t="s">
        <v>1992</v>
      </c>
      <c r="E52" s="1765"/>
    </row>
    <row r="53" spans="1:5">
      <c r="A53" s="3229" t="s">
        <v>1993</v>
      </c>
      <c r="B53" s="1764" t="s">
        <v>1999</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c r="D53" s="1765"/>
      <c r="E53" s="1765"/>
    </row>
    <row r="54" spans="1:5">
      <c r="A54" s="3229"/>
      <c r="B54" s="1764" t="s">
        <v>2000</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1994</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1995</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1996</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2052</v>
      </c>
      <c r="B58" s="1764" t="s">
        <v>2053</v>
      </c>
      <c r="C58" s="11" t="s">
        <v>2054</v>
      </c>
      <c r="D58" s="1315"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市场比较法</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2018-01-12T09:27:36Z</dcterms:modified>
</cp:coreProperties>
</file>