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8"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6" i="80" l="1"/>
  <c r="C56" i="80"/>
  <c r="C55" i="80"/>
  <c r="C54" i="80"/>
  <c r="B14" i="74" l="1"/>
  <c r="A25" i="31"/>
  <c r="A26" i="31"/>
  <c r="A24" i="31"/>
  <c r="B25" i="31"/>
  <c r="B26" i="31"/>
  <c r="B24" i="31"/>
  <c r="U6" i="1"/>
  <c r="F21" i="6"/>
  <c r="F20" i="6"/>
  <c r="F19" i="6"/>
  <c r="C36" i="33"/>
  <c r="I7" i="33"/>
  <c r="G7" i="33"/>
  <c r="E7" i="33"/>
  <c r="AA22" i="1"/>
  <c r="AA20" i="1"/>
  <c r="AA21" i="1"/>
  <c r="AA19" i="1"/>
  <c r="Z21" i="1"/>
  <c r="Z20" i="1"/>
  <c r="Z19" i="1"/>
  <c r="Y19" i="1"/>
  <c r="X21" i="1"/>
  <c r="Y21" i="1" s="1"/>
  <c r="X20" i="1"/>
  <c r="Y20" i="1" s="1"/>
  <c r="V20" i="1"/>
  <c r="V21" i="1"/>
  <c r="V19" i="1"/>
  <c r="Y6" i="1"/>
  <c r="N6" i="1"/>
  <c r="U4" i="43"/>
  <c r="U3" i="43"/>
  <c r="U2" i="43"/>
  <c r="Y22"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7"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M29" i="15"/>
  <c r="F8" i="15"/>
  <c r="F26" i="67"/>
  <c r="F38" i="15"/>
  <c r="M26" i="15"/>
  <c r="E12" i="76"/>
  <c r="J15" i="15"/>
  <c r="F16" i="67"/>
  <c r="F13" i="15"/>
  <c r="D7" i="73"/>
  <c r="F43" i="67"/>
  <c r="E11" i="76"/>
  <c r="D5" i="73"/>
  <c r="F20" i="31"/>
  <c r="E8" i="76"/>
  <c r="E9" i="76"/>
  <c r="M22" i="67"/>
  <c r="D4" i="73"/>
  <c r="M28" i="15"/>
  <c r="F5" i="73"/>
  <c r="F37" i="67"/>
  <c r="F38" i="67"/>
  <c r="B11" i="76"/>
  <c r="B7" i="76"/>
  <c r="F42" i="67"/>
  <c r="F37" i="15"/>
  <c r="AO13" i="1"/>
  <c r="M24" i="67"/>
  <c r="F43" i="15"/>
  <c r="F42" i="15"/>
  <c r="F7" i="15"/>
  <c r="M22" i="15"/>
  <c r="M23" i="67"/>
  <c r="M26" i="67"/>
  <c r="M24" i="15"/>
  <c r="F40" i="67"/>
  <c r="D3" i="73"/>
  <c r="B8" i="76"/>
  <c r="E13" i="76"/>
  <c r="B13" i="76"/>
  <c r="D35" i="9"/>
  <c r="M6" i="15"/>
  <c r="E7" i="76"/>
  <c r="F6" i="15"/>
  <c r="F26" i="15"/>
  <c r="M8" i="67"/>
  <c r="J15" i="67"/>
  <c r="F6" i="73"/>
  <c r="L48" i="15"/>
  <c r="M9" i="67"/>
  <c r="D6" i="73"/>
  <c r="F9" i="15"/>
  <c r="M8" i="15"/>
  <c r="M28" i="67"/>
  <c r="B9" i="76"/>
  <c r="F6" i="67"/>
  <c r="D34" i="9"/>
  <c r="F40" i="15"/>
  <c r="M23" i="15"/>
  <c r="B10" i="76"/>
  <c r="M9" i="15"/>
  <c r="F36" i="67"/>
  <c r="B12" i="76"/>
  <c r="C76" i="15"/>
  <c r="F8" i="67"/>
  <c r="M29" i="67"/>
  <c r="F16" i="15"/>
  <c r="F36" i="15"/>
  <c r="E2" i="68"/>
  <c r="L47" i="67"/>
  <c r="F13" i="67"/>
  <c r="F9" i="67"/>
  <c r="F4" i="73"/>
  <c r="L48" i="67"/>
  <c r="E2" i="69"/>
  <c r="L47" i="15"/>
  <c r="C76" i="67"/>
  <c r="E10" i="76"/>
  <c r="F7" i="67"/>
  <c r="F3" i="73"/>
  <c r="M6" i="67"/>
  <c r="AC28" i="33" l="1"/>
  <c r="AB28" i="33"/>
  <c r="C21" i="68"/>
  <c r="C40" i="69"/>
  <c r="BL5" i="3"/>
  <c r="F29" i="6"/>
  <c r="G28" i="6"/>
  <c r="E28" i="6" s="1"/>
  <c r="K14" i="1" s="1"/>
  <c r="BA5" i="3"/>
  <c r="A118"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K16" i="1" l="1"/>
  <c r="Z22" i="1" s="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V2" i="4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R7" i="1" l="1"/>
  <c r="C8" i="69"/>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8" i="68" l="1"/>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4"/>
  <c r="D2" i="36"/>
  <c r="D2" i="35"/>
  <c r="L51" i="15"/>
  <c r="D2" i="37"/>
  <c r="D21" i="9" l="1"/>
  <c r="D102" i="9"/>
  <c r="B3" i="33"/>
  <c r="C102" i="9"/>
  <c r="D22" i="9"/>
  <c r="G19" i="9"/>
  <c r="G21" i="9" s="1"/>
  <c r="C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C20" i="9"/>
  <c r="AO9" i="1"/>
  <c r="AO8" i="1"/>
  <c r="D20" i="9"/>
  <c r="AO7" i="1"/>
  <c r="AO6" i="1"/>
  <c r="AO10" i="1"/>
  <c r="AO12"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5" i="31"/>
  <c r="S25" i="31" s="1"/>
  <c r="R26" i="31"/>
  <c r="S26"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D14" i="74"/>
  <c r="F14" i="74" s="1"/>
  <c r="B20" i="31"/>
  <c r="B21" i="31" s="1"/>
  <c r="E14" i="74"/>
  <c r="B5" i="74"/>
  <c r="D5" i="74" s="1"/>
  <c r="B6" i="74" l="1"/>
  <c r="D6" i="74" s="1"/>
  <c r="N58" i="9"/>
  <c r="P57" i="9"/>
  <c r="C104" i="9"/>
  <c r="H4" i="52"/>
  <c r="D53" i="9"/>
  <c r="D52" i="9"/>
  <c r="N61" i="9"/>
  <c r="N59" i="9"/>
  <c r="N60" i="9"/>
  <c r="C6" i="74"/>
  <c r="C81" i="9"/>
  <c r="H119" i="9"/>
  <c r="H5" i="52"/>
  <c r="B30" i="72"/>
  <c r="B53" i="72"/>
  <c r="C105" i="9"/>
  <c r="I4" i="52"/>
  <c r="B48" i="72"/>
  <c r="H108" i="9"/>
  <c r="D15" i="53"/>
  <c r="B31" i="72"/>
  <c r="F5" i="52"/>
  <c r="M48" i="9"/>
  <c r="B51" i="72"/>
  <c r="C93" i="9"/>
  <c r="C86" i="9"/>
  <c r="E81" i="9"/>
  <c r="F4" i="52"/>
  <c r="F119" i="9"/>
  <c r="B20" i="72"/>
  <c r="C80" i="9"/>
  <c r="E80" i="9"/>
  <c r="M54" i="9"/>
  <c r="C78" i="9"/>
  <c r="C73" i="9"/>
  <c r="E97" i="9"/>
  <c r="D13" i="53"/>
  <c r="D14" i="53"/>
  <c r="B32" i="72"/>
  <c r="D8" i="52"/>
  <c r="E4" i="52"/>
  <c r="D4" i="52"/>
  <c r="B47" i="72"/>
  <c r="C97" i="9"/>
  <c r="D58" i="9"/>
  <c r="D56" i="9"/>
  <c r="B49" i="72"/>
  <c r="E118" i="9"/>
  <c r="D118" i="9"/>
  <c r="D119" i="9"/>
  <c r="D5" i="52"/>
  <c r="B21" i="72"/>
  <c r="D5" i="53"/>
  <c r="D6" i="53"/>
  <c r="B22" i="72"/>
  <c r="C5" i="74"/>
  <c r="H102" i="9"/>
  <c r="D7" i="53"/>
  <c r="F118" i="9"/>
  <c r="G118" i="9"/>
  <c r="G4" i="52"/>
  <c r="B52" i="72"/>
  <c r="D59" i="9"/>
  <c r="M55" i="9"/>
  <c r="C64" i="9"/>
  <c r="C63" i="9"/>
  <c r="C67" i="9"/>
  <c r="C68" i="9"/>
  <c r="D54" i="9"/>
  <c r="H107" i="9"/>
  <c r="D122" i="9"/>
  <c r="D123" i="9"/>
  <c r="D9" i="52"/>
  <c r="C85" i="9"/>
  <c r="C95" i="9"/>
  <c r="C96" i="9"/>
  <c r="E96" i="9"/>
  <c r="C72" i="9"/>
  <c r="C79"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<sst xmlns="http://schemas.openxmlformats.org/spreadsheetml/2006/main" count="7840" uniqueCount="3443">
  <si>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</si>
  <si>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</si>
  <si>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</si>
  <si>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</si>
  <si>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</si>
  <si>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</si>
  <si>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</si>
  <si>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</si>
  <si>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</si>
  <si>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</si>
  <si>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</si>
  <si>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</si>
  <si>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</si>
  <si>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</si>
  <si>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</si>
  <si>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</si>
  <si>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</si>
  <si>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</si>
  <si>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</si>
  <si>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</si>
  <si>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</si>
  <si>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</si>
  <si>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</si>
  <si>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</si>
  <si>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</si>
  <si>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</si>
  <si>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</si>
  <si>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</si>
  <si>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</si>
  <si>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</si>
  <si>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</si>
  <si>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</si>
  <si>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</si>
  <si>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</si>
  <si>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</si>
  <si>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</si>
  <si>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</si>
  <si>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</si>
  <si>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</si>
  <si>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</si>
  <si>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</si>
  <si>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</si>
  <si>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</si>
  <si>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</si>
  <si>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</si>
  <si>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</si>
  <si>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</si>
  <si>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</si>
  <si>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</si>
  <si>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</si>
  <si>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</si>
  <si>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</si>
  <si>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</si>
  <si>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</si>
  <si>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</si>
  <si>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</si>
  <si>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</si>
  <si>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</si>
  <si>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</si>
  <si>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</si>
  <si>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</si>
  <si>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</si>
  <si>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</si>
  <si>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</si>
  <si>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</si>
  <si>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</si>
  <si>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</si>
  <si>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</si>
  <si>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</si>
  <si>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</si>
  <si>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</si>
  <si>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</si>
  <si>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</si>
  <si>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</si>
  <si>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</si>
  <si>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</si>
  <si>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</si>
  <si>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</si>
  <si>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</si>
  <si>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</si>
  <si>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</si>
  <si>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</si>
  <si>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</si>
  <si>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</si>
  <si>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</si>
  <si>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</si>
  <si>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</si>
  <si>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</si>
  <si>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</si>
  <si>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</si>
  <si>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</si>
  <si>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</si>
  <si>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</si>
  <si>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</si>
  <si>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</si>
  <si>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</si>
  <si>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</si>
  <si>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</si>
  <si>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</si>
  <si>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</si>
  <si>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</si>
  <si>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</si>
  <si>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</si>
  <si>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</si>
  <si>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</si>
  <si>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</si>
  <si>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</si>
  <si>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</si>
  <si>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</si>
  <si>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</si>
  <si>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</si>
  <si>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</si>
  <si>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</si>
  <si>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</si>
  <si>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</si>
  <si>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</si>
  <si>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</si>
  <si>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</si>
  <si>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</si>
  <si>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</si>
  <si>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</si>
  <si>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</si>
  <si>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</si>
  <si>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</si>
  <si>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</si>
  <si>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</si>
  <si>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</si>
  <si>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</si>
  <si>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</si>
  <si>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</si>
  <si>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</si>
  <si>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</si>
  <si>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</si>
  <si>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</si>
  <si>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</si>
  <si>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</si>
  <si>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</si>
  <si>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</si>
  <si>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</si>
  <si>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</si>
  <si>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</si>
  <si>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</si>
  <si>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</si>
  <si>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</si>
  <si>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</si>
  <si>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</si>
  <si>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</si>
  <si>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</si>
  <si>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</si>
  <si>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</si>
  <si>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</si>
  <si>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</si>
  <si>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</si>
  <si>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</si>
  <si>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</si>
  <si>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</si>
  <si>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</si>
  <si>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</si>
  <si>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</si>
  <si>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</si>
  <si>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</si>
  <si>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</si>
  <si>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</si>
  <si>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</si>
  <si>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</si>
  <si>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</si>
  <si>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</si>
  <si>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</si>
  <si>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</si>
  <si>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</si>
  <si>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</si>
  <si>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</si>
  <si>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</si>
  <si>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</si>
  <si>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</si>
  <si>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</si>
  <si>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</si>
  <si>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</si>
  <si>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</si>
  <si>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</si>
  <si>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</si>
  <si>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</si>
  <si>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</si>
  <si>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</si>
  <si>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</si>
  <si>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</si>
  <si>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</si>
  <si>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</si>
  <si>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</si>
  <si>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</si>
  <si>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</si>
  <si>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</si>
  <si>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</si>
  <si>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</si>
  <si>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</si>
  <si>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</si>
  <si>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</si>
  <si>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</si>
  <si>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</si>
  <si>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</si>
  <si>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</si>
  <si>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</si>
  <si>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</si>
  <si>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</si>
  <si>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</si>
  <si>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</si>
  <si>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</si>
  <si>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</si>
  <si>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</si>
  <si>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</si>
  <si>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</si>
  <si>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</si>
  <si>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</si>
  <si>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</si>
  <si>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</si>
  <si>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</si>
  <si>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</si>
  <si>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</si>
  <si>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</si>
  <si>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</si>
  <si>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</si>
  <si>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</si>
  <si>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</si>
  <si>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</si>
  <si>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</si>
  <si>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</si>
  <si>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</si>
  <si>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</si>
  <si>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</si>
  <si>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</si>
  <si>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</si>
  <si>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</si>
  <si>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</si>
  <si>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</si>
  <si>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</si>
  <si>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</si>
  <si>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</si>
  <si>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</si>
  <si>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</si>
  <si>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</si>
  <si>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</si>
  <si>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</si>
  <si>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</si>
  <si>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</si>
  <si>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</si>
  <si>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</si>
  <si>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</si>
  <si>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</si>
  <si>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</si>
  <si>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</si>
  <si>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</si>
  <si>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</si>
  <si>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</si>
  <si>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</si>
  <si>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</si>
  <si>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</si>
  <si>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</si>
  <si>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</si>
  <si>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</si>
  <si>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</si>
  <si>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</si>
  <si>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</si>
  <si>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</si>
  <si>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</si>
  <si>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</si>
  <si>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</si>
  <si>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</si>
  <si>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</si>
  <si>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</si>
  <si>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</si>
  <si>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</si>
  <si>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</si>
  <si>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</si>
  <si>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</si>
  <si>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</si>
  <si>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</si>
  <si>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</si>
  <si>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</si>
  <si>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</si>
  <si>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</si>
  <si>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</si>
  <si>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</si>
  <si>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</si>
  <si>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</si>
  <si>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</si>
  <si>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</si>
  <si>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</si>
  <si>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</si>
  <si>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</si>
  <si>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</si>
  <si>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</si>
  <si>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</si>
  <si>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</si>
  <si>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</si>
  <si>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</si>
  <si>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</si>
  <si>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</si>
  <si>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</si>
  <si>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</si>
  <si>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</si>
  <si>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</si>
  <si>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</si>
  <si>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</si>
  <si>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</si>
  <si>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</si>
  <si>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</si>
  <si>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</si>
  <si>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</si>
  <si>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</si>
  <si>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</si>
  <si>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</si>
  <si>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</si>
  <si>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</si>
  <si>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</si>
  <si>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</si>
  <si>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</si>
  <si>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</si>
  <si>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</si>
  <si>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</si>
  <si>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</si>
  <si>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</si>
  <si>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</si>
  <si>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</si>
  <si>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</si>
  <si>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</si>
  <si>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</si>
  <si>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</si>
  <si>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</si>
  <si>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</si>
  <si>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</si>
  <si>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</si>
  <si>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</si>
  <si>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</si>
  <si>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</si>
  <si>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</si>
  <si>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</si>
  <si>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</si>
  <si>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</si>
  <si>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</si>
  <si>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</si>
  <si>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</si>
  <si>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</si>
  <si>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</si>
  <si>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</si>
  <si>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</si>
  <si>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</si>
  <si>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</si>
  <si>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</si>
  <si>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</si>
  <si>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</si>
  <si>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</si>
  <si>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</si>
  <si>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</si>
  <si>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</si>
  <si>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</si>
  <si>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</si>
  <si>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</si>
  <si>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</si>
  <si>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</si>
  <si>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</si>
  <si>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</si>
  <si>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</si>
  <si>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</si>
  <si>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</si>
  <si>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</si>
  <si>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</si>
  <si>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</si>
  <si>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</si>
  <si>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</si>
  <si>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</si>
  <si>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</si>
  <si>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</si>
  <si>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</si>
  <si>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</si>
  <si>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</si>
  <si>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</si>
  <si>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</si>
  <si>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</si>
  <si>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</si>
  <si>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</si>
  <si>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</si>
  <si>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</si>
  <si>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</si>
  <si>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</si>
  <si>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</si>
  <si>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</si>
  <si>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</si>
  <si>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</si>
  <si>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</si>
  <si>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</si>
  <si>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</si>
  <si>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</si>
  <si>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</si>
  <si>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</si>
  <si>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</si>
  <si>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</si>
  <si>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</si>
  <si>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</si>
  <si>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</si>
  <si>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</si>
  <si>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</si>
  <si>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</si>
  <si>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</si>
  <si>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</si>
  <si>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</si>
  <si>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</si>
  <si>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</si>
  <si>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</si>
  <si>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</si>
  <si>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</si>
  <si>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</si>
  <si>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</si>
  <si>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</si>
  <si>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</si>
  <si>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</si>
  <si>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</si>
  <si>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</si>
  <si>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</si>
  <si>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</si>
  <si>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</si>
  <si>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</si>
  <si>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</si>
  <si>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</si>
  <si>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</si>
  <si>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</si>
  <si>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</si>
  <si>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</si>
  <si>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</si>
  <si>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</si>
  <si>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</si>
  <si>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</si>
  <si>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</si>
  <si>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</si>
  <si>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</si>
  <si>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</si>
  <si>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</si>
  <si>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</si>
  <si>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</si>
  <si>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</si>
  <si>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</si>
  <si>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</si>
  <si>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</si>
  <si>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</si>
  <si>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</si>
  <si>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</si>
  <si>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</si>
  <si>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</si>
  <si>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</si>
  <si>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</si>
  <si>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</si>
  <si>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</si>
  <si>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</si>
  <si>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</si>
  <si>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</si>
  <si>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</si>
  <si>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</si>
  <si>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</si>
  <si>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</si>
  <si>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</si>
  <si>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</si>
  <si>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</si>
  <si>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</si>
  <si>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</si>
  <si>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</si>
  <si>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</si>
  <si>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</si>
  <si>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</si>
  <si>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</si>
  <si>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</si>
  <si>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</si>
  <si>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</si>
  <si>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</si>
  <si>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</si>
  <si>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</si>
  <si>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</si>
  <si>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</si>
  <si>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</si>
  <si>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</si>
  <si>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</si>
  <si>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</si>
  <si>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</si>
  <si>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</si>
  <si>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</si>
  <si>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</si>
  <si>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</si>
  <si>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</si>
  <si>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</si>
  <si>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</si>
  <si>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</si>
  <si>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</si>
  <si>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</si>
  <si>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</si>
  <si>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</si>
  <si>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</si>
  <si>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</si>
  <si>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</si>
  <si>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</si>
  <si>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</si>
  <si>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</si>
  <si>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</si>
  <si>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</si>
  <si>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</si>
  <si>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</si>
  <si>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</si>
  <si>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</si>
  <si>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</si>
  <si>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</si>
  <si>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</si>
  <si>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</si>
  <si>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</si>
  <si>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</si>
  <si>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</si>
  <si>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</si>
  <si>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</si>
  <si>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</si>
  <si>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</si>
  <si>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</si>
  <si>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</si>
  <si>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</si>
  <si>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</si>
  <si>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</si>
  <si>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</si>
  <si>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</si>
  <si>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</si>
  <si>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</si>
  <si>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</si>
  <si>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</si>
  <si>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</si>
  <si>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</si>
  <si>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</si>
  <si>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</si>
  <si>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</si>
  <si>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</si>
  <si>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</si>
  <si>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</si>
  <si>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</si>
  <si>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</si>
  <si>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</si>
  <si>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</si>
  <si>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</si>
  <si>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</si>
  <si>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</si>
  <si>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</si>
  <si>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</si>
  <si>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</si>
  <si>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</si>
  <si>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</si>
  <si>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</si>
  <si>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</si>
  <si>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</si>
  <si>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</si>
  <si>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</si>
  <si>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</si>
  <si>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</si>
  <si>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</si>
  <si>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</si>
  <si>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</si>
  <si>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</si>
  <si>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</si>
  <si>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</si>
  <si>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</si>
  <si>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</si>
  <si>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</si>
  <si>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</si>
  <si>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</si>
  <si>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</si>
  <si>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</si>
  <si>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</si>
  <si>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</si>
  <si>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</si>
  <si>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</si>
  <si>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</si>
  <si>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</si>
  <si>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</si>
  <si>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</si>
  <si>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</si>
  <si>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</si>
  <si>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</si>
  <si>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</si>
  <si>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</si>
  <si>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</si>
  <si>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</si>
  <si>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</si>
  <si>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</si>
  <si>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</si>
  <si>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</si>
  <si>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</si>
  <si>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</si>
  <si>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</si>
  <si>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</si>
  <si>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</si>
  <si>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</si>
  <si>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</si>
  <si>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</si>
  <si>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</si>
  <si>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</si>
  <si>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</si>
  <si>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</si>
  <si>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</si>
  <si>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</si>
  <si>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</si>
  <si>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</si>
  <si>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</si>
  <si>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</si>
  <si>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</si>
  <si>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</si>
  <si>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</si>
  <si>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</si>
  <si>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</si>
  <si>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</si>
  <si>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</si>
  <si>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</si>
  <si>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</si>
  <si>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</si>
  <si>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</si>
  <si>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</si>
  <si>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</si>
  <si>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</si>
  <si>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</si>
  <si>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</si>
  <si>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</si>
  <si>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</si>
  <si>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</si>
  <si>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</si>
  <si>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</si>
  <si>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</si>
  <si>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</si>
  <si>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</si>
  <si>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</si>
  <si>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</si>
  <si>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</si>
  <si>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</si>
  <si>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</si>
  <si>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</si>
  <si>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</si>
  <si>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</si>
  <si>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</si>
  <si>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</si>
  <si>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</si>
  <si>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</si>
  <si>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</si>
  <si>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</si>
  <si>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</si>
  <si>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</si>
  <si>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</si>
  <si>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</si>
  <si>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</si>
  <si>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</si>
  <si>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</si>
  <si>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</si>
  <si>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</si>
  <si>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</si>
  <si>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</si>
  <si>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</si>
  <si>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</si>
  <si>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</si>
  <si>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</si>
  <si>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</si>
  <si>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</si>
  <si>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</si>
  <si>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</si>
  <si>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</si>
  <si>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</si>
  <si>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</si>
  <si>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</si>
  <si>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</si>
  <si>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</si>
  <si>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</si>
  <si>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</si>
  <si>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</si>
  <si>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</si>
  <si>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</si>
  <si>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</si>
  <si>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</si>
  <si>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</si>
  <si>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</si>
  <si>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</si>
  <si>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</si>
  <si>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</si>
  <si>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</si>
  <si>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</si>
  <si>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</si>
  <si>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</si>
  <si>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</si>
  <si>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</si>
  <si>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</si>
  <si>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</si>
  <si>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</si>
  <si>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</si>
  <si>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</si>
  <si>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</si>
  <si>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</si>
  <si>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</si>
  <si>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</si>
  <si>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</si>
  <si>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</si>
  <si>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</si>
  <si>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</si>
  <si>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</si>
  <si>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</si>
  <si>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</si>
  <si>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</si>
  <si>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</si>
  <si>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</si>
  <si>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</si>
  <si>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</si>
  <si>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</si>
  <si>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</si>
  <si>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</si>
  <si>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</si>
  <si>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</si>
  <si>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</si>
  <si>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</si>
  <si>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</si>
  <si>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</si>
  <si>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</si>
  <si>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</si>
  <si>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</si>
  <si>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</si>
  <si>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</si>
  <si>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</si>
  <si>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</si>
  <si>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</si>
  <si>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</si>
  <si>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</si>
  <si>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</si>
  <si>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</si>
  <si>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</si>
  <si>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</si>
  <si>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</si>
  <si>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</si>
  <si>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</si>
  <si>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</si>
  <si>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</si>
  <si>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</si>
  <si>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</si>
  <si>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</si>
  <si>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</si>
  <si>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</si>
  <si>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</si>
  <si>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</si>
  <si>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</si>
  <si>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</si>
  <si>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</si>
  <si>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</si>
  <si>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</si>
  <si>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</si>
  <si>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</si>
  <si>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</si>
  <si>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</si>
  <si>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</si>
  <si>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</si>
  <si>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</si>
  <si>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</si>
  <si>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</si>
  <si>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</si>
  <si>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</si>
  <si>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</si>
  <si>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</si>
  <si>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</si>
  <si>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</si>
  <si>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</si>
  <si>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</si>
  <si>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</si>
  <si>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</si>
  <si>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</si>
  <si>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</si>
  <si>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</si>
  <si>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</si>
  <si>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</si>
  <si>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</si>
  <si>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</si>
  <si>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</si>
  <si>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</si>
  <si>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</si>
  <si>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</si>
  <si>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</si>
  <si>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</si>
  <si>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</si>
  <si>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</si>
  <si>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</si>
  <si>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</si>
  <si>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</si>
  <si>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</si>
  <si>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</si>
  <si>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</si>
  <si>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</si>
  <si>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</si>
  <si>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</si>
  <si>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</si>
  <si>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</si>
  <si>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</si>
  <si>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</si>
  <si>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</si>
  <si>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</si>
  <si>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</si>
  <si>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</si>
  <si>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</si>
  <si>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</si>
  <si>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</si>
  <si>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</si>
  <si>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</si>
  <si>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</si>
  <si>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</si>
  <si>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</si>
  <si>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</si>
  <si>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</si>
  <si>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</si>
  <si>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</si>
  <si>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</si>
  <si>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</si>
  <si>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</si>
  <si>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</si>
  <si>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</si>
  <si>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</si>
  <si>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</si>
  <si>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</si>
  <si>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</si>
  <si>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</si>
  <si>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</si>
  <si>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</si>
  <si>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</si>
  <si>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</si>
  <si>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</si>
  <si>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</si>
  <si>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</si>
  <si>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</si>
  <si>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</si>
  <si>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</si>
  <si>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</si>
  <si>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</si>
  <si>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</si>
  <si>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</si>
  <si>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</si>
  <si>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</si>
  <si>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</si>
  <si>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</si>
  <si>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</si>
  <si>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</si>
  <si>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</si>
  <si>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</si>
  <si>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</si>
  <si>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</si>
  <si>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</si>
  <si>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</si>
  <si>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</si>
  <si>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</si>
  <si>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</si>
  <si>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</si>
  <si>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</si>
  <si>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</si>
  <si>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</si>
  <si>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</si>
  <si>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</si>
  <si>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</si>
  <si>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</si>
  <si>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</si>
  <si>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</si>
  <si>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</si>
  <si>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</si>
  <si>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</si>
  <si>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</si>
  <si>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</si>
  <si>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</si>
  <si>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</si>
  <si>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</si>
  <si>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</si>
  <si>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</si>
  <si>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</si>
  <si>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</si>
  <si>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</si>
  <si>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</si>
  <si>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</si>
  <si>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</si>
  <si>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</si>
  <si>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</si>
  <si>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</si>
  <si>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</si>
  <si>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</si>
  <si>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</si>
  <si>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</si>
  <si>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</si>
  <si>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</si>
  <si>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</si>
  <si>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</si>
  <si>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</si>
  <si>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</si>
  <si>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</si>
  <si>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</si>
  <si>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</si>
  <si>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</si>
  <si>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</si>
  <si>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</si>
  <si>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</si>
  <si>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</si>
  <si>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</si>
  <si>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</si>
  <si>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</si>
  <si>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</si>
  <si>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</si>
  <si>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</si>
  <si>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</si>
  <si>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</si>
  <si>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</si>
  <si>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</si>
  <si>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</si>
  <si>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</si>
  <si>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</si>
  <si>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</si>
  <si>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</si>
  <si>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</si>
  <si>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</si>
  <si>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</si>
  <si>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</si>
  <si>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</si>
  <si>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</si>
  <si>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</si>
  <si>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</si>
  <si>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</si>
  <si>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</si>
  <si>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</si>
  <si>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</si>
  <si>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</si>
  <si>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</si>
  <si>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</si>
  <si>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</si>
  <si>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</si>
  <si>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</si>
  <si>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</si>
  <si>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</si>
  <si>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</si>
  <si>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</si>
  <si>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</si>
  <si>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</si>
  <si>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</si>
  <si>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</si>
  <si>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</si>
  <si>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</si>
  <si>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</si>
  <si>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</si>
  <si>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</si>
  <si>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</si>
  <si>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</si>
  <si>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</si>
  <si>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</si>
  <si>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</si>
  <si>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</si>
  <si>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</si>
  <si>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</si>
  <si>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</si>
  <si>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</si>
  <si>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</si>
  <si>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</si>
  <si>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</si>
  <si>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</si>
  <si>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</si>
  <si>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</si>
  <si>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</si>
  <si>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</si>
  <si>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</si>
  <si>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</si>
  <si>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</si>
  <si>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</si>
  <si>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</si>
  <si>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</si>
  <si>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</si>
  <si>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</si>
  <si>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</si>
  <si>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</si>
  <si>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</si>
  <si>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</si>
  <si>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</si>
  <si>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</si>
  <si>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</si>
  <si>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</si>
  <si>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</si>
  <si>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</si>
  <si>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</si>
  <si>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</si>
  <si>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</si>
  <si>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</si>
  <si>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</si>
  <si>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</si>
  <si>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</si>
  <si>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</si>
  <si>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</si>
  <si>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</si>
  <si>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</si>
  <si>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</si>
  <si>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</si>
  <si>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</si>
  <si>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</si>
  <si>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</si>
  <si>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</si>
  <si>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</si>
  <si>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</si>
  <si>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</si>
  <si>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</si>
  <si>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</si>
  <si>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</si>
  <si>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</si>
  <si>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</si>
  <si>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</si>
  <si>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</si>
  <si>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</si>
  <si>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</si>
  <si>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</si>
  <si>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</si>
  <si>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</si>
  <si>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</si>
  <si>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</si>
  <si>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</si>
  <si>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</si>
  <si>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</si>
  <si>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</si>
  <si>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</si>
  <si>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</si>
  <si>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</si>
  <si>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</si>
  <si>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</si>
  <si>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</si>
  <si>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</si>
  <si>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</si>
  <si>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</si>
  <si>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</si>
  <si>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</si>
  <si>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</si>
  <si>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</si>
  <si>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</si>
  <si>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</si>
  <si>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</si>
  <si>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</si>
  <si>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</si>
  <si>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</si>
  <si>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</si>
  <si>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</si>
  <si>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</si>
  <si>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</si>
  <si>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</si>
  <si>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</si>
  <si>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</si>
  <si>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</si>
  <si>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</si>
  <si>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</si>
  <si>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</si>
  <si>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</si>
  <si>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</si>
  <si>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</si>
  <si>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</si>
  <si>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</si>
  <si>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</si>
  <si>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</si>
  <si>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</si>
  <si>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</si>
  <si>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</si>
  <si>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</si>
  <si>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</si>
  <si>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</si>
  <si>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</si>
  <si>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</si>
  <si>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</si>
  <si>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</si>
  <si>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</si>
  <si>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</si>
  <si>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</si>
  <si>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</si>
  <si>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</si>
  <si>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</si>
  <si>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</si>
  <si>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</si>
  <si>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</si>
  <si>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</si>
  <si>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</si>
  <si>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</si>
  <si>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</si>
  <si>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</si>
  <si>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</si>
  <si>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</si>
  <si>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</si>
  <si>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</si>
  <si>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</si>
  <si>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</si>
  <si>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</si>
  <si>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</si>
  <si>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</si>
  <si>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</si>
  <si>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</si>
  <si>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</si>
  <si>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</si>
  <si>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</si>
  <si>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</si>
  <si>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</si>
  <si>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</si>
  <si>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</si>
  <si>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</si>
  <si>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</si>
  <si>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</si>
  <si>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</si>
  <si>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</si>
  <si>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</si>
  <si>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</si>
  <si>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</si>
  <si>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</si>
  <si>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</si>
  <si>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</si>
  <si>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</si>
  <si>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</si>
  <si>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</si>
  <si>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</si>
  <si>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</si>
  <si>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</si>
  <si>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</si>
  <si>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</si>
  <si>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</si>
  <si>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</si>
  <si>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</si>
  <si>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</si>
  <si>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</si>
  <si>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</si>
  <si>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</si>
  <si>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</si>
  <si>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</si>
  <si>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</si>
  <si>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</si>
  <si>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</si>
  <si>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</si>
  <si>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</si>
  <si>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</si>
  <si>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</si>
  <si>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</si>
  <si>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</si>
  <si>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</si>
  <si>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</si>
  <si>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</si>
  <si>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</si>
  <si>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</si>
  <si>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</si>
  <si>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</si>
  <si>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</si>
  <si>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</si>
  <si>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</si>
  <si>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</si>
  <si>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</si>
  <si>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</si>
  <si>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</si>
  <si>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</si>
  <si>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</si>
  <si>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</si>
  <si>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</si>
  <si>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</si>
  <si>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</si>
  <si>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</si>
  <si>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</si>
  <si>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</si>
  <si>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</si>
  <si>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</si>
  <si>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</si>
  <si>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</si>
  <si>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</si>
  <si>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</si>
  <si>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</si>
  <si>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</si>
  <si>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</si>
  <si>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</si>
  <si>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</si>
  <si>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</si>
  <si>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</si>
  <si>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</si>
  <si>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</si>
  <si>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</si>
  <si>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</si>
  <si>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</si>
  <si>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</si>
  <si>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</si>
  <si>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</si>
  <si>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</si>
  <si>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</si>
  <si>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</si>
  <si>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</si>
  <si>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</si>
  <si>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</si>
  <si>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</si>
  <si>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</si>
  <si>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</si>
  <si>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</si>
  <si>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</si>
  <si>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</si>
  <si>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</si>
  <si>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</si>
  <si>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</si>
  <si>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</si>
  <si>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</si>
  <si>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</si>
  <si>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</si>
  <si>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</si>
  <si>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</si>
  <si>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</si>
  <si>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</si>
  <si>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</si>
  <si>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</si>
  <si>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</si>
  <si>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</si>
  <si>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</si>
  <si>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</si>
  <si>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</si>
  <si>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</si>
  <si>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</si>
  <si>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</si>
  <si>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</si>
  <si>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</si>
  <si>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</si>
  <si>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</si>
  <si>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</si>
  <si>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</si>
  <si>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</si>
  <si>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</si>
  <si>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</si>
  <si>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</si>
  <si>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</si>
  <si>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</si>
  <si>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</si>
  <si>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</si>
  <si>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</si>
  <si>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</si>
  <si>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</si>
  <si>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</si>
  <si>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</si>
  <si>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</si>
  <si>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</si>
  <si>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</si>
  <si>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</si>
  <si>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</si>
  <si>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</si>
  <si>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</si>
  <si>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</si>
  <si>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</si>
  <si>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</si>
  <si>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</si>
  <si>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</si>
  <si>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</si>
  <si>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</si>
  <si>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</si>
  <si>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</si>
  <si>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</si>
  <si>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</si>
  <si>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</si>
  <si>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</si>
  <si>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</si>
  <si>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</si>
  <si>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</si>
  <si>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</si>
  <si>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</si>
  <si>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</si>
  <si>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</si>
  <si>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</si>
  <si>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</si>
  <si>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</si>
  <si>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</si>
  <si>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</si>
  <si>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</si>
  <si>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</si>
  <si>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</si>
  <si>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</si>
  <si>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</si>
  <si>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</si>
  <si>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</si>
  <si>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</si>
  <si>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</si>
  <si>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</si>
  <si>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</si>
  <si>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</si>
  <si>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</si>
  <si>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</si>
  <si>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</si>
  <si>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</si>
  <si>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</si>
  <si>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</si>
  <si>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</si>
  <si>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</si>
  <si>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</si>
  <si>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</si>
  <si>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</si>
  <si>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</si>
  <si>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</si>
  <si>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</si>
  <si>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</si>
  <si>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</si>
  <si>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</si>
  <si>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</si>
  <si>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</si>
  <si>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</si>
  <si>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</si>
  <si>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</si>
  <si>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</si>
  <si>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</si>
  <si>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</si>
  <si>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</si>
  <si>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</si>
  <si>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</si>
  <si>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</si>
  <si>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</si>
  <si>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</si>
  <si>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</si>
  <si>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</si>
  <si>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</si>
  <si>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</si>
  <si>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</si>
  <si>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</si>
  <si>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</si>
  <si>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</si>
  <si>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</si>
  <si>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</si>
  <si>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</si>
  <si>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</si>
  <si>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</si>
  <si>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</si>
  <si>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</si>
  <si>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</si>
  <si>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</si>
  <si>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</si>
  <si>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</si>
  <si>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</si>
  <si>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</si>
  <si>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</si>
  <si>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</si>
  <si>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</si>
  <si>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</si>
  <si>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</si>
  <si>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</si>
  <si>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</si>
  <si>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</si>
  <si>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</si>
  <si>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</si>
  <si>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</si>
  <si>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</si>
  <si>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</si>
  <si>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</si>
  <si>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</si>
  <si>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</si>
  <si>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</si>
  <si>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</si>
  <si>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</si>
  <si>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</si>
  <si>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</si>
  <si>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</si>
  <si>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</si>
  <si>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</si>
  <si>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</si>
  <si>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</si>
  <si>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</si>
  <si>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</si>
  <si>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</si>
  <si>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</si>
  <si>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</si>
  <si>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</si>
  <si>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</si>
  <si>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</si>
  <si>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</si>
  <si>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</si>
  <si>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</si>
  <si>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</si>
  <si>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</si>
  <si>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</si>
  <si>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</si>
  <si>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</si>
  <si>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</si>
  <si>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</si>
  <si>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</si>
  <si>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</si>
  <si>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</si>
  <si>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</si>
  <si>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</si>
  <si>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</si>
  <si>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</si>
  <si>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</si>
  <si>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</si>
  <si>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</si>
  <si>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</si>
  <si>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</si>
  <si>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</si>
  <si>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</si>
  <si>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</si>
  <si>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</si>
  <si>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</si>
  <si>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</si>
  <si>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</si>
  <si>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</si>
  <si>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</si>
  <si>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</si>
  <si>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</si>
  <si>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</si>
  <si>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</si>
  <si>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</si>
  <si>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</si>
  <si>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</si>
  <si>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</si>
  <si>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</si>
  <si>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</si>
  <si>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</si>
  <si>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</si>
  <si>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</si>
  <si>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</si>
  <si>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</si>
  <si>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</si>
  <si>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</si>
  <si>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</si>
  <si>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</si>
  <si>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</si>
  <si>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</si>
  <si>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</si>
  <si>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</si>
  <si>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</si>
  <si>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</si>
  <si>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</si>
  <si>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</si>
  <si>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</si>
  <si>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</si>
  <si>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</si>
  <si>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</si>
  <si>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</si>
  <si>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</si>
  <si>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</si>
  <si>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</si>
  <si>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</si>
  <si>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</si>
  <si>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</si>
  <si>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</si>
  <si>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</si>
  <si>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</si>
  <si>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</si>
  <si>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</si>
  <si>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</si>
  <si>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</si>
  <si>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</si>
  <si>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</si>
  <si>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</si>
  <si>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</si>
  <si>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</si>
  <si>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</si>
  <si>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</si>
  <si>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</si>
  <si>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</si>
  <si>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</si>
  <si>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</si>
  <si>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</si>
  <si>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</si>
  <si>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</si>
  <si>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</si>
  <si>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</si>
  <si>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</si>
  <si>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</si>
  <si>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</si>
  <si>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</si>
  <si>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</si>
  <si>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</si>
  <si>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</si>
  <si>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</si>
  <si>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</si>
  <si>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</si>
  <si>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</si>
  <si>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</si>
  <si>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</si>
  <si>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</si>
  <si>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</si>
  <si>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</si>
  <si>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</si>
  <si>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</si>
  <si>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</si>
  <si>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</si>
  <si>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</si>
  <si>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</si>
  <si>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</si>
  <si>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</si>
  <si>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</si>
  <si>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</si>
  <si>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</si>
  <si>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</si>
  <si>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</si>
  <si>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</si>
  <si>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</si>
  <si>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</si>
  <si>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</si>
  <si>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</si>
  <si>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</si>
  <si>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</si>
  <si>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</si>
  <si>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</si>
  <si>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</si>
  <si>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</si>
  <si>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</si>
  <si>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</si>
  <si>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</si>
  <si>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</si>
  <si>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</si>
  <si>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</si>
  <si>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</si>
  <si>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</si>
  <si>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</si>
  <si>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</si>
  <si>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</si>
  <si>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</si>
  <si>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</si>
  <si>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</si>
  <si>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</si>
  <si>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</si>
  <si>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</si>
  <si>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</si>
  <si>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</si>
  <si>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</si>
  <si>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</si>
  <si>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</si>
  <si>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</si>
  <si>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</si>
  <si>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</si>
  <si>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</si>
  <si>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</si>
  <si>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</si>
  <si>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</si>
  <si>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</si>
  <si>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</si>
  <si>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</si>
  <si>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</si>
  <si>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</si>
  <si>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</si>
  <si>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</si>
  <si>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</si>
  <si>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</si>
  <si>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</si>
  <si>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</si>
  <si>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</si>
  <si>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</si>
  <si>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</si>
  <si>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</si>
  <si>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</si>
  <si>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</si>
  <si>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</si>
  <si>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</si>
  <si>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</si>
  <si>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</si>
  <si>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</si>
  <si>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</si>
  <si>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</si>
  <si>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</si>
  <si>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</si>
  <si>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</si>
  <si>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</si>
  <si>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</si>
  <si>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</si>
  <si>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</si>
  <si>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</si>
  <si>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</si>
  <si>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</si>
  <si>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</si>
  <si>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</si>
  <si>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</si>
  <si>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</si>
  <si>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</si>
  <si>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</si>
  <si>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</si>
  <si>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</si>
  <si>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</si>
  <si>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</si>
  <si>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</si>
  <si>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</si>
  <si>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</si>
  <si>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</si>
  <si>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</si>
  <si>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</si>
  <si>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</si>
  <si>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</si>
  <si>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</si>
  <si>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</si>
  <si>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</si>
  <si>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</si>
  <si>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</si>
  <si>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</si>
  <si>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</si>
  <si>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</si>
  <si>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</si>
  <si>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</si>
  <si>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</si>
  <si>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</si>
  <si>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</si>
  <si>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</si>
  <si>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</si>
  <si>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</si>
  <si>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</si>
  <si>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</si>
  <si>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</si>
  <si>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</si>
  <si>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</si>
  <si>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</si>
  <si>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</si>
  <si>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</si>
  <si>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</si>
  <si>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</si>
  <si>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</si>
  <si>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</si>
  <si>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</si>
  <si>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</si>
  <si>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</si>
  <si>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</si>
  <si>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</si>
  <si>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</si>
  <si>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</si>
  <si>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</si>
  <si>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</si>
  <si>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</si>
  <si>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</si>
  <si>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</si>
  <si>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</si>
  <si>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</si>
  <si>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</si>
  <si>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</si>
  <si>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</si>
  <si>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</si>
  <si>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</si>
  <si>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</si>
  <si>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</si>
  <si>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</si>
  <si>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</si>
  <si>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</si>
  <si>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</si>
  <si>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</si>
  <si>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</si>
  <si>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</si>
  <si>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</si>
  <si>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</si>
  <si>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</si>
  <si>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</si>
  <si>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</si>
  <si>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</si>
  <si>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</si>
  <si>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</si>
  <si>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</si>
  <si>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</si>
  <si>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</si>
  <si>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</si>
  <si>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</si>
  <si>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</si>
  <si>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</si>
  <si>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</si>
  <si>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</si>
  <si>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</si>
  <si>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</si>
  <si>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</si>
  <si>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</si>
  <si>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</si>
  <si>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</si>
  <si>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</si>
  <si>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</si>
  <si>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</si>
  <si>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</si>
  <si>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</si>
  <si>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</si>
  <si>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</si>
  <si>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</si>
  <si>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</si>
  <si>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</si>
  <si>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</si>
  <si>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</si>
  <si>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</si>
  <si>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</si>
  <si>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</si>
  <si>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</si>
  <si>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</si>
  <si>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</si>
  <si>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</si>
  <si>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</si>
  <si>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</si>
  <si>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</si>
  <si>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</si>
  <si>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</si>
  <si>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</si>
  <si>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</si>
  <si>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</si>
  <si>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</si>
  <si>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</si>
  <si>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</si>
  <si>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</si>
  <si>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</si>
  <si>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</si>
  <si>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</si>
  <si>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</si>
  <si>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</si>
  <si>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</si>
  <si>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</si>
  <si>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</si>
  <si>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</si>
  <si>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</si>
  <si>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</si>
  <si>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</si>
  <si>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</si>
  <si>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</si>
  <si>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</si>
  <si>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</si>
  <si>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</si>
  <si>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</si>
  <si>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</si>
  <si>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</si>
  <si>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</si>
  <si>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</si>
  <si>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</si>
  <si>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</si>
  <si>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</si>
  <si>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</si>
  <si>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</si>
  <si>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</si>
  <si>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</si>
  <si>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</si>
  <si>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</si>
  <si>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</si>
  <si>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</si>
  <si>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</si>
  <si>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</si>
  <si>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</si>
  <si>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</si>
  <si>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</si>
  <si>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</si>
  <si>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</si>
  <si>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</si>
  <si>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</si>
  <si>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</si>
  <si>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</si>
  <si>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</si>
  <si>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</si>
  <si>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</si>
  <si>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</si>
  <si>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</si>
  <si>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</si>
  <si>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</si>
  <si>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</si>
  <si>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</si>
  <si>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</si>
  <si>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</si>
  <si>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</si>
  <si>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</si>
  <si>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</si>
  <si>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</si>
  <si>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</si>
  <si>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</si>
  <si>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</si>
  <si>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</si>
  <si>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</si>
  <si>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</si>
  <si>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</si>
  <si>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</si>
  <si>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</si>
  <si>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</si>
  <si>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</si>
  <si>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</si>
  <si>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</si>
  <si>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</si>
  <si>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</si>
  <si>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</si>
  <si>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</si>
  <si>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</si>
  <si>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</si>
  <si>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</si>
  <si>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</si>
  <si>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</si>
  <si>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</si>
  <si>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</si>
  <si>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</si>
  <si>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</si>
  <si>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</si>
  <si>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</si>
  <si>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</si>
  <si>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</si>
  <si>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</si>
  <si>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</si>
  <si>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</si>
  <si>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</si>
  <si>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</si>
  <si>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</si>
  <si>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</si>
  <si>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</si>
  <si>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</si>
  <si>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</si>
  <si>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</si>
  <si>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</si>
  <si>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</si>
  <si>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</si>
  <si>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</si>
  <si>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</si>
  <si>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</si>
  <si>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</si>
  <si>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</si>
  <si>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</si>
  <si>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</si>
  <si>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</si>
  <si>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</si>
  <si>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</si>
  <si>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</si>
  <si>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</si>
  <si>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</si>
  <si>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</si>
  <si>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</si>
  <si>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</si>
  <si>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</si>
  <si>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</si>
  <si>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</si>
  <si>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</si>
  <si>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</si>
  <si>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</si>
  <si>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</si>
  <si>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</si>
  <si>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</si>
  <si>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</si>
  <si>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</si>
  <si>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</si>
  <si>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</si>
  <si>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</si>
  <si>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</si>
  <si>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</si>
  <si>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</si>
  <si>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</si>
  <si>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</si>
  <si>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</si>
  <si>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</si>
  <si>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</si>
  <si>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</si>
  <si>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</si>
  <si>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</si>
  <si>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</si>
  <si>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</si>
  <si>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</si>
  <si>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</si>
  <si>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</si>
  <si>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</si>
  <si>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</si>
  <si>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</si>
  <si>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</si>
  <si>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</si>
  <si>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</si>
  <si>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</si>
  <si>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</si>
  <si>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</si>
  <si>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</si>
  <si>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</si>
  <si>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</si>
  <si>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</si>
  <si>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</si>
  <si>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</si>
  <si>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</si>
  <si>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</si>
  <si>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</si>
  <si>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</si>
  <si>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</si>
  <si>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</si>
  <si>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</si>
  <si>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</si>
  <si>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</si>
  <si>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</si>
  <si>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</si>
  <si>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</si>
  <si>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</si>
  <si>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</si>
  <si>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</si>
  <si>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</si>
  <si>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</si>
  <si>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</si>
  <si>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</si>
  <si>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</si>
  <si>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</si>
  <si>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</si>
  <si>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</si>
  <si>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</si>
  <si>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</si>
  <si>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</si>
  <si>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</si>
  <si>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</si>
  <si>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</si>
  <si>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</si>
  <si>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</si>
  <si>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</si>
  <si>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</si>
  <si>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</si>
  <si>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</si>
  <si>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</si>
  <si>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</si>
  <si>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</si>
  <si>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</si>
  <si>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</si>
  <si>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</si>
  <si>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</si>
  <si>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</si>
  <si>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</si>
  <si>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</si>
  <si>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</si>
  <si>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</si>
  <si>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</si>
  <si>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</si>
  <si>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</si>
  <si>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</si>
  <si>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</si>
  <si>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</si>
  <si>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</si>
  <si>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</si>
  <si>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</si>
  <si>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</si>
  <si>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</si>
  <si>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</si>
  <si>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</si>
  <si>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</si>
  <si>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</si>
  <si>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</si>
  <si>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</si>
  <si>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</si>
  <si>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</si>
  <si>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</si>
  <si>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</si>
  <si>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</si>
  <si>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</si>
  <si>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</si>
  <si>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</si>
  <si>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</si>
  <si>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</si>
  <si>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</si>
  <si>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</si>
  <si>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</si>
  <si>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</si>
  <si>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</si>
  <si>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</si>
  <si>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</si>
  <si>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</si>
  <si>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</si>
  <si>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</si>
  <si>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</si>
  <si>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</si>
  <si>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</si>
  <si>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</si>
  <si>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</si>
  <si>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</si>
  <si>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</si>
  <si>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</si>
  <si>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</si>
  <si>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</si>
  <si>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</si>
  <si>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</si>
  <si>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</si>
  <si>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</si>
  <si>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</si>
  <si>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</si>
  <si>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</si>
  <si>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</si>
  <si>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</si>
  <si>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</si>
  <si>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</si>
  <si>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</si>
  <si>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</si>
  <si>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</si>
  <si>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</si>
  <si>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</si>
  <si>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</si>
  <si>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</si>
  <si>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</si>
  <si>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</si>
  <si>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</si>
  <si>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</si>
  <si>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</si>
  <si>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</si>
  <si>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</si>
  <si>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</si>
  <si>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</si>
  <si>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</si>
  <si>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</si>
  <si>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</si>
  <si>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</si>
  <si>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</si>
  <si>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</si>
  <si>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</si>
  <si>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</si>
  <si>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</si>
  <si>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</si>
  <si>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</si>
  <si>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</si>
  <si>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</si>
  <si>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</si>
  <si>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</si>
  <si>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</si>
  <si>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</si>
  <si>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</si>
  <si>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</si>
  <si>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</si>
  <si>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</si>
  <si>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</si>
  <si>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</si>
  <si>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</si>
  <si>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</si>
  <si>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</si>
  <si>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</si>
  <si>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</si>
  <si>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</si>
  <si>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</si>
  <si>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</si>
  <si>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</si>
  <si>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</si>
  <si>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</si>
  <si>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</si>
  <si>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</si>
  <si>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</si>
  <si>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</si>
  <si>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</si>
  <si>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</si>
  <si>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</si>
  <si>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</si>
  <si>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</si>
  <si>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</si>
  <si>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</si>
  <si>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</si>
  <si>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</si>
  <si>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</si>
  <si>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</si>
  <si>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</si>
  <si>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</si>
  <si>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</si>
  <si>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</si>
  <si>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</si>
  <si>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</si>
  <si>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</si>
  <si>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</si>
  <si>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</si>
  <si>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</si>
  <si>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</si>
  <si>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</si>
  <si>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</si>
  <si>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</si>
  <si>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</si>
  <si>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</si>
  <si>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</si>
  <si>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</si>
  <si>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</si>
  <si>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</si>
  <si>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</si>
  <si>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</si>
  <si>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</si>
  <si>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</si>
  <si>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</si>
  <si>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</si>
  <si>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</si>
  <si>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</si>
  <si>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</si>
  <si>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</si>
  <si>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</si>
  <si>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</si>
  <si>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</si>
  <si>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</si>
  <si>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</si>
  <si>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</si>
  <si>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</si>
  <si>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</si>
  <si>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</si>
  <si>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</si>
  <si>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</si>
  <si>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</si>
  <si>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</si>
  <si>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</si>
  <si>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</si>
  <si>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</si>
  <si>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</si>
  <si>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</si>
  <si>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</si>
  <si>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</si>
  <si>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</si>
  <si>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</si>
  <si>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</si>
  <si>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</si>
  <si>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</si>
  <si>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</si>
  <si>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</si>
  <si>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</si>
  <si>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</si>
  <si>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</si>
  <si>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</si>
  <si>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</si>
  <si>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</si>
  <si>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</si>
  <si>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</si>
  <si>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</si>
  <si>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</si>
  <si>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</si>
  <si>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</si>
  <si>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</si>
  <si>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</si>
  <si>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</si>
  <si>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</si>
  <si>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</si>
  <si>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</si>
  <si>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</si>
  <si>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</si>
  <si>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</si>
  <si>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</si>
  <si>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</si>
  <si>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</si>
  <si>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</si>
  <si>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</si>
  <si>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</si>
  <si>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</si>
  <si>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</si>
  <si>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</si>
  <si>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</si>
  <si>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</si>
  <si>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</si>
  <si>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</si>
  <si>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</si>
  <si>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</si>
  <si>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</si>
  <si>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</si>
  <si>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</si>
  <si>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</si>
  <si>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</si>
  <si>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</si>
  <si>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</si>
  <si>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</si>
  <si>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</si>
  <si>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</si>
  <si>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</si>
  <si>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</si>
  <si>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</si>
  <si>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</si>
  <si>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</si>
  <si>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</si>
  <si>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</si>
  <si>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</si>
  <si>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</si>
  <si>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</si>
  <si>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</si>
  <si>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</si>
  <si>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</si>
  <si>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</si>
  <si>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</si>
  <si>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</si>
  <si>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</si>
  <si>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</si>
  <si>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</si>
  <si>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</si>
  <si>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</si>
  <si>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</si>
  <si>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</si>
  <si>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</si>
  <si>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</si>
  <si>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</si>
  <si>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</si>
  <si>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</si>
  <si>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</si>
  <si>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</si>
  <si>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</si>
  <si>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</si>
  <si>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</si>
  <si>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</si>
  <si>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</si>
  <si>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</si>
  <si>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</si>
  <si>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</si>
  <si>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</si>
  <si>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</si>
  <si>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</si>
  <si>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</si>
  <si>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</si>
  <si>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</si>
  <si>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</si>
  <si>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</si>
  <si>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</si>
  <si>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</si>
  <si>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</si>
  <si>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</si>
  <si>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</si>
  <si>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</si>
  <si>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</si>
  <si>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</si>
  <si>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</si>
  <si>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</si>
  <si>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</si>
  <si>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</si>
  <si>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</si>
  <si>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</si>
  <si>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</si>
  <si>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</si>
  <si>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</si>
  <si>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</si>
  <si>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</si>
  <si>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</si>
  <si>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</si>
  <si>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</si>
  <si>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</si>
  <si>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</si>
  <si>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</si>
  <si>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</si>
  <si>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</si>
  <si>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</si>
  <si>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</si>
  <si>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</si>
  <si>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</si>
  <si>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</si>
  <si>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</si>
  <si>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</si>
  <si>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</si>
  <si>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</si>
  <si>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</si>
  <si>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</si>
  <si>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</si>
  <si>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</si>
  <si>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</si>
  <si>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</si>
  <si>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</si>
  <si>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</si>
  <si>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</si>
  <si>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</si>
  <si>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</si>
  <si>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</si>
  <si>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</si>
  <si>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</si>
  <si>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</si>
  <si>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</si>
  <si>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</si>
  <si>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</si>
  <si>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</si>
  <si>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</si>
  <si>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</si>
  <si>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</si>
  <si>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</si>
  <si>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</si>
  <si>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</si>
  <si>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</si>
  <si>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</si>
  <si>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</si>
  <si>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</si>
  <si>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</si>
  <si>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</si>
  <si>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</si>
  <si>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</si>
  <si>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</si>
  <si>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</si>
  <si>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</si>
  <si>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</si>
  <si>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</si>
  <si>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</si>
  <si>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</si>
  <si>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</si>
  <si>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</si>
  <si>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</si>
  <si>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</si>
  <si>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</si>
  <si>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</si>
  <si>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</si>
  <si>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</si>
  <si>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</si>
  <si>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</si>
  <si>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</si>
  <si>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</si>
  <si>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</si>
  <si>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</si>
  <si>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</si>
  <si>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</si>
  <si>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</si>
  <si>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</si>
  <si>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</si>
  <si>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</si>
  <si>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</si>
  <si>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</si>
  <si>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</si>
  <si>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</si>
  <si>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</si>
  <si>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</si>
  <si>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</si>
  <si>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</si>
  <si>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</si>
  <si>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</si>
  <si>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</si>
  <si>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</si>
  <si>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</si>
  <si>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</si>
  <si>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</si>
  <si>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</si>
  <si>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</si>
  <si>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</si>
  <si>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</si>
  <si>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</si>
  <si>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</si>
  <si>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</si>
  <si>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</si>
  <si>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</si>
  <si>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</si>
  <si>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</si>
  <si>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</si>
  <si>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</si>
  <si>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</si>
  <si>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</si>
  <si>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</si>
  <si>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</si>
  <si>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</si>
  <si>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</si>
  <si>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</si>
  <si>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</si>
  <si>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</si>
  <si>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</si>
  <si>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</si>
  <si>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</si>
  <si>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</si>
  <si>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</si>
  <si>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</si>
  <si>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</si>
  <si>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</si>
  <si>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</si>
  <si>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</si>
  <si>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</si>
  <si>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</si>
  <si>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</si>
  <si>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</si>
  <si>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</si>
  <si>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</si>
  <si>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</si>
  <si>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</si>
  <si>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</si>
  <si>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</si>
  <si>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</si>
  <si>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</si>
  <si>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</si>
  <si>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</si>
  <si>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</si>
  <si>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</si>
  <si>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</si>
  <si>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</si>
  <si>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</si>
  <si>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</si>
  <si>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</si>
  <si>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</si>
  <si>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</si>
  <si>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</si>
  <si>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</si>
  <si>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</si>
  <si>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</si>
  <si>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</si>
  <si>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</si>
  <si>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</si>
  <si>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</si>
  <si>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</si>
  <si>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</si>
  <si>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</si>
  <si>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</si>
  <si>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</si>
  <si>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</si>
  <si>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</si>
  <si>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</si>
  <si>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</si>
  <si>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</si>
  <si>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</si>
  <si>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</si>
  <si>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</si>
  <si>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</si>
  <si>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</si>
  <si>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</si>
  <si>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</si>
  <si>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</si>
  <si>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</si>
  <si>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</si>
  <si>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</si>
  <si>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</si>
  <si>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</si>
  <si>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</si>
  <si>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</si>
  <si>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</si>
  <si>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</si>
  <si>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</si>
  <si>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</si>
  <si>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</si>
  <si>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</si>
  <si>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</si>
  <si>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</si>
  <si>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</si>
  <si>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</si>
  <si>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</si>
  <si>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</si>
  <si>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</si>
  <si>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</si>
  <si>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</si>
  <si>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</si>
  <si>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</si>
  <si>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</si>
  <si>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</si>
  <si>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</si>
  <si>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</si>
  <si>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</si>
  <si>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</si>
  <si>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</si>
  <si>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</si>
  <si>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</si>
  <si>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</si>
  <si>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</si>
  <si>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</si>
  <si>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</si>
  <si>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</si>
  <si>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</si>
  <si>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</si>
  <si>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</si>
  <si>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</si>
  <si>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</si>
  <si>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</si>
  <si>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</si>
  <si>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</si>
  <si>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</si>
  <si>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</si>
  <si>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</si>
  <si>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</si>
  <si>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</si>
  <si>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</si>
  <si>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</si>
  <si>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</si>
  <si>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</si>
  <si>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</si>
  <si>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</si>
  <si>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</si>
  <si>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</si>
  <si>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</si>
  <si>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</si>
  <si>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</si>
  <si>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</si>
  <si>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</si>
  <si>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</si>
  <si>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</si>
  <si>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</si>
  <si>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</si>
  <si>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</si>
  <si>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</si>
  <si>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</si>
  <si>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</si>
  <si>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</si>
  <si>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</si>
  <si>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</si>
  <si>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</si>
  <si>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</si>
  <si>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</si>
  <si>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</si>
  <si>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</si>
  <si>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</si>
  <si>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</si>
  <si>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</si>
  <si>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</si>
  <si>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</si>
  <si>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</si>
  <si>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</si>
  <si>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</si>
  <si>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</si>
  <si>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</si>
  <si>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</si>
  <si>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</si>
  <si>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</si>
  <si>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</si>
  <si>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</si>
  <si>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</si>
  <si>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</si>
  <si>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</si>
  <si>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</si>
  <si>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</si>
  <si>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</si>
  <si>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</si>
  <si>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</si>
  <si>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</si>
  <si>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</si>
  <si>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</si>
  <si>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</si>
  <si>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</si>
  <si>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</si>
  <si>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</si>
  <si>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</si>
  <si>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</si>
  <si>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</si>
  <si>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</si>
  <si>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</si>
  <si>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</si>
  <si>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</si>
  <si>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</si>
  <si>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</si>
  <si>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</si>
  <si>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</si>
  <si>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</si>
  <si>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</si>
  <si>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</si>
  <si>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</si>
  <si>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</si>
  <si>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</si>
  <si>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</si>
  <si>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</si>
  <si>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</si>
  <si>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</si>
  <si>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</si>
  <si>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</si>
  <si>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</si>
  <si>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</si>
  <si>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</si>
  <si>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</si>
  <si>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</si>
  <si>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</si>
  <si>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</si>
  <si>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</si>
  <si>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</si>
  <si>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</si>
  <si>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</si>
  <si>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</si>
  <si>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</si>
  <si>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</si>
  <si>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</si>
  <si>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</si>
  <si>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</si>
  <si>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</si>
  <si>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</si>
  <si>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</si>
  <si>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</si>
  <si>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</si>
  <si>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</si>
  <si>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</si>
  <si>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</si>
  <si>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</si>
  <si>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</si>
  <si>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</si>
  <si>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</si>
  <si>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</si>
  <si>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</si>
  <si>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</si>
  <si>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</si>
  <si>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</si>
  <si>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</si>
  <si>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</si>
  <si>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</si>
  <si>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</si>
  <si>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</si>
  <si>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</si>
  <si>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</si>
  <si>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</si>
  <si>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</si>
  <si>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</si>
  <si>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</si>
  <si>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</si>
  <si>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</si>
  <si>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</si>
  <si>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</si>
  <si>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</si>
  <si>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</si>
  <si>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</si>
  <si>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</si>
  <si>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</si>
  <si>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</si>
  <si>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</si>
  <si>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</si>
  <si>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</si>
  <si>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</si>
  <si>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</si>
  <si>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</si>
  <si>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</si>
  <si>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</si>
  <si>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</si>
  <si>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</si>
  <si>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</si>
  <si>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</si>
  <si>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</si>
  <si>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</si>
  <si>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</si>
  <si>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</si>
  <si>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</si>
  <si>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</si>
  <si>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</si>
  <si>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</si>
  <si>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</si>
  <si>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</si>
  <si>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</si>
  <si>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</si>
  <si>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</si>
  <si>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</si>
  <si>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</si>
  <si>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</si>
  <si>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</si>
  <si>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</si>
  <si>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</si>
  <si>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</si>
  <si>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</si>
  <si>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</si>
  <si>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</si>
  <si>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</si>
  <si>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</si>
  <si>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</si>
  <si>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</si>
  <si>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</si>
  <si>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</si>
  <si>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</si>
  <si>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</si>
  <si>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</si>
  <si>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</si>
  <si>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</si>
  <si>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</si>
  <si>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</si>
  <si>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</si>
  <si>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</si>
  <si>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</si>
  <si>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</si>
  <si>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</si>
  <si>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</si>
  <si>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</si>
  <si>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</si>
  <si>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</si>
  <si>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</si>
  <si>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</si>
  <si>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</si>
  <si>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</si>
  <si>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</si>
  <si>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</si>
  <si>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</si>
  <si>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</si>
  <si>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</si>
  <si>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</si>
  <si>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</si>
  <si>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</si>
  <si>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</si>
  <si>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</si>
  <si>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</si>
  <si>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</si>
  <si>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</si>
  <si>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</si>
  <si>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</si>
  <si>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</si>
  <si>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</si>
  <si>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</si>
  <si>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</si>
  <si>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</si>
  <si>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</si>
  <si>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</si>
  <si>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</si>
  <si>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</si>
  <si>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</si>
  <si>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</si>
  <si>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</si>
  <si>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</si>
  <si>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</si>
  <si>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</si>
  <si>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</si>
  <si>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</si>
  <si>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</si>
  <si>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</si>
  <si>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</si>
  <si>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</si>
  <si>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</si>
  <si>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</si>
  <si>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</si>
  <si>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</si>
  <si>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</si>
  <si>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</si>
  <si>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</si>
  <si>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</si>
  <si>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</si>
  <si>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</si>
  <si>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</si>
  <si>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</si>
  <si>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</si>
  <si>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</si>
  <si>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</si>
  <si>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</si>
  <si>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</si>
  <si>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</si>
  <si>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</si>
  <si>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</si>
  <si>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</si>
  <si>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</si>
  <si>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</si>
  <si>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</si>
  <si>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</si>
  <si>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</si>
  <si>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</si>
  <si>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</si>
  <si>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</si>
  <si>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</si>
  <si>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</si>
  <si>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</si>
  <si>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</si>
  <si>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</si>
  <si>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</si>
  <si>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</si>
  <si>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</si>
  <si>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</si>
  <si>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</si>
  <si>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</si>
  <si>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</si>
  <si>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</si>
  <si>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</si>
  <si>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</si>
  <si>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</si>
  <si>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</si>
  <si>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</si>
  <si>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</si>
  <si>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</si>
  <si>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</si>
  <si>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</si>
  <si>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</si>
  <si>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</si>
  <si>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</si>
  <si>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</si>
  <si>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</si>
  <si>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</si>
  <si>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</si>
  <si>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</si>
  <si>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</si>
  <si>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</si>
  <si>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</si>
  <si>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</si>
  <si>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</si>
  <si>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</si>
  <si>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</si>
  <si>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</si>
  <si>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</si>
  <si>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</si>
  <si>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</si>
  <si>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</si>
  <si>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</si>
  <si>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</si>
  <si>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</si>
  <si>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</si>
  <si>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</si>
  <si>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</si>
  <si>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</si>
  <si>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</si>
  <si>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</si>
  <si>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</si>
  <si>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</si>
  <si>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</si>
  <si>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</si>
  <si>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</si>
  <si>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</si>
  <si>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</si>
  <si>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</si>
  <si>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</si>
  <si>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</si>
  <si>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</si>
  <si>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</si>
  <si>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</si>
  <si>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</si>
  <si>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</si>
  <si>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</si>
  <si>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</si>
  <si>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</si>
  <si>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</si>
  <si>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</si>
  <si>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</si>
  <si>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</si>
  <si>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</si>
  <si>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</si>
  <si>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</si>
  <si>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</si>
  <si>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</si>
  <si>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</si>
  <si>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</si>
  <si>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</si>
  <si>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</si>
  <si>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</si>
  <si>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</si>
  <si>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</si>
  <si>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</si>
  <si>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</si>
  <si>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</si>
  <si>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</si>
  <si>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</si>
  <si>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</si>
  <si>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</si>
  <si>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</si>
  <si>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</si>
  <si>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</si>
  <si>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</si>
  <si>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</si>
  <si>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</si>
  <si>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</si>
  <si>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</si>
  <si>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</si>
  <si>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</si>
  <si>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</si>
  <si>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</si>
  <si>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</si>
  <si>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</si>
  <si>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</si>
  <si>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</si>
  <si>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</si>
  <si>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</si>
  <si>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</si>
  <si>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</si>
  <si>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</si>
  <si>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</si>
  <si>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</si>
  <si>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</si>
  <si>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</si>
  <si>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</si>
  <si>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</si>
  <si>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</si>
  <si>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</si>
  <si>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</si>
  <si>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</si>
  <si>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</si>
  <si>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</si>
  <si>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</si>
  <si>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</si>
  <si>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</si>
  <si>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</si>
  <si>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</si>
  <si>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</si>
  <si>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</si>
  <si>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</si>
  <si>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</si>
  <si>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</si>
  <si>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</si>
  <si>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</si>
  <si>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</si>
  <si>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</si>
  <si>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</si>
  <si>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</si>
  <si>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</si>
  <si>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</si>
  <si>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</si>
  <si>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</si>
  <si>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</si>
  <si>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</si>
  <si>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</si>
  <si>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</si>
  <si>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</si>
  <si>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</si>
  <si>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</si>
  <si>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</si>
  <si>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</si>
  <si>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</si>
  <si>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</si>
  <si>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</si>
  <si>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</si>
  <si>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</si>
  <si>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</si>
  <si>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</si>
  <si>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</si>
  <si>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</si>
  <si>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</si>
  <si>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</si>
  <si>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</si>
  <si>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</si>
  <si>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</si>
  <si>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</si>
  <si>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</si>
  <si>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</si>
  <si>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</si>
  <si>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</si>
  <si>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</si>
  <si>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</si>
  <si>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</si>
  <si>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</si>
  <si>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</si>
  <si>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</si>
  <si>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</si>
  <si>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</si>
  <si>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</si>
  <si>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</si>
  <si>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</si>
  <si>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</si>
  <si>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</si>
  <si>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</si>
  <si>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</si>
  <si>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</si>
  <si>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</si>
  <si>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</si>
  <si>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</si>
  <si>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</si>
  <si>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</si>
  <si>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</si>
  <si>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</si>
  <si>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</si>
  <si>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</si>
  <si>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</si>
  <si>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</si>
  <si>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</si>
  <si>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</si>
  <si>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</si>
  <si>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</si>
  <si>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</si>
  <si>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</si>
  <si>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</si>
  <si>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</si>
  <si>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</si>
  <si>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</si>
  <si>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</si>
  <si>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</si>
  <si>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</si>
  <si>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</si>
  <si>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</si>
  <si>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</si>
  <si>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</si>
  <si>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</si>
  <si>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</si>
  <si>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</si>
  <si>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</si>
  <si>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</si>
  <si>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</si>
  <si>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</si>
  <si>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</si>
  <si>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</si>
  <si>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</si>
  <si>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</si>
  <si>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</si>
  <si>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</si>
  <si>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</si>
  <si>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</si>
  <si>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</si>
  <si>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</si>
  <si>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</si>
  <si>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</si>
  <si>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</si>
  <si>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</si>
  <si>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</si>
  <si>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</si>
  <si>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</si>
  <si>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</si>
  <si>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</si>
  <si>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</si>
  <si>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</si>
  <si>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</si>
  <si>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</si>
  <si>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</si>
  <si>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</si>
  <si>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</si>
  <si>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</si>
  <si>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</si>
  <si>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</si>
  <si>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</si>
  <si>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</si>
  <si>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</si>
  <si>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</si>
  <si>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</si>
  <si>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</si>
  <si>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</si>
  <si>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</si>
  <si>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</si>
  <si>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</si>
  <si>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</si>
  <si>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</si>
  <si>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</si>
  <si>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</si>
  <si>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</si>
  <si>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</si>
  <si>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</si>
  <si>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</si>
  <si>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</si>
  <si>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</si>
  <si>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</si>
  <si>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</si>
  <si>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</si>
  <si>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</si>
  <si>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</si>
  <si>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</si>
  <si>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</si>
  <si>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</si>
  <si>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</si>
  <si>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</si>
  <si>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</si>
  <si>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</si>
  <si>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</si>
  <si>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</si>
  <si>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</si>
  <si>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</si>
  <si>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</si>
  <si>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</si>
  <si>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</si>
  <si>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</si>
  <si>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</si>
  <si>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</si>
  <si>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</si>
  <si>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</si>
  <si>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</si>
  <si>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</si>
  <si>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</si>
  <si>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</si>
  <si>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</si>
  <si>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</si>
  <si>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</si>
  <si>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</si>
  <si>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</si>
  <si>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</si>
  <si>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</si>
  <si>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</si>
  <si>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</si>
  <si>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</si>
  <si>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</si>
  <si>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</si>
  <si>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</si>
  <si>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</si>
  <si>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</si>
  <si>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</si>
  <si>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</si>
  <si>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</si>
  <si>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</si>
  <si>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</si>
  <si>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</si>
  <si>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</si>
  <si>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</si>
  <si>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</si>
  <si>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</si>
  <si>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</si>
  <si>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</si>
  <si>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</si>
  <si>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</si>
  <si>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</si>
  <si>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</si>
  <si>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</si>
  <si>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</si>
  <si>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</si>
  <si>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</si>
  <si>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</si>
  <si>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</si>
  <si>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</si>
  <si>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</si>
  <si>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</si>
  <si>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</si>
  <si>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</si>
  <si>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</si>
  <si>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</si>
  <si>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</si>
  <si>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</si>
  <si>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</si>
  <si>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</si>
  <si>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</si>
  <si>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</si>
  <si>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</si>
  <si>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</si>
  <si>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</si>
  <si>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</si>
  <si>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</si>
  <si>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</si>
  <si>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</si>
  <si>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</si>
  <si>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</si>
  <si>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</si>
  <si>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</si>
  <si>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</si>
  <si>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</si>
  <si>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</si>
  <si>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</si>
  <si>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</si>
  <si>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</si>
  <si>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</si>
  <si>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</si>
  <si>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</si>
  <si>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</si>
  <si>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</si>
  <si>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</si>
  <si>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</si>
  <si>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</si>
  <si>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</si>
  <si>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</si>
  <si>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</si>
  <si>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</si>
  <si>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</si>
  <si>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</si>
  <si>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</si>
  <si>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</si>
  <si>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</si>
  <si>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</si>
  <si>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</si>
  <si>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</si>
  <si>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</si>
  <si>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</si>
  <si>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</si>
  <si>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</si>
  <si>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</si>
  <si>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</si>
  <si>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</si>
  <si>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</si>
  <si>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</si>
  <si>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</si>
  <si>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</si>
  <si>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</si>
  <si>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</si>
  <si>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</si>
  <si>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</si>
  <si>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</si>
  <si>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</si>
  <si>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</si>
  <si>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</si>
  <si>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</si>
  <si>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</si>
  <si>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</si>
  <si>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</si>
  <si>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</si>
  <si>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</si>
  <si>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</si>
  <si>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</si>
  <si>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</si>
  <si>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</si>
  <si>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</si>
  <si>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</si>
  <si>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</si>
  <si>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</si>
  <si>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</si>
  <si>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</si>
  <si>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</si>
  <si>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</si>
  <si>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</si>
  <si>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</si>
  <si>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</si>
  <si>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</si>
  <si>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</si>
  <si>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</si>
  <si>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</si>
  <si>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</si>
  <si>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</si>
  <si>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</si>
  <si>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</si>
  <si>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</si>
  <si>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</si>
  <si>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</si>
  <si>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</si>
  <si>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</si>
  <si>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</si>
  <si>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</si>
  <si>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</si>
  <si>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</si>
  <si>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</si>
  <si>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</si>
  <si>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</si>
  <si>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</si>
  <si>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</si>
  <si>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</si>
  <si>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</si>
  <si>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</si>
  <si>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</si>
  <si>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</si>
  <si>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</si>
  <si>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</si>
  <si>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</si>
  <si>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</si>
  <si>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</si>
  <si>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</si>
  <si>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</si>
  <si>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</si>
  <si>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</si>
  <si>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</si>
  <si>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</si>
  <si>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</si>
  <si>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</si>
  <si>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</si>
  <si>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</si>
  <si>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</si>
  <si>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</si>
  <si>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</si>
  <si>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</si>
  <si>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</si>
  <si>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</si>
  <si>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</si>
  <si>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</si>
  <si>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</si>
  <si>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</si>
  <si>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</si>
  <si>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</si>
  <si>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</si>
  <si>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</si>
  <si>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</si>
  <si>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</si>
  <si>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</si>
  <si>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</si>
  <si>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</si>
  <si>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</si>
  <si>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</si>
  <si>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</si>
  <si>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</si>
  <si>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</si>
  <si>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</si>
  <si>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</si>
  <si>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</si>
  <si>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</si>
  <si>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</si>
  <si>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</si>
  <si>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</si>
  <si>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</si>
  <si>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</si>
  <si>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</si>
  <si>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</si>
  <si>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</si>
  <si>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</si>
  <si>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</si>
  <si>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</si>
  <si>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</si>
  <si>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</si>
  <si>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</si>
  <si>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</si>
  <si>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</si>
  <si>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</si>
  <si>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</si>
  <si>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</si>
  <si>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</si>
  <si>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</si>
  <si>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</si>
  <si>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</si>
  <si>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</si>
  <si>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</si>
  <si>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</si>
  <si>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</si>
  <si>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</si>
  <si>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</si>
  <si>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</si>
  <si>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</si>
  <si>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</si>
  <si>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</si>
  <si>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</si>
  <si>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</si>
  <si>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</si>
  <si>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</si>
  <si>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</si>
  <si>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</si>
  <si>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</si>
  <si>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</si>
  <si>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</si>
  <si>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</si>
  <si>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</si>
  <si>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</si>
  <si>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</si>
  <si>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</si>
  <si>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</si>
  <si>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</si>
  <si>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</si>
  <si>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</si>
  <si>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</si>
  <si>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</si>
  <si>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</si>
  <si>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</si>
  <si>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</si>
  <si>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</si>
  <si>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</si>
  <si>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</si>
  <si>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</si>
  <si>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</si>
  <si>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</si>
  <si>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</si>
  <si>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</si>
  <si>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</si>
  <si>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</si>
  <si>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</si>
  <si>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</si>
  <si>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</si>
  <si>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</si>
  <si>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</si>
  <si>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</si>
  <si>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</si>
  <si>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</si>
  <si>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</si>
  <si>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</si>
  <si>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</si>
  <si>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</si>
  <si>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</si>
  <si>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</si>
  <si>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</si>
  <si>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</si>
  <si>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</si>
  <si>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</si>
  <si>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</si>
  <si>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</si>
  <si>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</si>
  <si>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</si>
  <si>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</si>
  <si>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</si>
  <si>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</si>
  <si>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</si>
  <si>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</si>
  <si>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</si>
  <si>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</si>
  <si>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</si>
  <si>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</si>
  <si>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</si>
  <si>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</si>
  <si>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</si>
  <si>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</si>
  <si>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</si>
  <si>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</si>
  <si>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</si>
  <si>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</si>
  <si>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</si>
  <si>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</si>
  <si>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</si>
  <si>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</si>
  <si>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</si>
  <si>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</si>
  <si>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</si>
  <si>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</si>
  <si>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</si>
  <si>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</si>
  <si>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</si>
  <si>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</si>
  <si>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</si>
  <si>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</si>
  <si>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</si>
  <si>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</si>
  <si>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</si>
  <si>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</si>
  <si>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</si>
  <si>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</si>
  <si>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</si>
  <si>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</si>
  <si>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</si>
  <si>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</si>
  <si>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</si>
  <si>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</si>
  <si>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</si>
  <si>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</si>
  <si>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</si>
  <si>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</si>
  <si>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</si>
  <si>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</si>
  <si>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</si>
  <si>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</si>
  <si>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</si>
  <si>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</si>
  <si>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</si>
  <si>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</si>
  <si>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</si>
  <si>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</si>
  <si>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</si>
  <si>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</si>
  <si>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</si>
  <si>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</si>
  <si>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</si>
  <si>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</si>
  <si>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</si>
  <si>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</si>
  <si>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</si>
  <si>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</si>
  <si>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</si>
  <si>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</si>
  <si>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</si>
  <si>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</si>
  <si>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</si>
  <si>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</si>
  <si>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</si>
  <si>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</si>
  <si>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</si>
  <si>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</si>
  <si>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</si>
  <si>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</si>
  <si>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</si>
  <si>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</si>
  <si>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</si>
  <si>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</si>
  <si>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</si>
  <si>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</si>
  <si>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</si>
  <si>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</si>
  <si>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</si>
  <si>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</si>
  <si>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</si>
  <si>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</si>
  <si>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</si>
  <si>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</si>
  <si>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</si>
  <si>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</si>
  <si>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</si>
  <si>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</si>
  <si>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</si>
  <si>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</si>
  <si>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</si>
  <si>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</si>
  <si>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</si>
  <si>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</si>
  <si>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</si>
  <si>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</si>
  <si>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</si>
  <si>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</si>
  <si>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</si>
  <si>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</si>
  <si>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</si>
  <si>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</si>
  <si>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</si>
  <si>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</si>
  <si>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</si>
  <si>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</si>
  <si>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</si>
  <si>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</si>
  <si>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</si>
  <si>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</si>
  <si>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</si>
  <si>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</si>
  <si>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</si>
  <si>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</si>
  <si>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</si>
  <si>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</si>
  <si>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</si>
  <si>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</si>
  <si>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t>36#1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36-14</t>
    </r>
    <phoneticPr fontId="3" type="noConversion"/>
  </si>
  <si>
    <r>
      <t>36#3</t>
    </r>
    <r>
      <rPr>
        <sz val="10"/>
        <color indexed="8"/>
        <rFont val="宋体"/>
        <family val="3"/>
        <charset val="134"/>
      </rPr>
      <t>层</t>
    </r>
    <r>
      <rPr>
        <sz val="10"/>
        <color indexed="8"/>
        <rFont val="Arial"/>
        <family val="2"/>
      </rPr>
      <t>315</t>
    </r>
    <phoneticPr fontId="3" type="noConversion"/>
  </si>
  <si>
    <r>
      <t>36#3</t>
    </r>
    <r>
      <rPr>
        <sz val="10"/>
        <color indexed="8"/>
        <rFont val="宋体"/>
        <family val="3"/>
        <charset val="134"/>
      </rPr>
      <t>层</t>
    </r>
    <r>
      <rPr>
        <sz val="10"/>
        <color indexed="8"/>
        <rFont val="Arial"/>
        <family val="2"/>
      </rPr>
      <t>313</t>
    </r>
    <phoneticPr fontId="3" type="noConversion"/>
  </si>
  <si>
    <r>
      <t>36#3</t>
    </r>
    <r>
      <rPr>
        <sz val="10"/>
        <color indexed="8"/>
        <rFont val="宋体"/>
        <family val="3"/>
        <charset val="134"/>
      </rPr>
      <t>层</t>
    </r>
    <r>
      <rPr>
        <sz val="10"/>
        <color indexed="8"/>
        <rFont val="Arial"/>
        <family val="2"/>
      </rPr>
      <t>314</t>
    </r>
    <phoneticPr fontId="3" type="noConversion"/>
  </si>
  <si>
    <r>
      <t>36#3</t>
    </r>
    <r>
      <rPr>
        <sz val="10"/>
        <color indexed="8"/>
        <rFont val="宋体"/>
        <family val="3"/>
        <charset val="134"/>
      </rPr>
      <t>层</t>
    </r>
    <r>
      <rPr>
        <sz val="10"/>
        <color indexed="8"/>
        <rFont val="Arial"/>
        <family val="2"/>
      </rPr>
      <t>316</t>
    </r>
    <phoneticPr fontId="3" type="noConversion"/>
  </si>
  <si>
    <r>
      <t>36#3</t>
    </r>
    <r>
      <rPr>
        <sz val="10"/>
        <color indexed="8"/>
        <rFont val="宋体"/>
        <family val="3"/>
        <charset val="134"/>
      </rPr>
      <t>层</t>
    </r>
    <r>
      <rPr>
        <sz val="10"/>
        <color indexed="8"/>
        <rFont val="Arial"/>
        <family val="2"/>
      </rPr>
      <t>312</t>
    </r>
    <phoneticPr fontId="3" type="noConversion"/>
  </si>
  <si>
    <t>是</t>
  </si>
  <si>
    <t>地上</t>
  </si>
  <si>
    <t>成新度</t>
  </si>
  <si>
    <t>收益法 (元)</t>
  </si>
  <si>
    <t>未包含在土地购买价格中</t>
  </si>
  <si>
    <t>已包含在土地取得成本中</t>
  </si>
  <si>
    <t>Ⅸ-密1</t>
  </si>
  <si>
    <t>自定义容积率</t>
  </si>
  <si>
    <t>不临65条商业街</t>
  </si>
  <si>
    <t>楼层修正</t>
  </si>
  <si>
    <t>较好</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</si>
  <si>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</si>
  <si>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</si>
  <si>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</si>
  <si>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t>面积</t>
    <phoneticPr fontId="3" type="noConversion"/>
  </si>
  <si>
    <t>系数</t>
    <phoneticPr fontId="3" type="noConversion"/>
  </si>
  <si>
    <t>钢混</t>
  </si>
  <si>
    <t>非生产用房</t>
  </si>
  <si>
    <t>否</t>
  </si>
  <si>
    <t>押一</t>
  </si>
  <si>
    <t>康馨雅苑</t>
    <phoneticPr fontId="3" type="noConversion"/>
  </si>
  <si>
    <t>通城胡同</t>
  </si>
  <si>
    <t>建材城阳光街</t>
  </si>
  <si>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</si>
  <si>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</si>
  <si>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</si>
  <si>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1-2</t>
    </r>
    <r>
      <rPr>
        <sz val="11"/>
        <color indexed="8"/>
        <rFont val="宋体"/>
        <family val="3"/>
        <charset val="134"/>
      </rPr>
      <t>层</t>
    </r>
    <phoneticPr fontId="3" type="noConversion"/>
  </si>
  <si>
    <r>
      <t>1-3</t>
    </r>
    <r>
      <rPr>
        <sz val="11"/>
        <color indexed="8"/>
        <rFont val="宋体"/>
        <family val="3"/>
        <charset val="134"/>
      </rPr>
      <t>层</t>
    </r>
    <phoneticPr fontId="3" type="noConversion"/>
  </si>
  <si>
    <t>1-3层</t>
  </si>
  <si>
    <t>1-2层</t>
  </si>
  <si>
    <t>单套模式</t>
  </si>
  <si>
    <t>售价</t>
  </si>
  <si>
    <t>比较法-商业</t>
  </si>
  <si>
    <t>1层</t>
  </si>
  <si>
    <t>一层商业</t>
  </si>
  <si>
    <t>一层商业</t>
    <phoneticPr fontId="7" type="noConversion"/>
  </si>
  <si>
    <t>其他</t>
    <phoneticPr fontId="7"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</si>
  <si>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</si>
  <si>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</si>
  <si>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</si>
  <si>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</si>
  <si>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</si>
  <si>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面积</t>
    <phoneticPr fontId="134" type="noConversion"/>
  </si>
  <si>
    <t>总价</t>
    <phoneticPr fontId="134" type="noConversion"/>
  </si>
  <si>
    <t>单价</t>
    <phoneticPr fontId="134" type="noConversion"/>
  </si>
  <si>
    <t>楼层</t>
    <phoneticPr fontId="134" type="noConversion"/>
  </si>
  <si>
    <t>租金</t>
    <phoneticPr fontId="134" type="noConversion"/>
  </si>
  <si>
    <r>
      <t>1</t>
    </r>
    <r>
      <rPr>
        <sz val="11"/>
        <color theme="1"/>
        <rFont val="宋体"/>
        <family val="3"/>
        <charset val="134"/>
        <scheme val="minor"/>
      </rPr>
      <t>-2层</t>
    </r>
    <phoneticPr fontId="134" type="noConversion"/>
  </si>
  <si>
    <t>康馨雅苑</t>
    <phoneticPr fontId="134" type="noConversion"/>
  </si>
  <si>
    <r>
      <t>已成交，1</t>
    </r>
    <r>
      <rPr>
        <sz val="11"/>
        <color theme="1"/>
        <rFont val="宋体"/>
        <family val="3"/>
        <charset val="134"/>
        <scheme val="minor"/>
      </rPr>
      <t>95万卖出</t>
    </r>
    <phoneticPr fontId="134" type="noConversion"/>
  </si>
  <si>
    <t>通城胡同</t>
    <phoneticPr fontId="134" type="noConversion"/>
  </si>
  <si>
    <t>挂牌185，最低175</t>
    <phoneticPr fontId="134" type="noConversion"/>
  </si>
  <si>
    <t>1-3层</t>
    <phoneticPr fontId="134" type="noConversion"/>
  </si>
  <si>
    <t>建材城阳光街</t>
    <phoneticPr fontId="134" type="noConversion"/>
  </si>
  <si>
    <t>挂牌280，最低270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</si>
</sst>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 xfId="0"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446163</xdr:colOff>
      <xdr:row>48</xdr:row>
      <xdr:rowOff>75162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04763" cy="8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估价对象为北京市房地产，为所有。根据《国有土地使用证》[]，估价对象（分摊）出让国有建设用地使用权面积为0平方米，建筑面积为485.46平方米。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估价对象为北京市房地产,属开发建设的，该项目尚在开发建设中。根据《国有土地使用证》[]，估价对象（分摊）出让国有建设用地使用权面积为0平方米，规划建筑面积为485.46平方米。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2023年7月24日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485.45999999999992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1" t="s">
        <v>2583</v>
      </c>
      <c r="J2" s="3501"/>
      <c r="K2" s="3501"/>
      <c r="L2" s="3501"/>
      <c r="M2" s="3501"/>
      <c r="N2" s="3501"/>
      <c r="O2" s="3501"/>
      <c r="P2" s="3501"/>
      <c r="Q2" s="3501"/>
      <c r="R2" s="3501"/>
    </row>
    <row r="3" spans="1:18">
      <c r="A3" s="3019" t="s">
        <v>2504</v>
      </c>
      <c r="B3" s="3020">
        <f>项目基本情况!D3</f>
        <v>45131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v>
      </c>
      <c r="D5" s="3024">
        <f>IF(ISERROR(ROUND(POWER(1+E5,A5-C5)*(POWER(1+E5,C5)-1)/(POWER(1+E5,A5)-1),3)),0,ROUND(POWER(1+E5,A5-C5)*(POWER(1+E5,C5)-1)/(POWER(1+E5,A5)-1),4))</f>
        <v>0.15770000000000001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13.41</v>
      </c>
      <c r="D6" s="3024">
        <f>IF(ISERROR(ROUND(POWER(1+E6,A6-C6)*(POWER(1+E6,C6)-1)/(POWER(1+E6,A6)-1),3)),0,ROUND(POWER(1+E6,A6-C6)*(POWER(1+E6,C6)-1)/(POWER(1+E6,A6)-1),4))</f>
        <v>0.47599999999999998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33.43</v>
      </c>
      <c r="D7" s="3024">
        <f>IF(ISERROR(ROUND(POWER(1+E7,A7-C7)*(POWER(1+E7,C7)-1)/(POWER(1+E7,A7)-1),3)),0,ROUND(POWER(1+E7,A7-C7)*(POWER(1+E7,C7)-1)/(POWER(1+E7,A7)-1),4))</f>
        <v>0.78059999999999996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27" sqref="K2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2169</v>
      </c>
      <c r="B3" s="2372"/>
      <c r="C3" s="2373" t="s">
        <v>2170</v>
      </c>
      <c r="D3" s="2372">
        <v>45131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13" t="s">
        <v>2176</v>
      </c>
      <c r="E8" s="2390"/>
      <c r="F8" s="2391"/>
      <c r="G8" s="2662"/>
      <c r="H8" s="2662"/>
      <c r="I8" s="2662"/>
      <c r="J8" s="2438"/>
      <c r="K8" s="2613"/>
      <c r="L8" s="2612"/>
      <c r="M8" s="2612"/>
      <c r="N8" s="2438"/>
      <c r="O8" s="2449"/>
      <c r="P8" s="2438"/>
      <c r="Q8" s="2438"/>
      <c r="R8" s="2438"/>
    </row>
    <row r="9" spans="1:30" ht="13.5" thickBot="1">
      <c r="A9" s="2392" t="s">
        <v>2177</v>
      </c>
      <c r="B9" s="2393" t="s">
        <v>3379</v>
      </c>
      <c r="C9" s="2394"/>
      <c r="D9" s="3514"/>
      <c r="E9" s="2393"/>
      <c r="F9" s="2395"/>
      <c r="G9" s="2664"/>
      <c r="H9" s="2664"/>
      <c r="I9" s="2664"/>
      <c r="J9" s="2438"/>
      <c r="K9" s="2615"/>
      <c r="L9" s="2612"/>
      <c r="M9" s="2612"/>
      <c r="N9" s="2438"/>
      <c r="O9" s="2449"/>
      <c r="P9" s="2438"/>
      <c r="Q9" s="2438"/>
      <c r="R9" s="2438"/>
    </row>
    <row r="10" spans="1:30" ht="13.5" thickTop="1">
      <c r="A10" s="2396" t="s">
        <v>2178</v>
      </c>
      <c r="B10" s="2397" t="s">
        <v>3380</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3381</v>
      </c>
      <c r="C11" s="2402"/>
      <c r="D11" s="2403"/>
      <c r="E11" s="2369"/>
      <c r="F11" s="2369"/>
      <c r="G11" s="2369"/>
      <c r="H11" s="2369"/>
      <c r="I11" s="2369"/>
      <c r="J11" s="3060"/>
      <c r="K11" s="3059"/>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3337</v>
      </c>
      <c r="B13" s="2406" t="s">
        <v>2189</v>
      </c>
      <c r="C13" s="855"/>
      <c r="D13" s="855">
        <v>50606</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19"/>
      <c r="B15" s="2408" t="s">
        <v>2191</v>
      </c>
      <c r="C15" s="2409" t="str">
        <f>IF(A13="出让",IF(C13="","",ROUNDDOWN(MIN((C13-$D$3)/365,C14),2)),C14)</f>
        <v/>
      </c>
      <c r="D15" s="2409">
        <f>IF(A13="出让",IF(D13="","",ROUNDDOWN(MIN((D13-$D$3)/365,D14),2)),D14)</f>
        <v>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0"/>
      <c r="C16" s="3521"/>
      <c r="D16" s="3522"/>
      <c r="E16" s="2412" t="s">
        <v>2193</v>
      </c>
      <c r="F16" s="3523"/>
      <c r="G16" s="3524"/>
      <c r="H16" s="3524"/>
      <c r="I16" s="3525"/>
      <c r="J16" s="2438"/>
      <c r="K16" s="2616"/>
      <c r="L16" s="2450"/>
      <c r="M16" s="2450"/>
      <c r="N16" s="2508"/>
      <c r="O16" s="2450"/>
      <c r="P16" s="2508"/>
      <c r="Q16" s="2438"/>
      <c r="R16" s="2438"/>
    </row>
    <row r="17" spans="1:28">
      <c r="A17" s="312" t="s">
        <v>2194</v>
      </c>
      <c r="B17" s="301" t="s">
        <v>2195</v>
      </c>
      <c r="C17" s="8">
        <f>'数据-汇总表'!E3</f>
        <v>485.45999999999992</v>
      </c>
      <c r="D17" s="2321" t="s">
        <v>2196</v>
      </c>
      <c r="E17" s="3526" t="s">
        <v>2197</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9" t="s">
        <v>2201</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6" t="s">
        <v>1055</v>
      </c>
      <c r="B19" s="306"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6" t="s">
        <v>2205</v>
      </c>
      <c r="C20" s="3517"/>
      <c r="D20" s="3518" t="s">
        <v>2206</v>
      </c>
      <c r="E20" s="3519"/>
      <c r="F20" s="2646" t="s">
        <v>1056</v>
      </c>
      <c r="G20" s="2663"/>
      <c r="H20" s="2663"/>
      <c r="I20" s="2663"/>
      <c r="J20" s="2438"/>
      <c r="K20" s="351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3" t="s">
        <v>2213</v>
      </c>
      <c r="B27" s="319"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3"/>
      <c r="B28" s="301"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3"/>
      <c r="B29" s="301"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4"/>
      <c r="B30" s="301" t="s">
        <v>2217</v>
      </c>
      <c r="C30" s="3505"/>
      <c r="D30" s="3506"/>
      <c r="E30" s="2663"/>
      <c r="F30" s="2663"/>
      <c r="G30" s="2663"/>
      <c r="H30" s="2663"/>
      <c r="I30" s="2663"/>
      <c r="J30" s="2438"/>
      <c r="K30" s="2615"/>
      <c r="L30" s="2612"/>
      <c r="M30" s="2612"/>
      <c r="N30" s="2438"/>
      <c r="O30" s="2449"/>
      <c r="P30" s="2438"/>
      <c r="Q30" s="2438"/>
      <c r="R30" s="2438"/>
      <c r="S30" s="2438"/>
      <c r="T30" s="2438"/>
      <c r="U30" s="2438"/>
      <c r="V30" s="2438"/>
    </row>
    <row r="31" spans="1:28">
      <c r="A31" s="3507"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c r="C34" s="2025"/>
      <c r="D34" s="2025"/>
      <c r="E34" s="2025"/>
      <c r="F34" s="2025"/>
      <c r="G34" s="2025"/>
      <c r="H34" s="2025"/>
      <c r="I34" s="2663"/>
      <c r="J34" s="2438"/>
      <c r="K34" s="2426">
        <f>COUNTIF(B34:H34,"——")</f>
        <v>0</v>
      </c>
      <c r="L34" s="322" t="s">
        <v>2220</v>
      </c>
      <c r="M34" s="322" t="s">
        <v>2221</v>
      </c>
      <c r="N34" s="322" t="s">
        <v>2222</v>
      </c>
      <c r="O34" s="322" t="s">
        <v>2223</v>
      </c>
      <c r="P34" s="322" t="s">
        <v>2224</v>
      </c>
      <c r="Q34" s="322" t="s">
        <v>2225</v>
      </c>
      <c r="R34" s="322" t="s">
        <v>2226</v>
      </c>
      <c r="S34" s="3502" t="s">
        <v>2227</v>
      </c>
      <c r="T34" s="2427" t="str">
        <f>NUMBERSTRING(7-K34,1)&amp;"通"</f>
        <v>七通</v>
      </c>
      <c r="U34" s="2438"/>
      <c r="V34" s="2438"/>
    </row>
    <row r="35" spans="1:30">
      <c r="A35" s="2428"/>
      <c r="B35" s="3509" t="s">
        <v>2228</v>
      </c>
      <c r="C35" s="3509"/>
      <c r="D35" s="3509"/>
      <c r="E35" s="3509"/>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2"/>
      <c r="T35" s="328" t="str">
        <f>IF(T34="一通",L35,IF(T34="二通",M35,IF(T34="三通",N35,IF(T34="四通",O35,IF(T34="五通",P35,IF(T34="六通",Q35,R35))))))</f>
        <v>、、、、、、</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485.45999999999992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485.45999999999992</v>
      </c>
      <c r="H5" s="13">
        <f t="shared" ref="H5:AT5" si="0">SUM(H13:H656)</f>
        <v>485.45999999999992</v>
      </c>
      <c r="I5" s="13">
        <f t="shared" si="0"/>
        <v>485.45999999999992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485.45999999999992</v>
      </c>
      <c r="BA5" s="15">
        <f t="shared" si="1"/>
        <v>485.45999999999992</v>
      </c>
      <c r="BB5" s="15">
        <f t="shared" si="1"/>
        <v>485.45999999999992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1050" t="s">
        <v>3382</v>
      </c>
      <c r="D13" s="1624" t="s">
        <v>3388</v>
      </c>
      <c r="E13" s="13">
        <f>IF($C$3="是",ROUND($A$3*G13/$B$3,2),ROUND($A$3*(G13-AT13)/$B$3,2))</f>
        <v>0</v>
      </c>
      <c r="F13" s="29"/>
      <c r="G13" s="30">
        <f>H13+AC13+AT13</f>
        <v>184.14</v>
      </c>
      <c r="H13" s="17">
        <f>SUMIF(I$12:AB$12,"总值",I13:AB13)</f>
        <v>184.14</v>
      </c>
      <c r="I13" s="1625">
        <v>184.14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36#1至2层36-14</v>
      </c>
      <c r="AY13" s="1348">
        <f>ROUND($AY$6*AZ13/$AZ$5,2)</f>
        <v>0</v>
      </c>
      <c r="AZ13" s="13">
        <f>BA13+BL13</f>
        <v>184.14</v>
      </c>
      <c r="BA13" s="13">
        <f>SUM(BB13:BK13)</f>
        <v>184.14</v>
      </c>
      <c r="BB13" s="13">
        <f>IF($D13="是",I13-J13,0)</f>
        <v>184.14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
        <v>3383</v>
      </c>
      <c r="D14" s="1624" t="s">
        <v>3388</v>
      </c>
      <c r="E14" s="13">
        <f>IF($C$3="是",ROUND($A$3*G14/$B$3,2),ROUND($A$3*(G14-AT14)/$B$3,2))</f>
        <v>0</v>
      </c>
      <c r="F14" s="29"/>
      <c r="G14" s="30">
        <f>H14+AC14+AT14</f>
        <v>60.01</v>
      </c>
      <c r="H14" s="17">
        <f>SUMIF(I$12:AB$12,"总值",I14:AB14)</f>
        <v>60.01</v>
      </c>
      <c r="I14" s="1625">
        <v>60.01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36#3层315</v>
      </c>
      <c r="AY14" s="1348">
        <f>ROUND($AY$6*AZ14/$AZ$5,2)</f>
        <v>0</v>
      </c>
      <c r="AZ14" s="13">
        <f>BA14+BL14</f>
        <v>60.01</v>
      </c>
      <c r="BA14" s="13">
        <f>SUM(BB14:BK14)</f>
        <v>60.01</v>
      </c>
      <c r="BB14" s="13">
        <f>IF($D14="是",I14-J14,0)</f>
        <v>60.01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
        <v>3384</v>
      </c>
      <c r="D15" s="1624" t="s">
        <v>3388</v>
      </c>
      <c r="E15" s="13">
        <f>IF($C$3="是",ROUND($A$3*G15/$B$3,2),ROUND($A$3*(G15-AT15)/$B$3,2))</f>
        <v>0</v>
      </c>
      <c r="F15" s="29"/>
      <c r="G15" s="30">
        <f>H15+AC15+AT15</f>
        <v>60.01</v>
      </c>
      <c r="H15" s="17">
        <f>SUMIF(I$12:AB$12,"总值",I15:AB15)</f>
        <v>60.01</v>
      </c>
      <c r="I15" s="1625">
        <v>60.01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36#3层313</v>
      </c>
      <c r="AY15" s="1348">
        <f>ROUND($AY$6*AZ15/$AZ$5,2)</f>
        <v>0</v>
      </c>
      <c r="AZ15" s="13">
        <f>BA15+BL15</f>
        <v>60.01</v>
      </c>
      <c r="BA15" s="13">
        <f>SUM(BB15:BK15)</f>
        <v>60.01</v>
      </c>
      <c r="BB15" s="13">
        <f>IF($D15="是",I15-J15,0)</f>
        <v>60.01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
        <v>3385</v>
      </c>
      <c r="D16" s="1624" t="s">
        <v>3388</v>
      </c>
      <c r="E16" s="13">
        <f>IF($C$3="是",ROUND($A$3*G16/$B$3,2),ROUND($A$3*(G16-AT16)/$B$3,2))</f>
        <v>0</v>
      </c>
      <c r="F16" s="29"/>
      <c r="G16" s="30">
        <f>H16+AC16+AT16</f>
        <v>60.01</v>
      </c>
      <c r="H16" s="17">
        <f>SUMIF(I$12:AB$12,"总值",I16:AB16)</f>
        <v>60.01</v>
      </c>
      <c r="I16" s="1625">
        <v>60.01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36#3层314</v>
      </c>
      <c r="AY16" s="1348">
        <f>ROUND($AY$6*AZ16/$AZ$5,2)</f>
        <v>0</v>
      </c>
      <c r="AZ16" s="13">
        <f>BA16+BL16</f>
        <v>60.01</v>
      </c>
      <c r="BA16" s="13">
        <f>SUM(BB16:BK16)</f>
        <v>60.01</v>
      </c>
      <c r="BB16" s="13">
        <f>IF($D16="是",I16-J16,0)</f>
        <v>60.01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
        <v>3386</v>
      </c>
      <c r="D17" s="1624" t="s">
        <v>3388</v>
      </c>
      <c r="E17" s="13">
        <f>IF($C$3="是",ROUND($A$3*G17/$B$3,2),ROUND($A$3*(G17-AT17)/$B$3,2))</f>
        <v>0</v>
      </c>
      <c r="F17" s="29"/>
      <c r="G17" s="30">
        <f>H17+AC17+AT17</f>
        <v>60.01</v>
      </c>
      <c r="H17" s="17">
        <f>SUMIF(I$12:AB$12,"总值",I17:AB17)</f>
        <v>60.01</v>
      </c>
      <c r="I17" s="1625">
        <v>60.01</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36#3层316</v>
      </c>
      <c r="AY17" s="1348">
        <f>ROUND($AY$6*AZ17/$AZ$5,2)</f>
        <v>0</v>
      </c>
      <c r="AZ17" s="13">
        <f>BA17+BL17</f>
        <v>60.01</v>
      </c>
      <c r="BA17" s="13">
        <f>SUM(BB17:BK17)</f>
        <v>60.01</v>
      </c>
      <c r="BB17" s="13">
        <f>IF($D17="是",I17-J17,0)</f>
        <v>60.01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
        <v>3387</v>
      </c>
      <c r="D18" s="1624" t="s">
        <v>3388</v>
      </c>
      <c r="E18" s="32">
        <f t="shared" ref="E18:E112" si="7">IF($C$3="是",ROUND($A$3*G18/$B$3,2),ROUND($A$3*(G18-AT18)/$B$3,2))</f>
        <v>0</v>
      </c>
      <c r="F18" s="33"/>
      <c r="G18" s="34">
        <f t="shared" ref="G18:G109" si="8">H18+AC18+AT18</f>
        <v>61.28</v>
      </c>
      <c r="H18" s="35">
        <f t="shared" ref="H18:H109" si="9">SUMIF(I$12:AB$12,"总值",I18:AB18)</f>
        <v>61.28</v>
      </c>
      <c r="I18" s="36">
        <v>61.28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36#3层312</v>
      </c>
      <c r="AY18" s="39">
        <f t="shared" ref="AY18:AY109" si="14">ROUND($AY$6*AZ18/$AZ$5,2)</f>
        <v>0</v>
      </c>
      <c r="AZ18" s="32">
        <f t="shared" ref="AZ18:AZ109" si="15">BA18+BL18</f>
        <v>61.28</v>
      </c>
      <c r="BA18" s="32">
        <f t="shared" ref="BA18:BA109" si="16">SUM(BB18:BK18)</f>
        <v>61.28</v>
      </c>
      <c r="BB18" s="32">
        <f t="shared" ref="BB18:BB109" si="17">IF($D18="是",I18-J18,0)</f>
        <v>61.28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1" t="s">
        <v>1131</v>
      </c>
      <c r="B2" s="3541"/>
      <c r="C2" s="3541"/>
      <c r="D2" s="795" t="s">
        <v>1107</v>
      </c>
      <c r="E2" s="1638" t="s">
        <v>1108</v>
      </c>
      <c r="F2" s="2658"/>
      <c r="G2" s="2649"/>
      <c r="H2" s="2650"/>
      <c r="I2" s="2324" t="s">
        <v>1132</v>
      </c>
      <c r="J2" s="2658"/>
      <c r="K2" s="2658"/>
      <c r="L2" s="2658"/>
      <c r="M2" s="2658"/>
      <c r="N2" s="2660"/>
      <c r="O2" s="2658"/>
      <c r="P2" s="2658"/>
    </row>
    <row r="3" spans="1:16" ht="15.75" thickBot="1">
      <c r="A3" s="3542" t="s">
        <v>1105</v>
      </c>
      <c r="B3" s="3542"/>
      <c r="C3" s="3542"/>
      <c r="D3" s="43">
        <f>'数据-基础表'!AY6</f>
        <v>0</v>
      </c>
      <c r="E3" s="43">
        <f>'数据-基础表'!AZ5</f>
        <v>485.45999999999992</v>
      </c>
      <c r="F3" s="2658"/>
      <c r="G3" s="1144"/>
      <c r="H3" s="1025" t="s">
        <v>1106</v>
      </c>
      <c r="I3" s="854" t="e">
        <f>ROUND('数据-基础表'!B3/'数据-基础表'!A3,2)</f>
        <v>#DIV/0!</v>
      </c>
      <c r="J3" s="2658"/>
      <c r="K3" s="2658"/>
      <c r="L3" s="2658"/>
      <c r="M3" s="2658"/>
      <c r="N3" s="2660"/>
      <c r="O3" s="2658"/>
      <c r="P3" s="2658"/>
    </row>
    <row r="4" spans="1:16" ht="15">
      <c r="A4" s="3543"/>
      <c r="B4" s="3544"/>
      <c r="C4" s="354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6" t="s">
        <v>1111</v>
      </c>
      <c r="C6" s="3546"/>
      <c r="D6" s="45">
        <f>ROUND($D$3*E6/$E$3,2)</f>
        <v>0</v>
      </c>
      <c r="E6" s="46">
        <f>E3-E5</f>
        <v>485.45999999999992</v>
      </c>
      <c r="F6" s="2658"/>
      <c r="G6" s="2652" t="s">
        <v>1112</v>
      </c>
      <c r="H6" s="1145" t="s">
        <v>1113</v>
      </c>
      <c r="I6" s="2653" t="e">
        <f>ROUND(F31/D31,2)</f>
        <v>#DIV/0!</v>
      </c>
      <c r="J6" s="2658"/>
      <c r="K6" s="2658"/>
      <c r="L6" s="2658"/>
      <c r="M6" s="2658"/>
      <c r="N6" s="2658"/>
      <c r="O6" s="2658"/>
      <c r="P6" s="2658"/>
    </row>
    <row r="7" spans="1:16" ht="15.75" thickBot="1">
      <c r="A7" s="3538"/>
      <c r="B7" s="3539"/>
      <c r="C7" s="3540"/>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485.45999999999992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485.45999999999992</v>
      </c>
      <c r="F16" s="2658"/>
      <c r="G16" s="2659"/>
      <c r="H16" s="1647" t="s">
        <v>1135</v>
      </c>
      <c r="I16" s="1648"/>
      <c r="J16" s="1138"/>
      <c r="K16" s="3535" t="s">
        <v>1135</v>
      </c>
      <c r="L16" s="3536"/>
      <c r="M16" s="3536"/>
      <c r="N16" s="3536"/>
      <c r="O16" s="3536"/>
      <c r="P16" s="3537"/>
    </row>
    <row r="17" spans="1:19" ht="15">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3423</v>
      </c>
      <c r="D19" s="45">
        <f>ROUND($D$3*E19/$E$3,2)</f>
        <v>0</v>
      </c>
      <c r="E19" s="53">
        <f t="shared" ref="E19:E26" si="1">SUM(F19:G19)</f>
        <v>92.07</v>
      </c>
      <c r="F19" s="2794">
        <f>'数据-基础表'!I13/2</f>
        <v>92.07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92.07</v>
      </c>
    </row>
    <row r="20" spans="1:19">
      <c r="A20" s="1669"/>
      <c r="B20" s="47" t="s">
        <v>1153</v>
      </c>
      <c r="C20" s="3416" t="s">
        <v>3424</v>
      </c>
      <c r="D20" s="45">
        <f t="shared" ref="D20:D26" si="6">ROUND($D$3*E20/$E$3,2)</f>
        <v>0</v>
      </c>
      <c r="E20" s="53">
        <f t="shared" si="1"/>
        <v>92.07</v>
      </c>
      <c r="F20" s="2794">
        <f>F19</f>
        <v>92.07</v>
      </c>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92.07</v>
      </c>
    </row>
    <row r="21" spans="1:19">
      <c r="A21" s="1669"/>
      <c r="B21" s="47" t="s">
        <v>1153</v>
      </c>
      <c r="C21" s="3416" t="s">
        <v>3424</v>
      </c>
      <c r="D21" s="45">
        <f t="shared" si="6"/>
        <v>0</v>
      </c>
      <c r="E21" s="53">
        <f t="shared" si="1"/>
        <v>301.32</v>
      </c>
      <c r="F21" s="2794">
        <f>SUM('数据-取费表'!V21)</f>
        <v>301.32</v>
      </c>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301.32</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485.46</v>
      </c>
      <c r="F27" s="1139">
        <f>IF(SUM(F19:F26)=E8,SUM(F19:F26),"地上面积有误")</f>
        <v>485.46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485.46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485.46</v>
      </c>
      <c r="F31" s="676">
        <f>F27+F30</f>
        <v>485.46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N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45131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一层商业</v>
      </c>
      <c r="B6" s="1712" t="str">
        <f>IF(A6=0,"","经营性")</f>
        <v>经营性</v>
      </c>
      <c r="C6" s="1713" t="s">
        <v>673</v>
      </c>
      <c r="D6" s="857">
        <f>SUMIF(项目基本情况!C$12:I$12,C6,项目基本情况!C$14:I$14)</f>
        <v>40</v>
      </c>
      <c r="E6" s="856">
        <f>IF(B6="","",SUMIF(项目基本情况!C$12:I$12,C6,项目基本情况!C$13:I$13))</f>
        <v>50606</v>
      </c>
      <c r="F6" s="64">
        <f>SUMIF(项目基本情况!C$12:I$12,C6,项目基本情况!C$15:I$15)</f>
        <v>15</v>
      </c>
      <c r="G6" s="65">
        <f>IF(ISERROR(ROUND(POWER(1+H6,D6-F6)*(POWER(1+H6,F6)-1)/(POWER(1+H6,D6)-1),3)),0,ROUND(POWER(1+H6,D6-F6)*(POWER(1+H6,F6)-1)/(POWER(1+H6,D6)-1),3))</f>
        <v>0.60499999999999998</v>
      </c>
      <c r="H6" s="3450">
        <v>0.05</v>
      </c>
      <c r="I6" s="3450">
        <v>5.5E-2</v>
      </c>
      <c r="J6" s="66"/>
      <c r="K6" s="1029">
        <f>SUMIF('数据-汇总表'!C$19:C$33,A6,'数据-汇总表'!E$19:E$33)</f>
        <v>92.07</v>
      </c>
      <c r="L6" s="732">
        <v>3000</v>
      </c>
      <c r="M6" s="67">
        <f t="shared" ref="M6:M14" si="0">ROUND(K6*L6/10000,0)</f>
        <v>28</v>
      </c>
      <c r="N6" s="730">
        <f>1-(2023-2000)/60</f>
        <v>0.6166666666666667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2.1</f>
        <v>2.1</v>
      </c>
      <c r="V6" s="3451">
        <v>2.5000000000000001E-2</v>
      </c>
      <c r="W6" s="3451">
        <v>0.1</v>
      </c>
      <c r="X6" s="1039"/>
      <c r="Y6" s="71">
        <f>N6</f>
        <v>0.6166666666666667</v>
      </c>
      <c r="Z6" s="72"/>
      <c r="AA6" s="66"/>
      <c r="AB6" s="66"/>
      <c r="AC6" s="1039"/>
      <c r="AD6" s="73"/>
      <c r="AE6" s="1040">
        <f ca="1">IF(AN6="",0,SUMIF(INDIRECT("'"&amp;AN6&amp;"'"&amp;"!E:E"),$AE$5,INDIRECT("'"&amp;AN6&amp;"'"&amp;"!F:F")))</f>
        <v>15</v>
      </c>
      <c r="AF6" s="1347"/>
      <c r="AG6" s="137">
        <f>IF(AF6="",0,AE6-AF6)</f>
        <v>0</v>
      </c>
      <c r="AH6" s="74"/>
      <c r="AI6" s="76">
        <v>365</v>
      </c>
      <c r="AJ6" s="3449"/>
      <c r="AK6" s="78">
        <v>0.01</v>
      </c>
      <c r="AL6" s="79">
        <v>1E-3</v>
      </c>
      <c r="AM6" s="80">
        <v>1.4999999999999999E-2</v>
      </c>
      <c r="AN6" s="1714" t="s">
        <v>3391</v>
      </c>
      <c r="AO6" s="52">
        <f ca="1">SUMIF(INDIRECT("'"&amp;AN6&amp;"'"&amp;"!A:A"),"总价",INDIRECT("'"&amp;AN6&amp;"'"&amp;"!B:B"))</f>
        <v>61.4024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其他</v>
      </c>
      <c r="B7" s="1712" t="str">
        <f t="shared" ref="B7:B13" si="1">IF(A7=0,"","经营性")</f>
        <v>经营性</v>
      </c>
      <c r="C7" s="1713"/>
      <c r="D7" s="857">
        <f>SUMIF(项目基本情况!C$12:I$12,C7,项目基本情况!C$14:I$14)</f>
        <v>0</v>
      </c>
      <c r="E7" s="856">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393.39</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其他</v>
      </c>
      <c r="B8" s="1712" t="str">
        <f t="shared" si="1"/>
        <v>经营性</v>
      </c>
      <c r="C8" s="1713"/>
      <c r="D8" s="857">
        <f>SUMIF(项目基本情况!C$12:I$12,C8,项目基本情况!C$14:I$14)</f>
        <v>0</v>
      </c>
      <c r="E8" s="856">
        <f>IF(B8="","",SUMIF(项目基本情况!C$12:I$12,C8,项目基本情况!C$13:I$13))</f>
        <v>0</v>
      </c>
      <c r="F8" s="64">
        <f>SUMIF(项目基本情况!C$12:I$12,C8,项目基本情况!C$15:I$15)</f>
        <v>0</v>
      </c>
      <c r="G8" s="65">
        <f t="shared" si="2"/>
        <v>0</v>
      </c>
      <c r="H8" s="731"/>
      <c r="I8" s="731"/>
      <c r="J8" s="66"/>
      <c r="K8" s="1029">
        <f>SUMIF('数据-汇总表'!C$19:C$33,A8,'数据-汇总表'!E$19:E$33)</f>
        <v>393.39</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0.60499999999999998</v>
      </c>
      <c r="H16" s="90">
        <f>ROUND(SUMPRODUCT(H6:H13,K6:K13)/SUMPRODUCT((H6:H13&gt;0)*(K6:K13)),3)</f>
        <v>0.05</v>
      </c>
      <c r="I16" s="91"/>
      <c r="J16" s="91"/>
      <c r="K16" s="92">
        <f>SUM(K6:K15)</f>
        <v>878.84999999999991</v>
      </c>
      <c r="L16" s="93">
        <f>ROUND(M16*10000/SUM(K6:K14),0)</f>
        <v>319</v>
      </c>
      <c r="M16" s="93">
        <f>SUM(M6:M14)</f>
        <v>28</v>
      </c>
      <c r="N16" s="94">
        <f>ROUND(SUMPRODUCT(M6:M14,N6:N14)/M16,3)</f>
        <v>0.61699999999999999</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3454" t="s">
        <v>3402</v>
      </c>
      <c r="W18" s="3454" t="s">
        <v>3403</v>
      </c>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t="s">
        <v>3399</v>
      </c>
      <c r="V19" s="2670">
        <f>基准地价修正!U2</f>
        <v>92.07</v>
      </c>
      <c r="W19" s="2670">
        <v>1</v>
      </c>
      <c r="X19" s="2670">
        <v>17000</v>
      </c>
      <c r="Y19" s="2670">
        <f>X19*V19/10000</f>
        <v>156.51900000000001</v>
      </c>
      <c r="Z19" s="2670">
        <f>1.8/0.85</f>
        <v>2.1176470588235294</v>
      </c>
      <c r="AA19" s="2670">
        <f>Z19*V19</f>
        <v>194.97176470588235</v>
      </c>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t="s">
        <v>3400</v>
      </c>
      <c r="V20" s="2670">
        <f>基准地价修正!U3</f>
        <v>92.07</v>
      </c>
      <c r="W20" s="2670">
        <v>0.7</v>
      </c>
      <c r="X20" s="2670">
        <f>X19*W20</f>
        <v>11900</v>
      </c>
      <c r="Y20" s="2670">
        <f t="shared" ref="Y20:Y21" si="12">X20*V20/10000</f>
        <v>109.5633</v>
      </c>
      <c r="Z20" s="2670">
        <f>Z19*W20</f>
        <v>1.4823529411764704</v>
      </c>
      <c r="AA20" s="2670">
        <f t="shared" ref="AA20:AA21" si="13">Z20*V20</f>
        <v>136.48023529411762</v>
      </c>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t="s">
        <v>3401</v>
      </c>
      <c r="V21" s="2670">
        <f>基准地价修正!U4</f>
        <v>301.32</v>
      </c>
      <c r="W21" s="2670">
        <v>0.6</v>
      </c>
      <c r="X21" s="2670">
        <f>X19*W21</f>
        <v>10200</v>
      </c>
      <c r="Y21" s="2670">
        <f t="shared" si="12"/>
        <v>307.34640000000002</v>
      </c>
      <c r="Z21" s="2670">
        <f>Z19*W21</f>
        <v>1.2705882352941176</v>
      </c>
      <c r="AA21" s="2670">
        <f t="shared" si="13"/>
        <v>382.85364705882353</v>
      </c>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f>SUM(Y19:Y21)</f>
        <v>573.42870000000005</v>
      </c>
      <c r="Z22" s="2670">
        <f>AA22/K16</f>
        <v>0.81277310924369761</v>
      </c>
      <c r="AA22" s="2670">
        <f>SUM(AA19:AA21)</f>
        <v>714.30564705882352</v>
      </c>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3452">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53">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 (元)'!C10/10000</f>
        <v>9.2236999999999991</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7" t="s">
        <v>2285</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2" t="s">
        <v>2253</v>
      </c>
      <c r="C4" s="2467" t="s">
        <v>2254</v>
      </c>
      <c r="D4" s="2464"/>
      <c r="E4" s="2468"/>
      <c r="F4" s="1372" t="s">
        <v>2255</v>
      </c>
      <c r="G4" s="2469" t="s">
        <v>2256</v>
      </c>
      <c r="H4" s="798"/>
      <c r="I4" s="798"/>
      <c r="J4" s="798"/>
      <c r="K4" s="798"/>
      <c r="L4" s="798"/>
      <c r="M4" s="798"/>
      <c r="N4" s="798"/>
      <c r="O4" s="798"/>
      <c r="P4" s="798"/>
      <c r="Q4" s="798"/>
      <c r="R4" s="798"/>
    </row>
    <row r="5" spans="1:29" ht="36.75">
      <c r="A5" s="2441"/>
      <c r="B5" s="322" t="s">
        <v>2257</v>
      </c>
      <c r="C5" s="2467" t="s">
        <v>2258</v>
      </c>
      <c r="D5" s="2464"/>
      <c r="E5" s="2468"/>
      <c r="F5" s="322" t="s">
        <v>2259</v>
      </c>
      <c r="G5" s="2469" t="s">
        <v>2260</v>
      </c>
      <c r="H5" s="798"/>
      <c r="I5" s="798"/>
      <c r="J5" s="798"/>
      <c r="K5" s="798"/>
      <c r="L5" s="798"/>
      <c r="M5" s="798"/>
      <c r="N5" s="798"/>
      <c r="O5" s="798"/>
      <c r="P5" s="798"/>
      <c r="Q5" s="798"/>
      <c r="R5" s="798"/>
    </row>
    <row r="6" spans="1:29" ht="36">
      <c r="A6" s="2441"/>
      <c r="B6" s="322" t="s">
        <v>2261</v>
      </c>
      <c r="C6" s="2469" t="s">
        <v>2256</v>
      </c>
      <c r="D6" s="2464"/>
      <c r="E6" s="2468"/>
      <c r="F6" s="322" t="s">
        <v>2262</v>
      </c>
      <c r="G6" s="2469" t="s">
        <v>2263</v>
      </c>
      <c r="H6" s="798"/>
      <c r="I6" s="798"/>
      <c r="J6" s="798"/>
      <c r="K6" s="798"/>
      <c r="L6" s="798"/>
      <c r="M6" s="798"/>
      <c r="N6" s="798"/>
      <c r="O6" s="798"/>
      <c r="P6" s="798"/>
      <c r="Q6" s="798"/>
      <c r="R6" s="798"/>
    </row>
    <row r="7" spans="1:29" ht="24.75" thickBot="1">
      <c r="A7" s="2441"/>
      <c r="B7" s="322" t="s">
        <v>2259</v>
      </c>
      <c r="C7" s="2469" t="s">
        <v>2260</v>
      </c>
      <c r="D7" s="2470"/>
      <c r="E7" s="2471"/>
      <c r="F7" s="2472" t="s">
        <v>2264</v>
      </c>
      <c r="G7" s="2473" t="s">
        <v>2265</v>
      </c>
      <c r="H7" s="798"/>
      <c r="I7" s="798"/>
      <c r="J7" s="798"/>
      <c r="K7" s="798"/>
      <c r="L7" s="798"/>
      <c r="M7" s="798"/>
      <c r="N7" s="798"/>
      <c r="O7" s="798"/>
      <c r="P7" s="798"/>
      <c r="Q7" s="798"/>
      <c r="R7" s="798"/>
    </row>
    <row r="8" spans="1:29">
      <c r="A8" s="2441"/>
      <c r="B8" s="322" t="s">
        <v>2262</v>
      </c>
      <c r="C8" s="2469" t="s">
        <v>2263</v>
      </c>
      <c r="D8" s="2470"/>
      <c r="E8" s="2470"/>
      <c r="F8" s="2474"/>
      <c r="G8" s="2474"/>
      <c r="H8" s="798"/>
      <c r="I8" s="798"/>
      <c r="J8" s="798"/>
      <c r="K8" s="798"/>
      <c r="L8" s="798"/>
      <c r="M8" s="798"/>
      <c r="N8" s="798"/>
      <c r="O8" s="798"/>
      <c r="P8" s="798"/>
      <c r="Q8" s="798"/>
      <c r="R8" s="798"/>
    </row>
    <row r="9" spans="1:29" ht="24">
      <c r="A9" s="2441"/>
      <c r="B9" s="322"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2"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2" t="s">
        <v>2262</v>
      </c>
      <c r="G20" s="2502" t="str">
        <f>G6</f>
        <v>估价对象所在区域基础设施水平</v>
      </c>
    </row>
    <row r="21" spans="1:18" ht="25.5">
      <c r="A21" s="2445"/>
      <c r="B21" s="322" t="s">
        <v>2259</v>
      </c>
      <c r="C21" s="2502" t="str">
        <f>C7</f>
        <v>估价对象所在区域公共配套设施齐备情况</v>
      </c>
      <c r="D21" s="2464"/>
      <c r="E21" s="2446"/>
      <c r="F21" s="2501" t="s">
        <v>2277</v>
      </c>
      <c r="G21" s="2504"/>
    </row>
    <row r="22" spans="1:18" ht="13.5" customHeight="1">
      <c r="A22" s="2445"/>
      <c r="B22" s="322"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9" sqref="H3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485.46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45131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532</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485.46</v>
      </c>
      <c r="C14" s="2517"/>
      <c r="D14" s="2517">
        <f ca="1">典型户型修正!S22</f>
        <v>532</v>
      </c>
      <c r="E14" s="2517">
        <f ca="1">ROUND(D14*10000/B14,0)</f>
        <v>10959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3" t="s">
        <v>1265</v>
      </c>
      <c r="B4" s="1754" t="s">
        <v>1266</v>
      </c>
      <c r="C4" s="1755" t="s">
        <v>3391</v>
      </c>
      <c r="D4" s="1755" t="s">
        <v>3420</v>
      </c>
      <c r="E4" s="3589" t="s">
        <v>1267</v>
      </c>
      <c r="F4" s="3590"/>
      <c r="G4" s="3590"/>
      <c r="H4" s="3590"/>
      <c r="I4" s="3591"/>
      <c r="K4" s="145" t="str">
        <f>IF(ISNUMBER(FIND("比较法",结果表!C4)),"比较法",IF(ISNUMBER(FIND("成本法",结果表!C4)),"成本法",IF(ISNUMBER(FIND("假设开发法",结果表!C4)),"假设开发法",IF(ISNUMBER(FIND("收益法",结果表!C4)),"收益法","基准地价系数修正法"))))</f>
        <v>收益法</v>
      </c>
      <c r="L4" s="145" t="str">
        <f>IF(ISNUMBER(FIND("比较法",结果表!D4)),"比较法",IF(ISNUMBER(FIND("成本法",结果表!D4)),"成本法",IF(ISNUMBER(FIND("假设开发法",结果表!D4)),"假设开发法",IF(ISNUMBER(FIND("收益法",结果表!D4)),"收益法","基准地价系数修正法"))))</f>
        <v>比较法</v>
      </c>
    </row>
    <row r="5" spans="1:12" ht="12.75">
      <c r="A5" s="3563" t="s">
        <v>1268</v>
      </c>
      <c r="B5" s="3550">
        <v>25</v>
      </c>
      <c r="C5" s="3566"/>
      <c r="D5" s="3586"/>
      <c r="E5" s="130" t="s">
        <v>1269</v>
      </c>
      <c r="F5" s="1756"/>
      <c r="G5" s="1756"/>
      <c r="H5" s="1756"/>
      <c r="I5" s="1372"/>
    </row>
    <row r="6" spans="1:12" ht="12.75">
      <c r="A6" s="3563"/>
      <c r="B6" s="3550"/>
      <c r="C6" s="3567"/>
      <c r="D6" s="3586"/>
      <c r="E6" s="130" t="s">
        <v>1270</v>
      </c>
      <c r="F6" s="1756"/>
      <c r="G6" s="1756"/>
      <c r="H6" s="1756"/>
      <c r="I6" s="1372"/>
    </row>
    <row r="7" spans="1:12" ht="12.75">
      <c r="A7" s="3563"/>
      <c r="B7" s="3550"/>
      <c r="C7" s="3568"/>
      <c r="D7" s="3586"/>
      <c r="E7" s="130" t="s">
        <v>1271</v>
      </c>
      <c r="F7" s="1756"/>
      <c r="G7" s="1756"/>
      <c r="H7" s="1756"/>
      <c r="I7" s="1372"/>
    </row>
    <row r="8" spans="1:12" ht="12.75">
      <c r="A8" s="3563" t="s">
        <v>1272</v>
      </c>
      <c r="B8" s="3550">
        <v>15</v>
      </c>
      <c r="C8" s="3566"/>
      <c r="D8" s="3586"/>
      <c r="E8" s="130" t="s">
        <v>1273</v>
      </c>
      <c r="F8" s="1756"/>
      <c r="G8" s="1756"/>
      <c r="H8" s="1756"/>
      <c r="I8" s="1372"/>
    </row>
    <row r="9" spans="1:12" ht="12.75">
      <c r="A9" s="3563"/>
      <c r="B9" s="3550"/>
      <c r="C9" s="3568"/>
      <c r="D9" s="3586"/>
      <c r="E9" s="130" t="s">
        <v>1274</v>
      </c>
      <c r="F9" s="1756"/>
      <c r="G9" s="1756"/>
      <c r="H9" s="1756"/>
      <c r="I9" s="1372"/>
    </row>
    <row r="10" spans="1:12" ht="12.75">
      <c r="A10" s="3563" t="s">
        <v>1275</v>
      </c>
      <c r="B10" s="3550">
        <v>15</v>
      </c>
      <c r="C10" s="3566"/>
      <c r="D10" s="3586"/>
      <c r="E10" s="130" t="s">
        <v>1276</v>
      </c>
      <c r="F10" s="1756"/>
      <c r="G10" s="1756"/>
      <c r="H10" s="1756"/>
      <c r="I10" s="1372"/>
    </row>
    <row r="11" spans="1:12" ht="12.75">
      <c r="A11" s="3563"/>
      <c r="B11" s="3550"/>
      <c r="C11" s="3568"/>
      <c r="D11" s="3586"/>
      <c r="E11" s="130" t="s">
        <v>1277</v>
      </c>
      <c r="F11" s="1756"/>
      <c r="G11" s="1756"/>
      <c r="H11" s="1756"/>
      <c r="I11" s="1372"/>
    </row>
    <row r="12" spans="1:12" ht="12.75">
      <c r="A12" s="3563" t="s">
        <v>1278</v>
      </c>
      <c r="B12" s="3550">
        <v>15</v>
      </c>
      <c r="C12" s="3566"/>
      <c r="D12" s="3586"/>
      <c r="E12" s="130" t="s">
        <v>1279</v>
      </c>
      <c r="F12" s="1756"/>
      <c r="G12" s="1756"/>
      <c r="H12" s="1756"/>
      <c r="I12" s="1372"/>
    </row>
    <row r="13" spans="1:12" ht="12.75">
      <c r="A13" s="3563"/>
      <c r="B13" s="3550"/>
      <c r="C13" s="3568"/>
      <c r="D13" s="3586"/>
      <c r="E13" s="130" t="s">
        <v>1280</v>
      </c>
      <c r="F13" s="1756"/>
      <c r="G13" s="1756"/>
      <c r="H13" s="1756"/>
      <c r="I13" s="1372"/>
    </row>
    <row r="14" spans="1:12" ht="12.75">
      <c r="A14" s="3563" t="s">
        <v>1281</v>
      </c>
      <c r="B14" s="3550">
        <v>30</v>
      </c>
      <c r="C14" s="3566">
        <v>4</v>
      </c>
      <c r="D14" s="3586">
        <v>6</v>
      </c>
      <c r="E14" s="130" t="s">
        <v>1282</v>
      </c>
      <c r="F14" s="1756"/>
      <c r="G14" s="1756"/>
      <c r="H14" s="1756"/>
      <c r="I14" s="1372"/>
    </row>
    <row r="15" spans="1:12" ht="12.75">
      <c r="A15" s="3563"/>
      <c r="B15" s="3550"/>
      <c r="C15" s="3567"/>
      <c r="D15" s="3586"/>
      <c r="E15" s="130" t="s">
        <v>1283</v>
      </c>
      <c r="F15" s="1756"/>
      <c r="G15" s="1756"/>
      <c r="H15" s="1756"/>
      <c r="I15" s="1372"/>
    </row>
    <row r="16" spans="1:12" ht="12.75">
      <c r="A16" s="3563"/>
      <c r="B16" s="3550"/>
      <c r="C16" s="3568"/>
      <c r="D16" s="3586"/>
      <c r="E16" s="130" t="s">
        <v>1284</v>
      </c>
      <c r="F16" s="1756"/>
      <c r="G16" s="1756"/>
      <c r="H16" s="1756"/>
      <c r="I16" s="1372"/>
    </row>
    <row r="17" spans="1:36" ht="15">
      <c r="A17" s="1757" t="s">
        <v>1285</v>
      </c>
      <c r="B17" s="56"/>
      <c r="C17" s="131">
        <f>SUM(C5:C16)</f>
        <v>4</v>
      </c>
      <c r="D17" s="131">
        <f>SUM(D5:D16)</f>
        <v>6</v>
      </c>
      <c r="E17" s="128"/>
      <c r="F17" s="128"/>
      <c r="G17" s="128"/>
      <c r="H17" s="128"/>
      <c r="I17" s="128"/>
      <c r="K17" s="301"/>
      <c r="L17" s="301" t="s">
        <v>1286</v>
      </c>
      <c r="M17" s="301" t="s">
        <v>1287</v>
      </c>
    </row>
    <row r="18" spans="1:36" ht="31.9" customHeight="1" thickBot="1">
      <c r="A18" s="1758" t="s">
        <v>1288</v>
      </c>
      <c r="B18" s="1759"/>
      <c r="C18" s="132">
        <f>ROUND(C17/SUM(C17:D17),2)</f>
        <v>0.4</v>
      </c>
      <c r="D18" s="132">
        <f>1-C18</f>
        <v>0.6</v>
      </c>
      <c r="E18" s="3573" t="s">
        <v>2130</v>
      </c>
      <c r="F18" s="3574"/>
      <c r="G18" s="3574"/>
      <c r="H18" s="3574"/>
      <c r="I18" s="3574"/>
      <c r="K18" s="301" t="s">
        <v>1289</v>
      </c>
      <c r="L18" s="301">
        <f>IF(C1="",'数据-汇总表'!E3,SUMIF(项目类型,C1,'数据-汇总表'!E17:E26)+SUMIF(项目类型,C1,'数据-汇总表'!I17:I26))</f>
        <v>485.45999999999992</v>
      </c>
      <c r="M18" s="301">
        <f>IF(C1="",'数据-汇总表'!E3,SUMIF(项目类型,C1,'数据-汇总表'!E17:E26))</f>
        <v>485.45999999999992</v>
      </c>
    </row>
    <row r="19" spans="1:36" ht="15">
      <c r="A19" s="1760" t="s">
        <v>1290</v>
      </c>
      <c r="B19" s="1761" t="s">
        <v>1291</v>
      </c>
      <c r="C19" s="133">
        <f ca="1">SUMIF(INDIRECT("'"&amp;C4&amp;"'"&amp;"!A:A"),结果表!B19,INDIRECT("'"&amp;C4&amp;"'"&amp;"!B:B"))</f>
        <v>61.4024</v>
      </c>
      <c r="D19" s="134">
        <f ca="1">SUMIF(INDIRECT("'"&amp;D4&amp;"'"&amp;"!A:A"),结果表!B19,INDIRECT("'"&amp;D4&amp;"'"&amp;"!B:B"))</f>
        <v>0</v>
      </c>
      <c r="E19" s="1760" t="s">
        <v>1292</v>
      </c>
      <c r="F19" s="1761" t="s">
        <v>1291</v>
      </c>
      <c r="G19" s="135">
        <f ca="1">ROUND(C19*$C$18+D19*$D$18,0)</f>
        <v>25</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6669</v>
      </c>
      <c r="D20" s="137">
        <f ca="1">SUMIF(INDIRECT("'"&amp;D4&amp;"'"&amp;"!A:A"),结果表!B20,INDIRECT("'"&amp;D4&amp;"'"&amp;"!B:B"))</f>
        <v>23473</v>
      </c>
      <c r="E20" s="1763"/>
      <c r="F20" s="1025" t="s">
        <v>1295</v>
      </c>
      <c r="G20" s="138">
        <f ca="1">ROUND(C20*$C$18+D20*$D$18,0)</f>
        <v>16751</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t="e">
        <f ca="1">IF(C19&lt;D19,D19/C19-1,C19/D19-1)</f>
        <v>#DIV/0!</v>
      </c>
      <c r="E22" s="128"/>
      <c r="F22" s="128"/>
      <c r="G22" s="128"/>
      <c r="H22" s="128"/>
      <c r="I22" s="128"/>
    </row>
    <row r="23" spans="1:36" ht="13.5" thickBot="1">
      <c r="A23" s="1746"/>
      <c r="B23" s="1746"/>
      <c r="C23" s="1746"/>
      <c r="D23" s="1746"/>
      <c r="E23" s="128"/>
      <c r="F23" s="128"/>
      <c r="G23" s="128"/>
      <c r="H23" s="128"/>
      <c r="I23" s="128"/>
    </row>
    <row r="24" spans="1:36" ht="14.25">
      <c r="A24" s="3557" t="s">
        <v>1299</v>
      </c>
      <c r="B24" s="1761" t="s">
        <v>1291</v>
      </c>
      <c r="C24" s="135">
        <f>IF(B30=0,0,D30)</f>
        <v>0</v>
      </c>
      <c r="D24" s="1768"/>
      <c r="E24" s="128"/>
      <c r="F24" s="128"/>
      <c r="G24" s="128"/>
      <c r="H24" s="128"/>
      <c r="I24" s="128"/>
    </row>
    <row r="25" spans="1:36" ht="14.25">
      <c r="A25" s="355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16751</v>
      </c>
      <c r="D32" s="1774"/>
      <c r="E32" s="128"/>
      <c r="F32" s="128"/>
      <c r="G32" s="128"/>
      <c r="H32" s="128"/>
      <c r="I32" s="128"/>
    </row>
    <row r="33" spans="1:15" ht="15">
      <c r="A33" s="785" t="s">
        <v>1306</v>
      </c>
      <c r="B33" s="1775"/>
      <c r="C33" s="1776"/>
      <c r="D33" s="1777"/>
      <c r="E33" s="1778" t="s">
        <v>1307</v>
      </c>
      <c r="F33" s="1779" t="str">
        <f>IF(D32="楼面单价","取值（单价）","取值（总价）")</f>
        <v>取值（总价）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77" t="s">
        <v>1312</v>
      </c>
      <c r="B36" s="1786" t="s">
        <v>1313</v>
      </c>
      <c r="C36" s="144"/>
      <c r="D36" s="1787"/>
      <c r="E36" s="1788"/>
      <c r="F36" s="1789"/>
      <c r="G36" s="128"/>
      <c r="H36" s="128"/>
      <c r="I36" s="128"/>
    </row>
    <row r="37" spans="1:15" ht="15.75" thickBot="1">
      <c r="A37" s="3578"/>
      <c r="B37" s="1673" t="s">
        <v>1314</v>
      </c>
      <c r="C37" s="146"/>
      <c r="D37" s="1138"/>
      <c r="E37" s="1138"/>
      <c r="F37" s="1789"/>
      <c r="G37" s="128"/>
      <c r="H37" s="128"/>
      <c r="I37" s="128"/>
    </row>
    <row r="38" spans="1:15" ht="15.75" thickBot="1">
      <c r="A38" s="3579"/>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4" t="s">
        <v>1326</v>
      </c>
      <c r="B45" s="3555"/>
      <c r="C45" s="3556"/>
      <c r="D45" s="154" t="e">
        <f ca="1">ROUND(H101*F45,0)</f>
        <v>#REF!</v>
      </c>
      <c r="E45" s="155" t="s">
        <v>1327</v>
      </c>
      <c r="F45" s="156">
        <v>1</v>
      </c>
      <c r="G45" s="157" t="s">
        <v>1328</v>
      </c>
      <c r="H45" s="128"/>
      <c r="I45" s="128"/>
      <c r="J45" s="3632" t="s">
        <v>1329</v>
      </c>
      <c r="K45" s="3632"/>
      <c r="L45" s="3632"/>
      <c r="M45" s="3632"/>
      <c r="N45" s="3632"/>
      <c r="O45" s="3632"/>
    </row>
    <row r="46" spans="1:15" ht="14.25" customHeight="1">
      <c r="A46" s="3551" t="s">
        <v>1330</v>
      </c>
      <c r="B46" s="3552"/>
      <c r="C46" s="3552"/>
      <c r="D46" s="3552"/>
      <c r="E46" s="3552"/>
      <c r="F46" s="3552"/>
      <c r="G46" s="3553"/>
      <c r="H46" s="1805"/>
      <c r="I46" s="158"/>
      <c r="J46" s="2522">
        <v>1</v>
      </c>
      <c r="K46" s="3613" t="s">
        <v>1331</v>
      </c>
      <c r="L46" s="3613"/>
      <c r="M46" s="3633"/>
      <c r="N46" s="3633"/>
      <c r="O46" s="3633"/>
    </row>
    <row r="47" spans="1:15" ht="12" customHeight="1">
      <c r="A47" s="159" t="s">
        <v>1332</v>
      </c>
      <c r="B47" s="160"/>
      <c r="C47" s="161"/>
      <c r="D47" s="1086" t="s">
        <v>1333</v>
      </c>
      <c r="E47" s="301" t="s">
        <v>1334</v>
      </c>
      <c r="F47" s="162" t="s">
        <v>1335</v>
      </c>
      <c r="G47" s="2545" t="s">
        <v>1336</v>
      </c>
      <c r="H47" s="2546"/>
      <c r="I47" s="158"/>
      <c r="J47" s="2522">
        <v>2</v>
      </c>
      <c r="K47" s="3613" t="s">
        <v>1337</v>
      </c>
      <c r="L47" s="3613"/>
      <c r="M47" s="3634">
        <f>'数据-取费表'!B2</f>
        <v>45131</v>
      </c>
      <c r="N47" s="3634"/>
      <c r="O47" s="3634"/>
    </row>
    <row r="48" spans="1:15" ht="25.5">
      <c r="A48" s="3582" t="s">
        <v>1338</v>
      </c>
      <c r="B48" s="3565"/>
      <c r="C48" s="3565"/>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3" t="s">
        <v>1340</v>
      </c>
      <c r="L48" s="3613"/>
      <c r="M48" s="3635" t="e">
        <f ca="1">H101</f>
        <v>#REF!</v>
      </c>
      <c r="N48" s="3635"/>
      <c r="O48" s="3635"/>
    </row>
    <row r="49" spans="1:35" ht="25.5" customHeight="1">
      <c r="A49" s="2332" t="s">
        <v>1341</v>
      </c>
      <c r="B49" s="3549" t="s">
        <v>1342</v>
      </c>
      <c r="C49" s="3549"/>
      <c r="D49" s="1589">
        <v>0</v>
      </c>
      <c r="E49" s="323" t="s">
        <v>1343</v>
      </c>
      <c r="F49" s="2423" t="s">
        <v>28</v>
      </c>
      <c r="G49" s="3619"/>
      <c r="H49" s="2309" t="s">
        <v>2133</v>
      </c>
      <c r="I49" s="2310"/>
      <c r="J49" s="2522">
        <v>4</v>
      </c>
      <c r="K49" s="3613" t="str">
        <f>IF(项目基本情况!E8="房地产抵押价值","房地产抵押价值","抵押担保权已注销时的房地产抵押价值")</f>
        <v>抵押担保权已注销时的房地产抵押价值</v>
      </c>
      <c r="L49" s="3613"/>
      <c r="M49" s="3635" t="str">
        <f>IF(项目基本情况!E8="房地产抵押价值",H107,H109)</f>
        <v>——</v>
      </c>
      <c r="N49" s="3635"/>
      <c r="O49" s="3635"/>
    </row>
    <row r="50" spans="1:35" ht="25.5" customHeight="1">
      <c r="A50" s="2550"/>
      <c r="B50" s="3549" t="s">
        <v>1344</v>
      </c>
      <c r="C50" s="3549"/>
      <c r="D50" s="2551"/>
      <c r="E50" s="331"/>
      <c r="F50" s="2423"/>
      <c r="G50" s="3620"/>
      <c r="H50" s="2311" t="s">
        <v>2134</v>
      </c>
      <c r="I50" s="2310"/>
      <c r="J50" s="3632" t="s">
        <v>1345</v>
      </c>
      <c r="K50" s="3632"/>
      <c r="L50" s="3632"/>
      <c r="M50" s="3632"/>
      <c r="N50" s="3632"/>
      <c r="O50" s="3632"/>
    </row>
    <row r="51" spans="1:35" ht="20.45" customHeight="1">
      <c r="A51" s="2552"/>
      <c r="B51" s="3549" t="s">
        <v>1346</v>
      </c>
      <c r="C51" s="3549"/>
      <c r="D51" s="1086"/>
      <c r="E51" s="326"/>
      <c r="F51" s="2423"/>
      <c r="G51" s="3621"/>
      <c r="H51" s="2311" t="s">
        <v>2135</v>
      </c>
      <c r="I51" s="2310"/>
      <c r="J51" s="2523" t="s">
        <v>1347</v>
      </c>
      <c r="K51" s="3613" t="s">
        <v>1348</v>
      </c>
      <c r="L51" s="3613"/>
      <c r="M51" s="2523" t="s">
        <v>1349</v>
      </c>
      <c r="N51" s="2523" t="s">
        <v>1350</v>
      </c>
      <c r="O51" s="2523" t="s">
        <v>1351</v>
      </c>
    </row>
    <row r="52" spans="1:35" ht="24" customHeight="1">
      <c r="A52" s="2334" t="s">
        <v>1352</v>
      </c>
      <c r="B52" s="3549" t="s">
        <v>1353</v>
      </c>
      <c r="C52" s="3549"/>
      <c r="D52" s="1086" t="e">
        <f ca="1">ROUND(D45*'数据-取费表'!B41/(1+'数据-取费表'!C42),0)</f>
        <v>#REF!</v>
      </c>
      <c r="E52" s="2333" t="s">
        <v>1354</v>
      </c>
      <c r="F52" s="2553">
        <f>'数据-取费表'!B41</f>
        <v>5.5000000000000007E-2</v>
      </c>
      <c r="G52" s="2554"/>
      <c r="H52" s="2543"/>
      <c r="I52" s="1806"/>
      <c r="J52" s="2522">
        <v>1</v>
      </c>
      <c r="K52" s="3614" t="s">
        <v>1355</v>
      </c>
      <c r="L52" s="3614"/>
      <c r="M52" s="2524" t="b">
        <f>D48</f>
        <v>0</v>
      </c>
      <c r="N52" s="2522" t="str">
        <f>E48</f>
        <v>销售额×税（费）率</v>
      </c>
      <c r="O52" s="2525">
        <f>F48</f>
        <v>5.5000000000000007E-2</v>
      </c>
    </row>
    <row r="53" spans="1:35" ht="12" customHeight="1">
      <c r="A53" s="2334" t="s">
        <v>1356</v>
      </c>
      <c r="B53" s="3575" t="s">
        <v>2290</v>
      </c>
      <c r="C53" s="3576"/>
      <c r="D53" s="1086" t="e">
        <f ca="1">ROUND(D45*'数据-取费表'!B41/(1+'数据-取费表'!C42),0)</f>
        <v>#REF!</v>
      </c>
      <c r="E53" s="2333" t="s">
        <v>1354</v>
      </c>
      <c r="F53" s="2553">
        <f>'数据-取费表'!B41</f>
        <v>5.5000000000000007E-2</v>
      </c>
      <c r="G53" s="2554"/>
      <c r="H53" s="2543"/>
      <c r="I53" s="1806"/>
      <c r="J53" s="2522">
        <v>2</v>
      </c>
      <c r="K53" s="3614" t="s">
        <v>1357</v>
      </c>
      <c r="L53" s="3614"/>
      <c r="M53" s="2524" t="e">
        <f t="shared" ref="M53:O54" ca="1" si="0">D55</f>
        <v>#REF!</v>
      </c>
      <c r="N53" s="2522" t="str">
        <f t="shared" si="0"/>
        <v>销售额×税（费）率</v>
      </c>
      <c r="O53" s="2525" t="str">
        <f t="shared" si="0"/>
        <v>免征</v>
      </c>
    </row>
    <row r="54" spans="1:35" ht="12" customHeight="1">
      <c r="A54" s="2334" t="s">
        <v>1358</v>
      </c>
      <c r="B54" s="3575" t="s">
        <v>2291</v>
      </c>
      <c r="C54" s="3576"/>
      <c r="D54" s="1086" t="e">
        <f ca="1">C68</f>
        <v>#REF!</v>
      </c>
      <c r="E54" s="326" t="s">
        <v>1359</v>
      </c>
      <c r="F54" s="2553">
        <f>'数据-取费表'!B41</f>
        <v>5.5000000000000007E-2</v>
      </c>
      <c r="G54" s="2554"/>
      <c r="H54" s="2555"/>
      <c r="I54" s="1806"/>
      <c r="J54" s="2522">
        <v>3</v>
      </c>
      <c r="K54" s="3614" t="s">
        <v>1360</v>
      </c>
      <c r="L54" s="3614"/>
      <c r="M54" s="2524" t="e">
        <f t="shared" ca="1" si="0"/>
        <v>#REF!</v>
      </c>
      <c r="N54" s="2522" t="str">
        <f t="shared" si="0"/>
        <v>增值额×税（费）率</v>
      </c>
      <c r="O54" s="2526" t="str">
        <f t="shared" si="0"/>
        <v>免征</v>
      </c>
    </row>
    <row r="55" spans="1:35" ht="24" customHeight="1">
      <c r="A55" s="3564" t="s">
        <v>1361</v>
      </c>
      <c r="B55" s="3565"/>
      <c r="C55" s="3565"/>
      <c r="D55" s="2323" t="e">
        <f ca="1">IF(H55="个人住宅",0,ROUND(D45*I55,0))</f>
        <v>#REF!</v>
      </c>
      <c r="E55" s="2333" t="s">
        <v>1362</v>
      </c>
      <c r="F55" s="2553" t="str">
        <f>IF(H55="正常",I55,"免征")</f>
        <v>免征</v>
      </c>
      <c r="G55" s="2554"/>
      <c r="H55" s="2549"/>
      <c r="I55" s="164">
        <f>'数据-取费表'!B49</f>
        <v>5.0000000000000001E-4</v>
      </c>
      <c r="J55" s="2522">
        <f>IF(H59="非个人房产","",4)</f>
        <v>4</v>
      </c>
      <c r="K55" s="3614" t="str">
        <f>IF(H59="非个人房产","——","个人所得税")</f>
        <v>个人所得税</v>
      </c>
      <c r="L55" s="3614"/>
      <c r="M55" s="2527" t="e">
        <f ca="1">D59</f>
        <v>#REF!</v>
      </c>
      <c r="N55" s="2039" t="str">
        <f>E59</f>
        <v>差额计税</v>
      </c>
      <c r="O55" s="2528">
        <f>F59</f>
        <v>0.01</v>
      </c>
    </row>
    <row r="56" spans="1:35" ht="24.75">
      <c r="A56" s="3564" t="s">
        <v>1363</v>
      </c>
      <c r="B56" s="3565"/>
      <c r="C56" s="3565"/>
      <c r="D56" s="2323" t="e">
        <f ca="1">IF(H56="个人住宅",D57,D58)</f>
        <v>#REF!</v>
      </c>
      <c r="E56" s="2333" t="s">
        <v>1364</v>
      </c>
      <c r="F56" s="2553" t="str">
        <f>IF(H56="正常",F58,"免征")</f>
        <v>免征</v>
      </c>
      <c r="G56" s="2556" t="s">
        <v>1365</v>
      </c>
      <c r="H56" s="2557"/>
      <c r="I56" s="1807"/>
      <c r="J56" s="2522" t="str">
        <f>IF(项目基本情况!K6="上海银行",IF(J55="",4,J55+1),"")</f>
        <v/>
      </c>
      <c r="K56" s="3637" t="str">
        <f>IF(项目基本情况!K6="上海银行","其他处置费用","")</f>
        <v/>
      </c>
      <c r="L56" s="3638"/>
      <c r="M56" s="2524" t="str">
        <f>IF(项目基本情况!K6="上海银行",M69,"")</f>
        <v/>
      </c>
      <c r="N56" s="3637" t="str">
        <f>IF(项目基本情况!K6="上海银行","包含处置中涉及的律师、诉讼、拍卖、评估等费用","")</f>
        <v/>
      </c>
      <c r="O56" s="3640"/>
    </row>
    <row r="57" spans="1:35" ht="12.75">
      <c r="A57" s="2334" t="s">
        <v>1341</v>
      </c>
      <c r="B57" s="3575" t="s">
        <v>1366</v>
      </c>
      <c r="C57" s="3576"/>
      <c r="D57" s="1589">
        <v>0</v>
      </c>
      <c r="E57" s="323" t="s">
        <v>1343</v>
      </c>
      <c r="F57" s="301"/>
      <c r="G57" s="2554"/>
      <c r="H57" s="2558"/>
      <c r="I57" s="1807"/>
      <c r="J57" s="3614">
        <f>IF(AND(J55="",J56=""),4,IF(项目基本情况!K6="上海银行",结果表!J56+1,结果表!J55+1))</f>
        <v>5</v>
      </c>
      <c r="K57" s="3614" t="s">
        <v>1367</v>
      </c>
      <c r="L57" s="2529" t="s">
        <v>1368</v>
      </c>
      <c r="M57" s="2530"/>
      <c r="N57" s="2531">
        <f ca="1">SUMIF(M52:M56,"&lt;9e307")</f>
        <v>0</v>
      </c>
      <c r="O57" s="2532"/>
      <c r="P57" s="2689" t="e">
        <f ca="1">N57/M49</f>
        <v>#VALUE!</v>
      </c>
    </row>
    <row r="58" spans="1:35" ht="24.75">
      <c r="A58" s="2334" t="s">
        <v>1352</v>
      </c>
      <c r="B58" s="3575" t="s">
        <v>1369</v>
      </c>
      <c r="C58" s="3549"/>
      <c r="D58" s="2323" t="e">
        <f ca="1">IF(H58="转让取得",C81,C97)</f>
        <v>#REF!</v>
      </c>
      <c r="E58" s="2333" t="s">
        <v>1364</v>
      </c>
      <c r="F58" s="301" t="s">
        <v>28</v>
      </c>
      <c r="G58" s="2554"/>
      <c r="H58" s="2557"/>
      <c r="I58" s="1807"/>
      <c r="J58" s="3614"/>
      <c r="K58" s="3614"/>
      <c r="L58" s="2529" t="s">
        <v>1370</v>
      </c>
      <c r="M58" s="2533"/>
      <c r="N58" s="2534" t="str">
        <f ca="1">NUMBERSTRING(INT(N57*10000),2)&amp;"元整"</f>
        <v>零元整</v>
      </c>
      <c r="O58" s="2535"/>
    </row>
    <row r="59" spans="1:35" ht="24.75" thickBot="1">
      <c r="A59" s="3617" t="s">
        <v>1371</v>
      </c>
      <c r="B59" s="3618"/>
      <c r="C59" s="361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5">
        <f>J57+1</f>
        <v>6</v>
      </c>
      <c r="K59" s="3614" t="s">
        <v>1372</v>
      </c>
      <c r="L59" s="2522" t="s">
        <v>1368</v>
      </c>
      <c r="M59" s="2536"/>
      <c r="N59" s="2537" t="e">
        <f ca="1">M49-N57</f>
        <v>#VALUE!</v>
      </c>
      <c r="O59" s="2538"/>
    </row>
    <row r="60" spans="1:35" ht="12" customHeight="1">
      <c r="A60" s="1808"/>
      <c r="B60" s="1746"/>
      <c r="C60" s="1746"/>
      <c r="D60" s="1746"/>
      <c r="E60" s="1577"/>
      <c r="F60" s="1807"/>
      <c r="G60" s="1807"/>
      <c r="H60" s="1809"/>
      <c r="I60" s="128"/>
      <c r="J60" s="3616"/>
      <c r="K60" s="3614"/>
      <c r="L60" s="2529" t="s">
        <v>1370</v>
      </c>
      <c r="M60" s="2533"/>
      <c r="N60" s="2534" t="e">
        <f ca="1">NUMBERSTRING(INT(N59*10000),2)&amp;"元整"</f>
        <v>#VALUE!</v>
      </c>
      <c r="O60" s="2535"/>
    </row>
    <row r="61" spans="1:35" ht="13.5" thickBot="1">
      <c r="A61" s="3562" t="s">
        <v>1373</v>
      </c>
      <c r="B61" s="3562"/>
      <c r="C61" s="3562"/>
      <c r="D61" s="3562"/>
      <c r="E61" s="3562"/>
      <c r="F61" s="1807"/>
      <c r="G61" s="1807"/>
      <c r="H61" s="1809"/>
      <c r="I61" s="128"/>
      <c r="J61" s="2522">
        <f>J59+1</f>
        <v>7</v>
      </c>
      <c r="K61" s="3614" t="s">
        <v>1374</v>
      </c>
      <c r="L61" s="3614"/>
      <c r="M61" s="2539"/>
      <c r="N61" s="2540" t="e">
        <f ca="1">ROUND(N59*10000/'数据-汇总表'!E3,0)</f>
        <v>#VALUE!</v>
      </c>
      <c r="O61" s="2541"/>
    </row>
    <row r="62" spans="1:35" ht="12.75">
      <c r="A62" s="3580" t="s">
        <v>1375</v>
      </c>
      <c r="B62" s="3581"/>
      <c r="C62" s="2020"/>
      <c r="D62" s="2020" t="s">
        <v>1376</v>
      </c>
      <c r="E62" s="165" t="s">
        <v>1377</v>
      </c>
      <c r="F62" s="1807"/>
      <c r="G62" s="1807"/>
      <c r="H62" s="1809"/>
      <c r="I62" s="128"/>
    </row>
    <row r="63" spans="1:35" ht="12.75">
      <c r="A63" s="172" t="s">
        <v>330</v>
      </c>
      <c r="B63" s="166" t="s">
        <v>1378</v>
      </c>
      <c r="C63" s="2563" t="e">
        <f ca="1">ROUND((C64+C65)/(1+'数据-取费表'!C42),0)</f>
        <v>#REF!</v>
      </c>
      <c r="D63" s="166"/>
      <c r="E63" s="167"/>
      <c r="F63" s="1807"/>
      <c r="G63" s="1807"/>
      <c r="H63" s="1809"/>
      <c r="I63" s="128"/>
      <c r="J63" s="3639" t="s">
        <v>1379</v>
      </c>
      <c r="K63" s="1331" t="s">
        <v>1380</v>
      </c>
      <c r="L63" s="1331" t="e">
        <f>IF(M49&gt;10000,M49*0.5%,IF(AND(M49&gt;1000,M49&lt;=10000),M49*1%,IF(AND(M49&gt;100,M49&lt;=1000),M49*3%,IF(AND(M49&gt;10,M49&lt;=100),M49*5%,M49*8%))))</f>
        <v>#VALUE!</v>
      </c>
      <c r="M63" s="301" t="e">
        <f>ROUND(L63,1)</f>
        <v>#VALUE!</v>
      </c>
      <c r="N63" s="2542"/>
      <c r="Z63" s="1751"/>
      <c r="AI63" s="1752"/>
    </row>
    <row r="64" spans="1:35" ht="14.25" customHeight="1">
      <c r="A64" s="168" t="s">
        <v>325</v>
      </c>
      <c r="B64" s="169" t="s">
        <v>1381</v>
      </c>
      <c r="C64" s="2564" t="e">
        <f ca="1">D45</f>
        <v>#REF!</v>
      </c>
      <c r="D64" s="169" t="s">
        <v>26</v>
      </c>
      <c r="E64" s="171"/>
      <c r="F64" s="1807"/>
      <c r="G64" s="1807"/>
      <c r="H64" s="1809"/>
      <c r="I64" s="128"/>
      <c r="J64" s="363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3" t="s">
        <v>1383</v>
      </c>
      <c r="Z64" s="1751"/>
      <c r="AI64" s="1752"/>
    </row>
    <row r="65" spans="1:35" ht="14.25" customHeight="1">
      <c r="A65" s="168" t="s">
        <v>326</v>
      </c>
      <c r="B65" s="169" t="s">
        <v>1384</v>
      </c>
      <c r="C65" s="2565"/>
      <c r="D65" s="169"/>
      <c r="E65" s="171"/>
      <c r="F65" s="1807"/>
      <c r="G65" s="1807"/>
      <c r="H65" s="1809"/>
      <c r="I65" s="128"/>
      <c r="J65" s="3639"/>
      <c r="K65" s="1331" t="s">
        <v>1385</v>
      </c>
      <c r="L65" s="1331" t="e">
        <f>IF(M49&gt;1000,M49*0.1%,IF(AND(M49&gt;500,M49&lt;=1000),M49*0.5%,IF(AND(M49&gt;50,M49&lt;=500),M49*1%,IF(AND(M49&gt;1,M49&lt;=50),M49*1.5%))))</f>
        <v>#VALUE!</v>
      </c>
      <c r="M65" s="301" t="e">
        <f t="shared" si="1"/>
        <v>#VALUE!</v>
      </c>
      <c r="N65" s="2543" t="s">
        <v>1383</v>
      </c>
      <c r="Z65" s="1751"/>
      <c r="AI65" s="1752"/>
    </row>
    <row r="66" spans="1:35" ht="14.25" customHeight="1">
      <c r="A66" s="172" t="s">
        <v>327</v>
      </c>
      <c r="B66" s="173" t="s">
        <v>1386</v>
      </c>
      <c r="C66" s="2566"/>
      <c r="D66" s="173" t="s">
        <v>26</v>
      </c>
      <c r="E66" s="1337" t="s">
        <v>671</v>
      </c>
      <c r="F66" s="1807"/>
      <c r="G66" s="1807"/>
      <c r="H66" s="1809"/>
      <c r="I66" s="128"/>
      <c r="J66" s="3639"/>
      <c r="K66" s="1331" t="s">
        <v>1387</v>
      </c>
      <c r="L66" s="1331" t="e">
        <f>M49*0.5%</f>
        <v>#VALUE!</v>
      </c>
      <c r="M66" s="301" t="e">
        <f>IF(L66&gt;0.5,0.5,ROUND(L66,0))</f>
        <v>#VALUE!</v>
      </c>
      <c r="N66" s="2543" t="s">
        <v>1388</v>
      </c>
      <c r="Z66" s="1751"/>
      <c r="AI66" s="1752"/>
    </row>
    <row r="67" spans="1:35" ht="14.25" customHeight="1">
      <c r="A67" s="172" t="s">
        <v>328</v>
      </c>
      <c r="B67" s="173" t="s">
        <v>1389</v>
      </c>
      <c r="C67" s="2567" t="e">
        <f ca="1">C63-C66</f>
        <v>#REF!</v>
      </c>
      <c r="D67" s="169" t="s">
        <v>26</v>
      </c>
      <c r="E67" s="171"/>
      <c r="F67" s="1807"/>
      <c r="G67" s="1807"/>
      <c r="H67" s="1809"/>
      <c r="I67" s="128"/>
      <c r="J67" s="363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2"/>
      <c r="Z67" s="1751"/>
      <c r="AI67" s="1752"/>
    </row>
    <row r="68" spans="1:35" ht="14.25" customHeight="1" thickBot="1">
      <c r="A68" s="175" t="s">
        <v>329</v>
      </c>
      <c r="B68" s="176" t="s">
        <v>1391</v>
      </c>
      <c r="C68" s="2568" t="e">
        <f ca="1">IF(C67&lt;=0,0,ROUND(C67*D68,0))</f>
        <v>#REF!</v>
      </c>
      <c r="D68" s="2569">
        <f>'数据-取费表'!B41</f>
        <v>5.5000000000000007E-2</v>
      </c>
      <c r="E68" s="177"/>
      <c r="F68" s="1807"/>
      <c r="G68" s="1807"/>
      <c r="H68" s="1809"/>
      <c r="I68" s="128"/>
      <c r="J68" s="3639"/>
      <c r="K68" s="1331" t="s">
        <v>1392</v>
      </c>
      <c r="L68" s="1331" t="e">
        <f>IF(M49&gt;10000,M49*0.5%,IF(AND(M49&gt;5000,M49&lt;=10000),M49*1%,IF(AND(M49&gt;1000,M49&lt;=5000),M49*2%,IF(AND(M49&gt;200,M49&lt;=1000),M49*3%,M49*5%))))</f>
        <v>#VALUE!</v>
      </c>
      <c r="M68" s="301" t="e">
        <f>ROUND(L68,1)</f>
        <v>#VALUE!</v>
      </c>
      <c r="N68" s="2542"/>
      <c r="Z68" s="1751"/>
      <c r="AI68" s="1752"/>
    </row>
    <row r="69" spans="1:35" s="1771" customFormat="1" ht="16.5" customHeight="1">
      <c r="A69" s="1810"/>
      <c r="B69" s="1811"/>
      <c r="C69" s="1812"/>
      <c r="D69" s="1813"/>
      <c r="E69" s="1814"/>
      <c r="F69" s="1577"/>
      <c r="G69" s="1577"/>
      <c r="H69" s="1576"/>
      <c r="I69" s="1746"/>
      <c r="J69" s="3639"/>
      <c r="K69" s="1331" t="s">
        <v>1393</v>
      </c>
      <c r="L69" s="1331"/>
      <c r="M69" s="301"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0" t="s">
        <v>1375</v>
      </c>
      <c r="B71" s="3581"/>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t="e">
        <f ca="1">ROUND(D45/(1+'数据-取费表'!C42),0)</f>
        <v>#REF!</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t="e">
        <f ca="1">C74+C78</f>
        <v>#REF!</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5" t="s">
        <v>1402</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t="e">
        <f ca="1">ROUND(D45*D78/(1+'数据-取费表'!C42),0)</f>
        <v>#REF!</v>
      </c>
      <c r="D78" s="2576">
        <f>'数据-取费表'!B43</f>
        <v>5.000000000000001E-3</v>
      </c>
      <c r="E78" s="3559" t="s">
        <v>1406</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t="e">
        <f ca="1">C72-C73</f>
        <v>#REF!</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t="e">
        <f ca="1">IF(C79&lt;=0,0,C79/C73)</f>
        <v>#REF!</v>
      </c>
      <c r="D80" s="169"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t="e">
        <f ca="1">ROUND(IF(C79&lt;=0,0,IF(C80&gt;=200%,C79*60%-C73*35%,IF(C80&gt;=100%,C79*50%-C73*15%,IF(C80&gt;=50%,C79*40%-C73*5%,IF(C80&lt;50%,C79*30%,0))))),0)</f>
        <v>#REF!</v>
      </c>
      <c r="D81" s="2579"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0" t="s">
        <v>1375</v>
      </c>
      <c r="B84" s="3581"/>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t="e">
        <f ca="1">ROUND(D45/(1+'数据-取费表'!C42),0)</f>
        <v>#REF!</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t="e">
        <f ca="1">IF(H88="仅含出让金",C87+C90+C91+C92+C93+C94,C87+C91+C92+C93+C94)</f>
        <v>#REF!</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1" t="s">
        <v>2128</v>
      </c>
      <c r="H90" s="364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59" t="s">
        <v>1419</v>
      </c>
      <c r="F91" s="3560"/>
      <c r="G91" s="35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59" t="s">
        <v>1422</v>
      </c>
      <c r="F92" s="3560"/>
      <c r="G92" s="3560"/>
      <c r="H92" s="3569"/>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t="e">
        <f ca="1">ROUND(D45*D93/(1+'数据-取费表'!C42),0)</f>
        <v>#REF!</v>
      </c>
      <c r="D93" s="2576">
        <f>'数据-取费表'!B43</f>
        <v>5.000000000000001E-3</v>
      </c>
      <c r="E93" s="3559" t="s">
        <v>1406</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70" t="s">
        <v>1426</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t="e">
        <f ca="1">ROUND(C85-C86,0)</f>
        <v>#REF!</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t="e">
        <f ca="1">IF(C95&lt;=0,0,C95/C86)</f>
        <v>#REF!</v>
      </c>
      <c r="D96" s="169"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t="e">
        <f ca="1">ROUND(IF(C95&lt;=0,0,IF(C96&gt;=200%,C95*60%-C86*35%,IF(C96&gt;=100%,C95*50%-C86*15%,IF(C96&gt;=50%,C95*40%-C86*5%,IF(C96&lt;50%,C95*30%,0))))),0)</f>
        <v>#REF!</v>
      </c>
      <c r="D97" s="2579"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3" t="s">
        <v>1428</v>
      </c>
      <c r="B100" s="3544"/>
      <c r="C100" s="3544"/>
      <c r="D100" s="3561"/>
      <c r="E100" s="3544" t="s">
        <v>1429</v>
      </c>
      <c r="F100" s="3544"/>
      <c r="G100" s="3544"/>
      <c r="H100" s="3561"/>
      <c r="I100" s="128"/>
    </row>
    <row r="101" spans="1:35" ht="18.75" customHeight="1">
      <c r="A101" s="3622" t="s">
        <v>1430</v>
      </c>
      <c r="B101" s="3623"/>
      <c r="C101" s="2584" t="str">
        <f>C4</f>
        <v>收益法 (元)</v>
      </c>
      <c r="D101" s="2585" t="str">
        <f>D4</f>
        <v>比较法-商业</v>
      </c>
      <c r="E101" s="3636" t="s">
        <v>1431</v>
      </c>
      <c r="F101" s="3593"/>
      <c r="G101" s="1826" t="s">
        <v>1432</v>
      </c>
      <c r="H101" s="2594" t="e">
        <f ca="1">H118</f>
        <v>#REF!</v>
      </c>
      <c r="I101" s="128"/>
    </row>
    <row r="102" spans="1:35" ht="18.75" customHeight="1">
      <c r="A102" s="3595" t="s">
        <v>1433</v>
      </c>
      <c r="B102" s="2583" t="s">
        <v>1432</v>
      </c>
      <c r="C102" s="2584">
        <f ca="1">IF(D32="楼面单价",ROUND(C19,0),C19)</f>
        <v>61.4024</v>
      </c>
      <c r="D102" s="2585">
        <f ca="1">IF(D32="楼面单价",ROUND(D19,0),D19)</f>
        <v>0</v>
      </c>
      <c r="E102" s="3636"/>
      <c r="F102" s="3593"/>
      <c r="G102" s="1826" t="s">
        <v>1434</v>
      </c>
      <c r="H102" s="2554" t="e">
        <f ca="1">I118</f>
        <v>#REF!</v>
      </c>
      <c r="I102" s="128"/>
    </row>
    <row r="103" spans="1:35" ht="42.75" customHeight="1">
      <c r="A103" s="3595"/>
      <c r="B103" s="2583" t="s">
        <v>1434</v>
      </c>
      <c r="C103" s="2586">
        <f ca="1">C20</f>
        <v>6669</v>
      </c>
      <c r="D103" s="2587">
        <f ca="1">D20</f>
        <v>23473</v>
      </c>
      <c r="E103" s="3630" t="s">
        <v>1435</v>
      </c>
      <c r="F103" s="3631"/>
      <c r="G103" s="1827" t="s">
        <v>1436</v>
      </c>
      <c r="H103" s="2594">
        <f>IF(D36="正常操作",H104+H105+H106,H105+H106)</f>
        <v>0</v>
      </c>
      <c r="I103" s="128"/>
    </row>
    <row r="104" spans="1:35" ht="18.75" customHeight="1">
      <c r="A104" s="3595" t="s">
        <v>1437</v>
      </c>
      <c r="B104" s="2588" t="s">
        <v>1432</v>
      </c>
      <c r="C104" s="2589" t="e">
        <f ca="1">H118</f>
        <v>#REF!</v>
      </c>
      <c r="D104" s="2590"/>
      <c r="E104" s="1673" t="s">
        <v>1438</v>
      </c>
      <c r="F104" s="1665"/>
      <c r="G104" s="1827" t="s">
        <v>1436</v>
      </c>
      <c r="H104" s="2595">
        <f>IF(D36="同一抵押权人同一抵押物续贷",C36&amp;"（续贷，未扣减，详见特别提示）",C36)</f>
        <v>0</v>
      </c>
      <c r="I104" s="128"/>
    </row>
    <row r="105" spans="1:35" ht="18.75" customHeight="1" thickBot="1">
      <c r="A105" s="3596"/>
      <c r="B105" s="2591" t="s">
        <v>1434</v>
      </c>
      <c r="C105" s="2592" t="e">
        <f ca="1">I118</f>
        <v>#REF!</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2" t="str">
        <f>IF(项目基本情况!E8="已注销","——","3.房地产抵押价值")</f>
        <v>3.房地产抵押价值</v>
      </c>
      <c r="F107" s="3593"/>
      <c r="G107" s="1826" t="s">
        <v>1432</v>
      </c>
      <c r="H107" s="2594" t="e">
        <f ca="1">IF(E107="——","——",H101-H103)</f>
        <v>#REF!</v>
      </c>
      <c r="I107" s="128"/>
    </row>
    <row r="108" spans="1:35" ht="18.75" customHeight="1">
      <c r="A108" s="128"/>
      <c r="B108" s="128"/>
      <c r="C108" s="128"/>
      <c r="D108" s="128"/>
      <c r="E108" s="3592"/>
      <c r="F108" s="3593"/>
      <c r="G108" s="1826" t="s">
        <v>1434</v>
      </c>
      <c r="H108" s="2554">
        <f ca="1">IF(H107=H101,H102,ROUND(H107*10000/'数据-汇总表'!E3,0))</f>
        <v>0</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8"/>
    </row>
    <row r="110" spans="1:35" ht="18.75" customHeight="1">
      <c r="A110" s="128"/>
      <c r="B110" s="128"/>
      <c r="C110" s="128"/>
      <c r="D110" s="128"/>
      <c r="E110" s="3592"/>
      <c r="F110" s="3593"/>
      <c r="G110" s="1826" t="s">
        <v>1434</v>
      </c>
      <c r="H110" s="2554" t="str">
        <f>IF(H109="——","——",ROUND(H109*10000/'数据-汇总表'!E3,0))</f>
        <v>——</v>
      </c>
      <c r="I110" s="128"/>
    </row>
    <row r="111" spans="1:35" ht="18.75" customHeight="1">
      <c r="A111" s="128"/>
      <c r="B111" s="128"/>
      <c r="C111" s="128"/>
      <c r="D111" s="128"/>
      <c r="E111" s="3624" t="str">
        <f>IF(项目基本情况!E9="抵押净值",IF(OR(项目基本情况!E8="已注销",项目基本情况!E8="房地产抵押价值"),"4.抵押净值","5.抵押净值"),"——")</f>
        <v>——</v>
      </c>
      <c r="F111" s="3594"/>
      <c r="G111" s="1826" t="s">
        <v>1432</v>
      </c>
      <c r="H111" s="2594" t="str">
        <f>IF(E111="——","——",N59)</f>
        <v>——</v>
      </c>
      <c r="I111" s="128"/>
    </row>
    <row r="112" spans="1:35" ht="18.75" customHeight="1" thickBot="1">
      <c r="A112" s="128"/>
      <c r="B112" s="128"/>
      <c r="C112" s="128"/>
      <c r="D112" s="128"/>
      <c r="E112" s="3625"/>
      <c r="F112" s="3626"/>
      <c r="G112" s="1829" t="s">
        <v>1434</v>
      </c>
      <c r="H112" s="2598" t="str">
        <f>IF(E111="——","——",N61)</f>
        <v>——</v>
      </c>
      <c r="I112" s="128"/>
    </row>
    <row r="113" spans="1:27" ht="18.75" customHeight="1">
      <c r="A113" s="128"/>
      <c r="B113" s="128"/>
      <c r="C113" s="128"/>
      <c r="D113" s="128"/>
      <c r="E113" s="3597" t="s">
        <v>1440</v>
      </c>
      <c r="F113" s="3597"/>
      <c r="G113" s="3597"/>
      <c r="H113" s="3597"/>
      <c r="I113" s="128"/>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485.45999999999992</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3" t="s">
        <v>1452</v>
      </c>
      <c r="B119" s="3563"/>
      <c r="C119" s="3563"/>
      <c r="D119" s="3603" t="e">
        <f ca="1">NUMBERSTRING(INT(D118*10000),2)&amp;"元整"</f>
        <v>#REF!</v>
      </c>
      <c r="E119" s="3605"/>
      <c r="F119" s="3603" t="e">
        <f ca="1">NUMBERSTRING(INT(F118*10000),2)&amp;"元整"</f>
        <v>#REF!</v>
      </c>
      <c r="G119" s="3605"/>
      <c r="H119" s="3603" t="e">
        <f ca="1">NUMBERSTRING(INT(H118*10000),2)&amp;"元整"</f>
        <v>#REF!</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1452</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房地产抵押价值</v>
      </c>
      <c r="B122" s="3594"/>
      <c r="C122" s="3594"/>
      <c r="D122" s="3627" t="e">
        <f ca="1">H107</f>
        <v>#REF!</v>
      </c>
      <c r="E122" s="3628"/>
      <c r="F122" s="3628"/>
      <c r="G122" s="3628"/>
      <c r="H122" s="3628"/>
      <c r="I122" s="3629"/>
      <c r="AA122" s="724"/>
    </row>
    <row r="123" spans="1:27" ht="18.75" customHeight="1">
      <c r="A123" s="3563" t="s">
        <v>1452</v>
      </c>
      <c r="B123" s="3563"/>
      <c r="C123" s="3563"/>
      <c r="D123" s="3603" t="e">
        <f ca="1">NUMBERSTRING(INT(D122*10000),2)&amp;"元整"</f>
        <v>#REF!</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1452</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
      </c>
      <c r="B126" s="3594"/>
      <c r="C126" s="3594"/>
      <c r="D126" s="3627" t="str">
        <f>H111</f>
        <v>——</v>
      </c>
      <c r="E126" s="3628"/>
      <c r="F126" s="3628"/>
      <c r="G126" s="3628"/>
      <c r="H126" s="3628"/>
      <c r="I126" s="3629"/>
      <c r="AA126" s="724"/>
    </row>
    <row r="127" spans="1:27" ht="18.75" customHeight="1">
      <c r="A127" s="3563" t="s">
        <v>1452</v>
      </c>
      <c r="B127" s="3563"/>
      <c r="C127" s="3563"/>
      <c r="D127" s="3603" t="e">
        <f>NUMBERSTRING(INT(D126*10000),2)&amp;"元整"</f>
        <v>#VALUE!</v>
      </c>
      <c r="E127" s="3604"/>
      <c r="F127" s="3604"/>
      <c r="G127" s="3604"/>
      <c r="H127" s="3604"/>
      <c r="I127" s="3605"/>
      <c r="AA127" s="724"/>
    </row>
    <row r="128" spans="1:27" ht="21.75" customHeight="1">
      <c r="A128" s="3610" t="s">
        <v>1453</v>
      </c>
      <c r="B128" s="3610"/>
      <c r="C128" s="3610"/>
      <c r="D128" s="3610"/>
      <c r="E128" s="3610"/>
      <c r="F128" s="3610"/>
      <c r="G128" s="3610"/>
      <c r="H128" s="3610"/>
      <c r="I128" s="361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9</v>
      </c>
    </row>
    <row r="2" spans="1:9" s="199" customFormat="1" ht="18" customHeight="1">
      <c r="A2" s="200" t="s">
        <v>1462</v>
      </c>
      <c r="B2" s="201">
        <f ca="1">IF(D2="——",C52,C52-E2)</f>
        <v>60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1236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9.2236999999999991</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9.2236999999999991</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150</v>
      </c>
      <c r="F9" s="220"/>
      <c r="G9" s="1856"/>
      <c r="H9" s="1136"/>
      <c r="I9" s="1857" t="s">
        <v>1479</v>
      </c>
    </row>
    <row r="10" spans="1:9" s="213" customFormat="1" ht="13.5" customHeight="1">
      <c r="A10" s="778" t="s">
        <v>356</v>
      </c>
      <c r="B10" s="223" t="s">
        <v>1480</v>
      </c>
      <c r="C10" s="224">
        <f ca="1">ROUND(D10*E10/10000,0)</f>
        <v>9</v>
      </c>
      <c r="D10" s="844">
        <f ca="1">IF(B1="",'数据-汇总表'!E6,IF(INDIRECT("'数据-取费表'!c"&amp;$G$1)="住宅",INDIRECT("'数据-取费表'!s"&amp;$G$1),INDIRECT("'数据-取费表'!k"&amp;$G$1)+INDIRECT("'数据-取费表'!s"&amp;$G$1)))</f>
        <v>485.45999999999992</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10</v>
      </c>
      <c r="D19" s="848">
        <f ca="1">D9+D10</f>
        <v>485.45999999999992</v>
      </c>
      <c r="E19" s="210">
        <f>'数据-取费表'!B31</f>
        <v>200</v>
      </c>
      <c r="F19" s="230"/>
      <c r="G19" s="1855"/>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v>
      </c>
      <c r="D22" s="234">
        <f ca="1">C26</f>
        <v>6.9999999999999999E-4</v>
      </c>
      <c r="E22" s="235" t="s">
        <v>1498</v>
      </c>
      <c r="F22" s="236">
        <f ca="1">'数据-取费表'!B40</f>
        <v>3.5499999999999997E-2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1</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1</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4</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4</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27</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28</v>
      </c>
      <c r="D34" s="216"/>
      <c r="E34" s="219"/>
      <c r="F34" s="256">
        <f ca="1">IF('数据-取费表'!B24=0,1,IF(B1="",'数据-取费表'!N16,INDIRECT("'数据-取费表'!n"&amp;$G$1)))</f>
        <v>1</v>
      </c>
      <c r="G34" s="218" t="s">
        <v>1526</v>
      </c>
    </row>
    <row r="35" spans="1:7" ht="13.5" customHeight="1">
      <c r="A35" s="779" t="s">
        <v>351</v>
      </c>
      <c r="B35" s="214" t="s">
        <v>1527</v>
      </c>
      <c r="C35" s="219">
        <f ca="1">ROUND(C34*F35,0)</f>
        <v>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10</v>
      </c>
      <c r="D37" s="216">
        <f ca="1">D19</f>
        <v>485.45999999999992</v>
      </c>
      <c r="E37" s="248">
        <f>'数据-取费表'!B35</f>
        <v>200</v>
      </c>
      <c r="F37" s="258"/>
      <c r="G37" s="260" t="s">
        <v>1532</v>
      </c>
    </row>
    <row r="38" spans="1:7" ht="13.5" customHeight="1">
      <c r="A38" s="779"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v>
      </c>
      <c r="D42" s="237"/>
      <c r="E42" s="237"/>
      <c r="F42" s="238"/>
      <c r="G42" s="3643" t="s">
        <v>1544</v>
      </c>
    </row>
    <row r="43" spans="1:7" ht="13.5" customHeight="1">
      <c r="A43" s="779" t="s">
        <v>347</v>
      </c>
      <c r="B43" s="214" t="s">
        <v>1545</v>
      </c>
      <c r="C43" s="237">
        <f ca="1">ROUND(IF('数据-取费表'!B22&lt;=1,C39*F22*'数据-取费表'!B21/2,C39*(POWER((1+F22),'数据-取费表'!B21/2)-1)),0)</f>
        <v>0</v>
      </c>
      <c r="D43" s="237"/>
      <c r="E43" s="237"/>
      <c r="F43" s="238"/>
      <c r="G43" s="3644"/>
    </row>
    <row r="44" spans="1:7" ht="13.5" customHeight="1">
      <c r="A44" s="779" t="s">
        <v>348</v>
      </c>
      <c r="B44" s="214" t="s">
        <v>1546</v>
      </c>
      <c r="C44" s="237">
        <f ca="1">ROUND(IF('数据-取费表'!B22&lt;=1,C40*F22*'数据-取费表'!B21/2,C40*(POWER((1+F22),'数据-取费表'!B21/2)-1)),4)</f>
        <v>6.9999999999999999E-4</v>
      </c>
      <c r="D44" s="237"/>
      <c r="E44" s="237"/>
      <c r="F44" s="238"/>
      <c r="G44" s="3645"/>
    </row>
    <row r="45" spans="1:7" s="213" customFormat="1" ht="13.5" customHeight="1">
      <c r="A45" s="254" t="s">
        <v>1547</v>
      </c>
      <c r="B45" s="243" t="s">
        <v>1513</v>
      </c>
      <c r="C45" s="244">
        <f ca="1">C46</f>
        <v>8</v>
      </c>
      <c r="D45" s="234">
        <f ca="1">C47</f>
        <v>4.0000000000000001E-3</v>
      </c>
      <c r="E45" s="235" t="s">
        <v>1539</v>
      </c>
      <c r="F45" s="245">
        <f ca="1">F27</f>
        <v>0.2</v>
      </c>
      <c r="G45" s="246" t="s">
        <v>1548</v>
      </c>
    </row>
    <row r="46" spans="1:7" s="213" customFormat="1" ht="13.5" customHeight="1">
      <c r="A46" s="779" t="s">
        <v>346</v>
      </c>
      <c r="B46" s="247" t="s">
        <v>1549</v>
      </c>
      <c r="C46" s="248">
        <f ca="1">ROUND((C33+C39)*F27,0)</f>
        <v>8</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53</v>
      </c>
      <c r="D49" s="231"/>
      <c r="E49" s="231"/>
      <c r="F49" s="263"/>
      <c r="G49" s="233" t="s">
        <v>1554</v>
      </c>
    </row>
    <row r="50" spans="1:7" s="257" customFormat="1" ht="24">
      <c r="A50" s="254" t="s">
        <v>1555</v>
      </c>
      <c r="B50" s="209" t="s">
        <v>1556</v>
      </c>
      <c r="C50" s="231"/>
      <c r="D50" s="231"/>
      <c r="E50" s="231"/>
      <c r="F50" s="263">
        <f>IF('数据-取费表'!B24=0,'数据-取费表'!N16,1)</f>
        <v>0.61699999999999999</v>
      </c>
      <c r="G50" s="246" t="s">
        <v>1557</v>
      </c>
    </row>
    <row r="51" spans="1:7" ht="16.5" customHeight="1">
      <c r="A51" s="254" t="s">
        <v>1558</v>
      </c>
      <c r="B51" s="209" t="s">
        <v>1559</v>
      </c>
      <c r="C51" s="231">
        <f ca="1">ROUND(C49*F50,0)</f>
        <v>33</v>
      </c>
      <c r="D51" s="231"/>
      <c r="E51" s="231"/>
      <c r="F51" s="263"/>
      <c r="G51" s="233" t="s">
        <v>1560</v>
      </c>
    </row>
    <row r="52" spans="1:7" s="207" customFormat="1" ht="16.5" thickBot="1">
      <c r="A52" s="264" t="s">
        <v>1561</v>
      </c>
      <c r="B52" s="265"/>
      <c r="C52" s="266">
        <f ca="1">C31+C51</f>
        <v>60</v>
      </c>
      <c r="D52" s="265"/>
      <c r="E52" s="265"/>
      <c r="F52" s="265"/>
      <c r="G52" s="267"/>
    </row>
    <row r="55" spans="1:7" ht="15">
      <c r="B55" s="269" t="s">
        <v>1562</v>
      </c>
      <c r="C55" s="270"/>
    </row>
    <row r="56" spans="1:7">
      <c r="B56" s="272" t="s">
        <v>802</v>
      </c>
      <c r="C56" s="274">
        <f ca="1">1-C57</f>
        <v>0.44999999999999996</v>
      </c>
    </row>
    <row r="57" spans="1:7">
      <c r="B57" s="272" t="s">
        <v>803</v>
      </c>
      <c r="C57" s="273">
        <f ca="1">ROUND(C51/C52,3)</f>
        <v>0.55000000000000004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9</v>
      </c>
      <c r="H1" s="1060" t="str">
        <f>IF(ISERROR(FIND("住宅",B1)),"非住宅","住宅")</f>
        <v>非住宅</v>
      </c>
    </row>
    <row r="2" spans="1:8" s="199" customFormat="1" ht="18" customHeight="1">
      <c r="A2" s="200" t="s">
        <v>1462</v>
      </c>
      <c r="B2" s="3423">
        <f ca="1">ROUND(IF(D2="——",C52/10000,C52/10000-E2),4)</f>
        <v>328.31799999999998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6763</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2104998.7199999997</v>
      </c>
      <c r="D5" s="210" t="s">
        <v>1469</v>
      </c>
      <c r="E5" s="211" t="s">
        <v>1470</v>
      </c>
      <c r="F5" s="211" t="s">
        <v>1471</v>
      </c>
      <c r="G5" s="212"/>
    </row>
    <row r="6" spans="1:8" s="213" customFormat="1" ht="13.5" customHeight="1">
      <c r="A6" s="777" t="s">
        <v>1472</v>
      </c>
      <c r="B6" s="214" t="s">
        <v>1473</v>
      </c>
      <c r="C6" s="215">
        <f>基准地价修正!U2*基准地价修正!T2+基准地价修正!U3*基准地价修正!T3+基准地价修正!U4*基准地价修正!T4</f>
        <v>1953189.7199999997</v>
      </c>
      <c r="D6" s="216"/>
      <c r="E6" s="217"/>
      <c r="F6" s="217"/>
      <c r="G6" s="218"/>
    </row>
    <row r="7" spans="1:8" s="213" customFormat="1" ht="13.5" customHeight="1">
      <c r="A7" s="777" t="s">
        <v>1474</v>
      </c>
      <c r="B7" s="214" t="s">
        <v>1475</v>
      </c>
      <c r="C7" s="219">
        <f>ROUND(C6*F7,0)</f>
        <v>59572</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92237</v>
      </c>
      <c r="D8" s="221"/>
      <c r="E8" s="219"/>
      <c r="F8" s="220"/>
      <c r="G8" s="1855" t="s">
        <v>3392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1480</v>
      </c>
      <c r="C10" s="224">
        <f ca="1">ROUND(D10*E10,0)</f>
        <v>92237</v>
      </c>
      <c r="D10" s="844">
        <f ca="1">IF(B1="",'数据-汇总表'!E6,IF(INDIRECT("'数据-取费表'!c"&amp;$G$1)="住宅",INDIRECT("'数据-取费表'!s"&amp;$G$1),INDIRECT("'数据-取费表'!k"&amp;$G$1)+INDIRECT("'数据-取费表'!s"&amp;$G$1)))</f>
        <v>485.45999999999992</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485.45999999999992</v>
      </c>
      <c r="E19" s="210">
        <f>'数据-取费表'!B31</f>
        <v>200</v>
      </c>
      <c r="F19" s="230"/>
      <c r="G19" s="1855" t="s">
        <v>3393</v>
      </c>
    </row>
    <row r="20" spans="1:7" s="213" customFormat="1" ht="13.5" customHeight="1">
      <c r="A20" s="254" t="s">
        <v>1574</v>
      </c>
      <c r="B20" s="209" t="s">
        <v>1575</v>
      </c>
      <c r="C20" s="231">
        <f ca="1">ROUND((C5+C19)*F20,0)</f>
        <v>42100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153603</v>
      </c>
      <c r="D22" s="234">
        <f ca="1">C26</f>
        <v>6.9999999999999999E-4</v>
      </c>
      <c r="E22" s="235" t="s">
        <v>1579</v>
      </c>
      <c r="F22" s="236">
        <f ca="1">'数据-取费表'!B40</f>
        <v>3.5499999999999997E-2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152108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1495</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429420</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429420</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2958199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385731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276210</v>
      </c>
      <c r="D34" s="216"/>
      <c r="E34" s="219"/>
      <c r="F34" s="256"/>
      <c r="G34" s="218"/>
    </row>
    <row r="35" spans="1:7" ht="13.5" customHeight="1">
      <c r="A35" s="779" t="s">
        <v>351</v>
      </c>
      <c r="B35" s="214" t="s">
        <v>1527</v>
      </c>
      <c r="C35" s="219">
        <f ca="1">ROUND(C34*F35,0)</f>
        <v>8286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97092</v>
      </c>
      <c r="D37" s="216">
        <f ca="1">D19</f>
        <v>485.45999999999992</v>
      </c>
      <c r="E37" s="248">
        <f>'数据-取费表'!B35</f>
        <v>200</v>
      </c>
      <c r="F37" s="258"/>
      <c r="G37" s="260"/>
    </row>
    <row r="38" spans="1:7" ht="13.5" customHeight="1">
      <c r="A38" s="779" t="s">
        <v>354</v>
      </c>
      <c r="B38" s="214" t="s">
        <v>1533</v>
      </c>
      <c r="C38" s="219">
        <f ca="1">ROUND(C34*F38,0)</f>
        <v>4143</v>
      </c>
      <c r="D38" s="219"/>
      <c r="E38" s="219"/>
      <c r="F38" s="258">
        <f>'数据-取费表'!B36</f>
        <v>1.4999999999999999E-2</v>
      </c>
      <c r="G38" s="218" t="s">
        <v>1528</v>
      </c>
    </row>
    <row r="39" spans="1:7" s="213" customFormat="1" ht="13.5" customHeight="1">
      <c r="A39" s="254" t="s">
        <v>1534</v>
      </c>
      <c r="B39" s="209" t="s">
        <v>1535</v>
      </c>
      <c r="C39" s="231">
        <f ca="1">ROUND(C33*F20,0)</f>
        <v>7715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13967</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13693</v>
      </c>
      <c r="D42" s="237"/>
      <c r="E42" s="237"/>
      <c r="F42" s="238"/>
      <c r="G42" s="3643" t="s">
        <v>1591</v>
      </c>
    </row>
    <row r="43" spans="1:7" ht="13.5" customHeight="1">
      <c r="A43" s="779" t="s">
        <v>347</v>
      </c>
      <c r="B43" s="214" t="s">
        <v>1545</v>
      </c>
      <c r="C43" s="237">
        <f ca="1">ROUND(IF('数据-取费表'!B22&lt;=1,C39*F22*'数据-取费表'!B20/2,C39*(POWER((1+F22),'数据-取费表'!B20/2)-1)),0)</f>
        <v>274</v>
      </c>
      <c r="D43" s="237"/>
      <c r="E43" s="237"/>
      <c r="F43" s="238"/>
      <c r="G43" s="3644"/>
    </row>
    <row r="44" spans="1:7" ht="13.5" customHeight="1">
      <c r="A44" s="779" t="s">
        <v>348</v>
      </c>
      <c r="B44" s="214" t="s">
        <v>1546</v>
      </c>
      <c r="C44" s="237">
        <f ca="1">ROUND(IF('数据-取费表'!B22&lt;=1,C40*F22*'数据-取费表'!B20/2,C40*(POWER((1+F22),'数据-取费表'!B20/2)-1)),4)</f>
        <v>6.9999999999999999E-4</v>
      </c>
      <c r="D44" s="237"/>
      <c r="E44" s="237"/>
      <c r="F44" s="238"/>
      <c r="G44" s="3645"/>
    </row>
    <row r="45" spans="1:7" s="213" customFormat="1" ht="13.5" customHeight="1">
      <c r="A45" s="254" t="s">
        <v>1547</v>
      </c>
      <c r="B45" s="243" t="s">
        <v>1513</v>
      </c>
      <c r="C45" s="244">
        <f ca="1">C46</f>
        <v>78689</v>
      </c>
      <c r="D45" s="234">
        <f ca="1">C47</f>
        <v>4.0000000000000001E-3</v>
      </c>
      <c r="E45" s="235" t="s">
        <v>1539</v>
      </c>
      <c r="F45" s="245">
        <f ca="1">F27</f>
        <v>0.2</v>
      </c>
      <c r="G45" s="246" t="s">
        <v>1548</v>
      </c>
    </row>
    <row r="46" spans="1:7" s="213" customFormat="1" ht="13.5" customHeight="1">
      <c r="A46" s="779" t="s">
        <v>346</v>
      </c>
      <c r="B46" s="247" t="s">
        <v>1549</v>
      </c>
      <c r="C46" s="248">
        <f ca="1">ROUND((C33+C39)*F27,0)</f>
        <v>78689</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526711</v>
      </c>
      <c r="D49" s="231"/>
      <c r="E49" s="231"/>
      <c r="F49" s="263"/>
      <c r="G49" s="233" t="s">
        <v>1554</v>
      </c>
    </row>
    <row r="50" spans="1:7" s="257" customFormat="1">
      <c r="A50" s="254" t="s">
        <v>1555</v>
      </c>
      <c r="B50" s="209" t="s">
        <v>1556</v>
      </c>
      <c r="C50" s="231"/>
      <c r="D50" s="231"/>
      <c r="E50" s="231"/>
      <c r="F50" s="263">
        <f>IF('数据-取费表'!B24=0,'数据-取费表'!N16,1)</f>
        <v>0.61699999999999999</v>
      </c>
      <c r="G50" s="246"/>
    </row>
    <row r="51" spans="1:7" ht="16.5" customHeight="1">
      <c r="A51" s="254" t="s">
        <v>1558</v>
      </c>
      <c r="B51" s="209" t="s">
        <v>1593</v>
      </c>
      <c r="C51" s="231">
        <f ca="1">ROUND(C49*F50,0)</f>
        <v>324981</v>
      </c>
      <c r="D51" s="231"/>
      <c r="E51" s="231"/>
      <c r="F51" s="263"/>
      <c r="G51" s="233" t="s">
        <v>1560</v>
      </c>
    </row>
    <row r="52" spans="1:7" s="207" customFormat="1" ht="16.5" thickBot="1">
      <c r="A52" s="264" t="s">
        <v>1561</v>
      </c>
      <c r="B52" s="265"/>
      <c r="C52" s="266">
        <f ca="1">C31+C51</f>
        <v>3283180</v>
      </c>
      <c r="D52" s="265"/>
      <c r="E52" s="265"/>
      <c r="F52" s="265"/>
      <c r="G52" s="267"/>
    </row>
    <row r="55" spans="1:7" ht="15">
      <c r="B55" s="269" t="s">
        <v>1562</v>
      </c>
      <c r="C55" s="270"/>
    </row>
    <row r="56" spans="1:7">
      <c r="B56" s="272" t="s">
        <v>802</v>
      </c>
      <c r="C56" s="274">
        <f ca="1">1-C57</f>
        <v>0.90100000000000002</v>
      </c>
    </row>
    <row r="57" spans="1:7">
      <c r="B57" s="272" t="s">
        <v>803</v>
      </c>
      <c r="C57" s="273">
        <f ca="1">ROUND(C51/C52,3)</f>
        <v>9.9000000000000005E-2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9</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485.45999999999992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485.45999999999992</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-0.22369999999999912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150</v>
      </c>
      <c r="F19" s="803"/>
      <c r="G19" s="12"/>
      <c r="H19" s="1188"/>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485.45999999999992</v>
      </c>
      <c r="E20" s="21">
        <f>'数据-取费表'!B28</f>
        <v>190</v>
      </c>
      <c r="F20" s="803"/>
      <c r="G20" s="12"/>
      <c r="H20" s="808"/>
      <c r="I20" s="808"/>
      <c r="J20" s="808"/>
      <c r="K20" s="809"/>
    </row>
    <row r="21" spans="1:33" s="802" customFormat="1" ht="13.5" customHeight="1">
      <c r="A21" s="789" t="s">
        <v>357</v>
      </c>
      <c r="B21" s="812" t="s">
        <v>1628</v>
      </c>
      <c r="C21" s="813">
        <f ca="1">C16+C17+C18</f>
        <v>-0.22369999999999912</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9</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48" t="s">
        <v>694</v>
      </c>
      <c r="C6" s="1073">
        <f ca="1">ROUND(F6*F8*F7*(1-F9)/10000,0)</f>
        <v>0</v>
      </c>
      <c r="D6" s="154" t="s">
        <v>2108</v>
      </c>
      <c r="E6" s="301" t="s">
        <v>696</v>
      </c>
      <c r="F6" s="302">
        <f ca="1">INDIRECT("'数据-取费表'!u"&amp;$G$1)</f>
        <v>0</v>
      </c>
      <c r="G6" s="1383"/>
      <c r="H6" s="1068" t="s">
        <v>398</v>
      </c>
      <c r="I6" s="3648" t="s">
        <v>694</v>
      </c>
      <c r="J6" s="300">
        <f ca="1">ROUND(M6*M8*M7*(1-M9)/10000,0)</f>
        <v>0</v>
      </c>
      <c r="K6" s="154" t="s">
        <v>2107</v>
      </c>
      <c r="L6" s="301" t="s">
        <v>696</v>
      </c>
      <c r="M6" s="302">
        <f ca="1">INDIRECT("'数据-取费表'!z"&amp;$G$1)</f>
        <v>0</v>
      </c>
    </row>
    <row r="7" spans="1:37" ht="18" customHeight="1">
      <c r="A7" s="1072"/>
      <c r="B7" s="3649"/>
      <c r="C7" s="1074"/>
      <c r="D7" s="306"/>
      <c r="E7" s="1075" t="s">
        <v>697</v>
      </c>
      <c r="F7" s="302">
        <f ca="1">IF(INDIRECT("'数据-取费表'!ah"&amp;$G$1)="",INDIRECT("'数据-取费表'!k"&amp;$G$1),INDIRECT("'数据-取费表'!ah"&amp;$G$1))</f>
        <v>0</v>
      </c>
      <c r="G7" s="1383"/>
      <c r="H7" s="303"/>
      <c r="I7" s="3649"/>
      <c r="J7" s="305"/>
      <c r="K7" s="306"/>
      <c r="L7" s="301" t="s">
        <v>697</v>
      </c>
      <c r="M7" s="302">
        <f ca="1">F7</f>
        <v>0</v>
      </c>
    </row>
    <row r="8" spans="1:37" ht="18" customHeight="1">
      <c r="A8" s="303"/>
      <c r="B8" s="3649"/>
      <c r="C8" s="305"/>
      <c r="D8" s="306"/>
      <c r="E8" s="301" t="s">
        <v>698</v>
      </c>
      <c r="F8" s="302">
        <f ca="1">INDIRECT("'数据-取费表'!ai"&amp;$G$1)</f>
        <v>0</v>
      </c>
      <c r="G8" s="1383"/>
      <c r="H8" s="303"/>
      <c r="I8" s="3649"/>
      <c r="J8" s="305"/>
      <c r="K8" s="306"/>
      <c r="L8" s="301" t="s">
        <v>698</v>
      </c>
      <c r="M8" s="302">
        <f ca="1">INDIRECT("'数据-取费表'!ai"&amp;$G$1)</f>
        <v>0</v>
      </c>
    </row>
    <row r="9" spans="1:37" ht="18" customHeight="1">
      <c r="A9" s="303"/>
      <c r="B9" s="3650"/>
      <c r="C9" s="305"/>
      <c r="D9" s="306"/>
      <c r="E9" s="301" t="s">
        <v>699</v>
      </c>
      <c r="F9" s="311">
        <f ca="1">INDIRECT("'数据-取费表'!w"&amp;$G$1)</f>
        <v>0</v>
      </c>
      <c r="G9" s="1383"/>
      <c r="H9" s="303"/>
      <c r="I9" s="365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46" t="s">
        <v>837</v>
      </c>
      <c r="L53" s="3647"/>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3422</v>
      </c>
      <c r="D1" s="1361" t="s">
        <v>43</v>
      </c>
      <c r="E1" s="1362" t="s">
        <v>678</v>
      </c>
      <c r="F1" s="1061">
        <f ca="1">J53</f>
        <v>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61.4024</v>
      </c>
      <c r="C2" s="1386" t="s">
        <v>879</v>
      </c>
      <c r="D2" s="1470">
        <f ca="1">C40+J29+L46</f>
        <v>614024</v>
      </c>
      <c r="E2" s="1387" t="s">
        <v>880</v>
      </c>
      <c r="F2" s="1388"/>
      <c r="G2" s="2705"/>
      <c r="H2" s="2694"/>
      <c r="I2" s="2694"/>
      <c r="J2" s="2694"/>
      <c r="K2" s="2695"/>
      <c r="L2" s="2694"/>
      <c r="M2" s="2694"/>
    </row>
    <row r="3" spans="1:37" ht="18" customHeight="1" thickBot="1">
      <c r="A3" s="1389" t="s">
        <v>881</v>
      </c>
      <c r="B3" s="1390">
        <f ca="1">IF(ISERROR(D2/F43),0,ROUND(D2/F43,0))</f>
        <v>6669</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63593</v>
      </c>
      <c r="D5" s="1363" t="s">
        <v>889</v>
      </c>
      <c r="E5" s="1070"/>
      <c r="F5" s="1071"/>
      <c r="G5" s="1383"/>
      <c r="H5" s="298">
        <v>1</v>
      </c>
      <c r="I5" s="299" t="s">
        <v>888</v>
      </c>
      <c r="J5" s="1069">
        <f ca="1">J6+J10+J12</f>
        <v>0</v>
      </c>
      <c r="K5" s="1363" t="s">
        <v>889</v>
      </c>
      <c r="L5" s="1070"/>
      <c r="M5" s="1071"/>
    </row>
    <row r="6" spans="1:37" ht="18" customHeight="1">
      <c r="A6" s="1068" t="s">
        <v>398</v>
      </c>
      <c r="B6" s="3648" t="s">
        <v>694</v>
      </c>
      <c r="C6" s="1073">
        <f ca="1">ROUND(F6*F8*F7*(1-F9),0)</f>
        <v>63514</v>
      </c>
      <c r="D6" s="154" t="s">
        <v>2105</v>
      </c>
      <c r="E6" s="301" t="s">
        <v>696</v>
      </c>
      <c r="F6" s="302">
        <f ca="1">INDIRECT("'数据-取费表'!u"&amp;$G$1)</f>
        <v>2.1</v>
      </c>
      <c r="G6" s="1383"/>
      <c r="H6" s="1068" t="s">
        <v>398</v>
      </c>
      <c r="I6" s="3648" t="s">
        <v>694</v>
      </c>
      <c r="J6" s="300">
        <f ca="1">ROUND(M6*M8*M7*(1-M9),0)</f>
        <v>0</v>
      </c>
      <c r="K6" s="1375" t="s">
        <v>2106</v>
      </c>
      <c r="L6" s="301" t="s">
        <v>696</v>
      </c>
      <c r="M6" s="302">
        <f ca="1">INDIRECT("'数据-取费表'!z"&amp;$G$1)</f>
        <v>0</v>
      </c>
    </row>
    <row r="7" spans="1:37" ht="18" customHeight="1">
      <c r="A7" s="1072"/>
      <c r="B7" s="3649"/>
      <c r="C7" s="1074"/>
      <c r="D7" s="306"/>
      <c r="E7" s="1075" t="s">
        <v>697</v>
      </c>
      <c r="F7" s="302">
        <f ca="1">IF(INDIRECT("'数据-取费表'!ah"&amp;$G$1)="",INDIRECT("'数据-取费表'!k"&amp;$G$1),INDIRECT("'数据-取费表'!ah"&amp;$G$1))</f>
        <v>92.07</v>
      </c>
      <c r="G7" s="1383"/>
      <c r="H7" s="303"/>
      <c r="I7" s="3649"/>
      <c r="J7" s="305"/>
      <c r="K7" s="306"/>
      <c r="L7" s="301" t="s">
        <v>697</v>
      </c>
      <c r="M7" s="302">
        <f ca="1">F7</f>
        <v>92.07</v>
      </c>
    </row>
    <row r="8" spans="1:37" ht="18" customHeight="1">
      <c r="A8" s="303"/>
      <c r="B8" s="3649"/>
      <c r="C8" s="305"/>
      <c r="D8" s="306"/>
      <c r="E8" s="301" t="s">
        <v>698</v>
      </c>
      <c r="F8" s="302">
        <f ca="1">INDIRECT("'数据-取费表'!ai"&amp;$G$1)</f>
        <v>365</v>
      </c>
      <c r="G8" s="1383"/>
      <c r="H8" s="303"/>
      <c r="I8" s="3649"/>
      <c r="J8" s="305"/>
      <c r="K8" s="306"/>
      <c r="L8" s="301" t="s">
        <v>698</v>
      </c>
      <c r="M8" s="302">
        <f ca="1">INDIRECT("'数据-取费表'!ai"&amp;$G$1)</f>
        <v>365</v>
      </c>
    </row>
    <row r="9" spans="1:37" ht="18" customHeight="1">
      <c r="A9" s="303"/>
      <c r="B9" s="3650"/>
      <c r="C9" s="305"/>
      <c r="D9" s="306"/>
      <c r="E9" s="301" t="s">
        <v>699</v>
      </c>
      <c r="F9" s="311">
        <f ca="1">INDIRECT("'数据-取费表'!w"&amp;$G$1)</f>
        <v>0.1</v>
      </c>
      <c r="G9" s="1383"/>
      <c r="H9" s="303"/>
      <c r="I9" s="3650"/>
      <c r="J9" s="305"/>
      <c r="K9" s="306"/>
      <c r="L9" s="312" t="s">
        <v>699</v>
      </c>
      <c r="M9" s="313">
        <f ca="1">INDIRECT("'数据-取费表'!ab"&amp;$G$1)</f>
        <v>0</v>
      </c>
    </row>
    <row r="10" spans="1:37" ht="18" customHeight="1">
      <c r="A10" s="1068" t="s">
        <v>402</v>
      </c>
      <c r="B10" s="1364" t="s">
        <v>700</v>
      </c>
      <c r="C10" s="315">
        <f ca="1">ROUND(IF(F10="押一",C6/12*F11,IF(F10="押二",C6/12*2*F11,IF(F10="押三",C6/12*3*F11,C11*F11))),0)</f>
        <v>79</v>
      </c>
      <c r="D10" s="1365" t="s">
        <v>2115</v>
      </c>
      <c r="E10" s="312" t="s">
        <v>701</v>
      </c>
      <c r="F10" s="1115" t="s">
        <v>3407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258554</v>
      </c>
      <c r="D13" s="1080" t="s">
        <v>705</v>
      </c>
      <c r="E13" s="1080" t="s">
        <v>706</v>
      </c>
      <c r="F13" s="1081">
        <f ca="1">INDIRECT("'数据-取费表'!y"&amp;$G$1)</f>
        <v>0.6166666666666667</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276210</v>
      </c>
      <c r="D14" s="1344" t="s">
        <v>708</v>
      </c>
      <c r="E14" s="1341"/>
      <c r="F14" s="318"/>
      <c r="G14" s="1383"/>
      <c r="H14" s="981" t="s">
        <v>398</v>
      </c>
      <c r="I14" s="301" t="s">
        <v>709</v>
      </c>
      <c r="J14" s="21">
        <f ca="1">C29</f>
        <v>419277</v>
      </c>
      <c r="K14" s="12"/>
      <c r="L14" s="806"/>
      <c r="M14" s="807"/>
    </row>
    <row r="15" spans="1:37" s="1396" customFormat="1" ht="18" customHeight="1" thickBot="1">
      <c r="A15" s="981" t="s">
        <v>399</v>
      </c>
      <c r="B15" s="301" t="s">
        <v>710</v>
      </c>
      <c r="C15" s="21">
        <f ca="1">ROUND(C14*F15,0)</f>
        <v>8286</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4193</v>
      </c>
      <c r="K16" s="1086" t="s">
        <v>715</v>
      </c>
      <c r="L16" s="1087"/>
      <c r="M16" s="1071"/>
    </row>
    <row r="17" spans="1:37" s="1396" customFormat="1" ht="18" customHeight="1">
      <c r="A17" s="981" t="s">
        <v>681</v>
      </c>
      <c r="B17" s="301" t="s">
        <v>716</v>
      </c>
      <c r="C17" s="21">
        <f ca="1">ROUND(F17*(F43+INDIRECT("'数据-取费表'!S"&amp;$G$1)),0)</f>
        <v>18414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4143</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307053</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6141</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4193</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11118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-4193</v>
      </c>
      <c r="K25" s="1094" t="s">
        <v>753</v>
      </c>
      <c r="L25" s="1095"/>
      <c r="M25" s="1096"/>
    </row>
    <row r="26" spans="1:37" ht="18" customHeight="1">
      <c r="A26" s="981" t="s">
        <v>397</v>
      </c>
      <c r="B26" s="301" t="s">
        <v>754</v>
      </c>
      <c r="C26" s="21">
        <f ca="1">ROUND((C19+C20)*F26,0)</f>
        <v>62639</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419277</v>
      </c>
      <c r="D29" s="1091"/>
      <c r="E29" s="1089"/>
      <c r="F29" s="1092"/>
      <c r="G29" s="1395"/>
      <c r="H29" s="333" t="s">
        <v>396</v>
      </c>
      <c r="I29" s="334" t="s">
        <v>768</v>
      </c>
      <c r="J29" s="335">
        <f ca="1">ROUND(J26/(1+F40)^F41,0)</f>
        <v>0</v>
      </c>
      <c r="K29" s="336" t="s">
        <v>769</v>
      </c>
      <c r="L29" s="337"/>
      <c r="M29" s="338">
        <f ca="1">INDIRECT("'数据-取费表'!k"&amp;$G$1)</f>
        <v>92.07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15992</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10586</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1">
        <f ca="1">IF(项目基本情况!B11="自然人","——",ROUND(C6*F32/(1+'数据-取费表'!C42),0))</f>
        <v>3327</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7259</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4193</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ROUND(C13*F37,0)</f>
        <v>259</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954</v>
      </c>
      <c r="D38" s="1091" t="s">
        <v>748</v>
      </c>
      <c r="E38" s="1089" t="s">
        <v>744</v>
      </c>
      <c r="F38" s="1085">
        <f ca="1">INDIRECT("'数据-取费表'!Am"&amp;$G$1)</f>
        <v>1.4999999999999999E-2</v>
      </c>
      <c r="G38" s="1383"/>
      <c r="H38" s="2699"/>
      <c r="I38" s="1397"/>
      <c r="J38" s="1398"/>
      <c r="K38" s="2703"/>
      <c r="L38" s="2699"/>
      <c r="M38" s="2699"/>
    </row>
    <row r="39" spans="1:18" ht="24.6" customHeight="1" thickTop="1">
      <c r="A39" s="1078" t="s">
        <v>394</v>
      </c>
      <c r="B39" s="1093" t="s">
        <v>772</v>
      </c>
      <c r="C39" s="309">
        <f ca="1">C5-C30</f>
        <v>47601</v>
      </c>
      <c r="D39" s="1094" t="s">
        <v>773</v>
      </c>
      <c r="E39" s="1095"/>
      <c r="F39" s="1096"/>
      <c r="G39" s="1383"/>
      <c r="H39" s="2699"/>
      <c r="I39" s="1397"/>
      <c r="J39" s="1398"/>
      <c r="K39" s="2703"/>
      <c r="L39" s="2699"/>
      <c r="M39" s="2699"/>
    </row>
    <row r="40" spans="1:18" ht="18" customHeight="1">
      <c r="A40" s="298" t="s">
        <v>395</v>
      </c>
      <c r="B40" s="299" t="s">
        <v>774</v>
      </c>
      <c r="C40" s="300">
        <f ca="1">ROUND(C39*(1-((1+F42)/(1+F40))^F41)/(F40-F42),0)</f>
        <v>557343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15</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ROUND(C40/F43,0)</f>
        <v>6053</v>
      </c>
      <c r="D43" s="336" t="s">
        <v>777</v>
      </c>
      <c r="E43" s="337" t="s">
        <v>778</v>
      </c>
      <c r="F43" s="338">
        <f ca="1">INDIRECT("'数据-取费表'!k"&amp;$G$1)</f>
        <v>92.07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-60.203000000000003</v>
      </c>
      <c r="D45" s="3431" t="s">
        <v>3357</v>
      </c>
      <c r="E45" s="1399"/>
      <c r="F45" s="1399"/>
      <c r="O45" s="1402" t="s">
        <v>808</v>
      </c>
      <c r="P45" s="1460"/>
      <c r="Q45" s="1460"/>
      <c r="R45" s="1460"/>
    </row>
    <row r="46" spans="1:18" s="1383" customFormat="1" ht="13.5" thickBot="1">
      <c r="A46" s="1403" t="s">
        <v>809</v>
      </c>
      <c r="C46" s="1404">
        <f ca="1">ROUND(C45,0)</f>
        <v>-60</v>
      </c>
      <c r="D46" s="1405" t="str">
        <f>C2</f>
        <v>万元</v>
      </c>
      <c r="I46" s="1406" t="s">
        <v>810</v>
      </c>
      <c r="J46" s="1407"/>
      <c r="K46" s="1408"/>
      <c r="L46" s="1409">
        <f ca="1">IF(M47="住宅",0,IF(L48&gt;J51,L60,J60))</f>
        <v>56681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40</v>
      </c>
      <c r="M47" s="1379" t="str">
        <f>IF(ISNUMBER(FIND("住宅",C1)),"住宅","非住宅")</f>
        <v>非住宅</v>
      </c>
      <c r="O47" s="1417" t="s">
        <v>403</v>
      </c>
      <c r="P47" s="1418" t="s">
        <v>817</v>
      </c>
      <c r="Q47" s="1419">
        <f ca="1">C40+J29</f>
        <v>557343</v>
      </c>
      <c r="R47" s="1419" t="s">
        <v>818</v>
      </c>
    </row>
    <row r="48" spans="1:18" s="1383" customFormat="1" ht="28.5" thickBot="1">
      <c r="A48" s="1109" t="s">
        <v>438</v>
      </c>
      <c r="B48" s="299" t="s">
        <v>692</v>
      </c>
      <c r="C48" s="1358">
        <f ca="1">C49+C53+C55</f>
        <v>0</v>
      </c>
      <c r="D48" s="1111"/>
      <c r="E48" s="1112"/>
      <c r="F48" s="961"/>
      <c r="G48" s="721"/>
      <c r="H48" s="722"/>
      <c r="I48" s="1420" t="s">
        <v>819</v>
      </c>
      <c r="J48" s="1421" t="s">
        <v>3405</v>
      </c>
      <c r="K48" s="1422" t="s">
        <v>820</v>
      </c>
      <c r="L48" s="1423">
        <f ca="1">INDIRECT("'数据-取费表'!f"&amp;$G$1)</f>
        <v>15</v>
      </c>
      <c r="O48" s="1417" t="s">
        <v>404</v>
      </c>
      <c r="P48" s="1418" t="s">
        <v>821</v>
      </c>
      <c r="Q48" s="1419">
        <f ca="1">J60</f>
        <v>56681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2000</v>
      </c>
      <c r="K49" s="1422" t="s">
        <v>824</v>
      </c>
      <c r="L49" s="1426"/>
      <c r="O49" s="1427" t="s">
        <v>405</v>
      </c>
      <c r="P49" s="1418" t="s">
        <v>825</v>
      </c>
      <c r="Q49" s="1419">
        <f ca="1">C29</f>
        <v>419277</v>
      </c>
      <c r="R49" s="1419" t="s">
        <v>818</v>
      </c>
    </row>
    <row r="50" spans="1:18" s="1383" customFormat="1" ht="13.5" thickBot="1">
      <c r="A50" s="975"/>
      <c r="B50" s="978"/>
      <c r="C50" s="979"/>
      <c r="D50" s="952"/>
      <c r="E50" s="1055" t="s">
        <v>697</v>
      </c>
      <c r="F50" s="1056">
        <f ca="1">F7</f>
        <v>92.07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37</v>
      </c>
      <c r="K51" s="1433" t="s">
        <v>830</v>
      </c>
      <c r="L51" s="1434">
        <f ca="1">ROUND(-PV(INDIRECT("'数据-取费表'!h"&amp;$G$1),J51,(C39-C13*C76),0),0)</f>
        <v>795474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15</v>
      </c>
      <c r="K53" s="3646" t="s">
        <v>837</v>
      </c>
      <c r="L53" s="3647"/>
      <c r="O53" s="1417" t="s">
        <v>409</v>
      </c>
      <c r="P53" s="1418" t="s">
        <v>838</v>
      </c>
      <c r="Q53" s="1419">
        <f ca="1">Q47+Q48</f>
        <v>614024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258554</v>
      </c>
      <c r="D56" s="1446"/>
      <c r="E56" s="1447"/>
      <c r="F56" s="1439"/>
      <c r="I56" s="1448" t="s">
        <v>842</v>
      </c>
      <c r="J56" s="1449" t="s">
        <v>3406</v>
      </c>
      <c r="K56" s="1420" t="s">
        <v>843</v>
      </c>
      <c r="L56" s="1423" t="str">
        <f ca="1">IF(L48&lt;J51,"——",L48-J51)</f>
        <v>——</v>
      </c>
      <c r="O56" s="1417" t="s">
        <v>403</v>
      </c>
      <c r="P56" s="1418" t="s">
        <v>817</v>
      </c>
      <c r="Q56" s="1419">
        <f ca="1">C40+J29</f>
        <v>557343</v>
      </c>
      <c r="R56" s="1419" t="s">
        <v>818</v>
      </c>
    </row>
    <row r="57" spans="1:18" s="1383" customFormat="1" ht="24.75" thickBot="1">
      <c r="A57" s="1450"/>
      <c r="B57" s="949" t="s">
        <v>767</v>
      </c>
      <c r="C57" s="237">
        <f ca="1">C29</f>
        <v>419277</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4452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167711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56681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557343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4193</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259</v>
      </c>
      <c r="D65" s="963" t="s">
        <v>743</v>
      </c>
      <c r="E65" s="949" t="s">
        <v>744</v>
      </c>
      <c r="F65" s="329">
        <f t="shared" ca="1" si="0"/>
        <v>1E-3</v>
      </c>
      <c r="I65" s="1461" t="s">
        <v>867</v>
      </c>
      <c r="J65" s="1462">
        <v>40</v>
      </c>
      <c r="K65" s="1462">
        <v>30</v>
      </c>
      <c r="L65" s="1462">
        <v>50</v>
      </c>
      <c r="M65" s="1464">
        <v>0.02</v>
      </c>
      <c r="O65" s="1417" t="s">
        <v>403</v>
      </c>
      <c r="P65" s="1418" t="s">
        <v>868</v>
      </c>
      <c r="Q65" s="1419">
        <f ca="1">C40+J29</f>
        <v>557343</v>
      </c>
      <c r="R65" s="1419" t="s">
        <v>818</v>
      </c>
    </row>
    <row r="66" spans="1:18" s="1383" customFormat="1" ht="16.5" thickBot="1">
      <c r="A66" s="981" t="s">
        <v>793</v>
      </c>
      <c r="B66" s="949" t="s">
        <v>728</v>
      </c>
      <c r="C66" s="21">
        <f ca="1">ROUND(C48*F66,0)</f>
        <v>0</v>
      </c>
      <c r="D66" s="963" t="s">
        <v>794</v>
      </c>
      <c r="E66" s="949" t="s">
        <v>712</v>
      </c>
      <c r="F66" s="311">
        <f t="shared" ca="1" si="0"/>
        <v>1.4999999999999999E-2</v>
      </c>
      <c r="O66" s="1417" t="s">
        <v>404</v>
      </c>
      <c r="P66" s="1418" t="s">
        <v>846</v>
      </c>
      <c r="Q66" s="1419">
        <f ca="1">L60</f>
        <v>0</v>
      </c>
      <c r="R66" s="1419" t="s">
        <v>869</v>
      </c>
    </row>
    <row r="67" spans="1:18" s="1383" customFormat="1" ht="16.5" thickBot="1">
      <c r="A67" s="956" t="s">
        <v>394</v>
      </c>
      <c r="B67" s="966" t="s">
        <v>752</v>
      </c>
      <c r="C67" s="315">
        <f ca="1">C48-C58</f>
        <v>-4452</v>
      </c>
      <c r="D67" s="962" t="s">
        <v>753</v>
      </c>
      <c r="E67" s="967"/>
      <c r="F67" s="968"/>
      <c r="O67" s="1427" t="s">
        <v>405</v>
      </c>
      <c r="P67" s="1418" t="s">
        <v>850</v>
      </c>
      <c r="Q67" s="1465">
        <f ca="1">L51</f>
        <v>795474</v>
      </c>
      <c r="R67" s="1419" t="s">
        <v>870</v>
      </c>
    </row>
    <row r="68" spans="1:18" s="1383" customFormat="1" ht="16.5" thickBot="1">
      <c r="A68" s="946" t="s">
        <v>395</v>
      </c>
      <c r="B68" s="947" t="s">
        <v>774</v>
      </c>
      <c r="C68" s="300">
        <f ca="1">ROUND(C67*(1-((1+F70)/(1+F68))^F69)/(F68-F70),0)</f>
        <v>-44687</v>
      </c>
      <c r="D68" s="964" t="s">
        <v>758</v>
      </c>
      <c r="E68" s="949" t="s">
        <v>759</v>
      </c>
      <c r="F68" s="311">
        <f ca="1">F40</f>
        <v>5.5E-2</v>
      </c>
      <c r="O68" s="1427" t="s">
        <v>406</v>
      </c>
      <c r="P68" s="1466" t="s">
        <v>871</v>
      </c>
      <c r="Q68" s="1419">
        <f ca="1">ROUND(Q69-Q70*Q71,0)</f>
        <v>47601</v>
      </c>
      <c r="R68" s="1419" t="s">
        <v>414</v>
      </c>
    </row>
    <row r="69" spans="1:18" s="1383" customFormat="1" ht="13.5" thickBot="1">
      <c r="A69" s="950"/>
      <c r="B69" s="951"/>
      <c r="C69" s="305"/>
      <c r="D69" s="969" t="s">
        <v>762</v>
      </c>
      <c r="E69" s="949" t="s">
        <v>763</v>
      </c>
      <c r="F69" s="332">
        <f ca="1">F41</f>
        <v>15</v>
      </c>
      <c r="O69" s="1427" t="s">
        <v>411</v>
      </c>
      <c r="P69" s="1466" t="s">
        <v>872</v>
      </c>
      <c r="Q69" s="1419">
        <f ca="1">C39</f>
        <v>47601</v>
      </c>
      <c r="R69" s="1419" t="s">
        <v>818</v>
      </c>
    </row>
    <row r="70" spans="1:18" s="1383" customFormat="1" ht="13.5" thickBot="1">
      <c r="A70" s="953"/>
      <c r="B70" s="954"/>
      <c r="C70" s="309"/>
      <c r="D70" s="965"/>
      <c r="E70" s="949" t="s">
        <v>766</v>
      </c>
      <c r="F70" s="1053"/>
      <c r="O70" s="1427" t="s">
        <v>412</v>
      </c>
      <c r="P70" s="1466" t="s">
        <v>873</v>
      </c>
      <c r="Q70" s="1419">
        <f ca="1">C13</f>
        <v>258554</v>
      </c>
      <c r="R70" s="1419" t="s">
        <v>818</v>
      </c>
    </row>
    <row r="71" spans="1:18" s="1383" customFormat="1" ht="13.5" thickBot="1">
      <c r="A71" s="970" t="s">
        <v>396</v>
      </c>
      <c r="B71" s="971" t="s">
        <v>776</v>
      </c>
      <c r="C71" s="335">
        <f ca="1">ROUND(C68/F71,0)</f>
        <v>-485</v>
      </c>
      <c r="D71" s="972" t="s">
        <v>777</v>
      </c>
      <c r="E71" s="973" t="s">
        <v>778</v>
      </c>
      <c r="F71" s="338">
        <f ca="1">F43</f>
        <v>92.07</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f ca="1">Q65+Q66</f>
        <v>557343</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0.53600000000000003</v>
      </c>
    </row>
    <row r="83" spans="2:3">
      <c r="B83" s="272" t="s">
        <v>803</v>
      </c>
      <c r="C83" s="273">
        <f ca="1">ROUND(C13/C40,3)</f>
        <v>0.46400000000000002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57" t="s">
        <v>2320</v>
      </c>
      <c r="K2" s="365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9" t="s">
        <v>2330</v>
      </c>
      <c r="K3" s="366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9" t="s">
        <v>2332</v>
      </c>
      <c r="K4" s="366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5" t="s">
        <v>2336</v>
      </c>
      <c r="B6" s="3666"/>
      <c r="C6" s="3667"/>
      <c r="D6" s="2869"/>
      <c r="E6" s="2870"/>
      <c r="F6" s="2871"/>
      <c r="G6" s="2872"/>
      <c r="H6" s="2847"/>
      <c r="I6" s="2848"/>
      <c r="J6" s="3651">
        <v>1</v>
      </c>
      <c r="K6" s="365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1"/>
      <c r="K7" s="365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8" t="s">
        <v>2350</v>
      </c>
      <c r="C8" s="3669"/>
      <c r="D8" s="2888" t="s">
        <v>2351</v>
      </c>
      <c r="E8" s="2889" t="s">
        <v>2352</v>
      </c>
      <c r="F8" s="2890" t="s">
        <v>2353</v>
      </c>
      <c r="G8" s="2891"/>
      <c r="H8" s="2847"/>
      <c r="I8" s="2848"/>
      <c r="J8" s="3651"/>
      <c r="K8" s="365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8" t="s">
        <v>2356</v>
      </c>
      <c r="C9" s="3669"/>
      <c r="D9" s="2888">
        <f>ROUND(D6*E9,0)</f>
        <v>0</v>
      </c>
      <c r="E9" s="2892"/>
      <c r="F9" s="2893" t="s">
        <v>2357</v>
      </c>
      <c r="G9" s="2872"/>
      <c r="H9" s="2847"/>
      <c r="I9" s="2848"/>
      <c r="J9" s="3651"/>
      <c r="K9" s="3653"/>
      <c r="L9" s="2882" t="s">
        <v>2358</v>
      </c>
      <c r="M9" s="2883"/>
      <c r="N9" s="2859"/>
      <c r="O9" s="2884"/>
      <c r="P9" s="2884"/>
      <c r="Q9" s="2885">
        <v>365</v>
      </c>
      <c r="R9" s="2886">
        <f t="shared" si="0"/>
        <v>0</v>
      </c>
      <c r="S9" s="2840"/>
      <c r="T9" s="2840"/>
      <c r="U9" s="2840"/>
      <c r="V9" s="2848"/>
    </row>
    <row r="10" spans="1:22" s="2852" customFormat="1" ht="13.15" customHeight="1">
      <c r="A10" s="2887">
        <v>2</v>
      </c>
      <c r="B10" s="3668" t="s">
        <v>2359</v>
      </c>
      <c r="C10" s="3669"/>
      <c r="D10" s="2888">
        <f>ROUND(D6*E10,0)</f>
        <v>0</v>
      </c>
      <c r="E10" s="2892"/>
      <c r="F10" s="2893" t="s">
        <v>2360</v>
      </c>
      <c r="G10" s="2872"/>
      <c r="H10" s="2847"/>
      <c r="I10" s="2848"/>
      <c r="J10" s="3651"/>
      <c r="K10" s="3653"/>
      <c r="L10" s="2882" t="s">
        <v>2361</v>
      </c>
      <c r="M10" s="2883"/>
      <c r="N10" s="2859"/>
      <c r="O10" s="2884"/>
      <c r="P10" s="2884"/>
      <c r="Q10" s="2885">
        <v>365</v>
      </c>
      <c r="R10" s="2886">
        <f t="shared" si="0"/>
        <v>0</v>
      </c>
      <c r="S10" s="2840"/>
      <c r="T10" s="2840"/>
      <c r="U10" s="2840"/>
      <c r="V10" s="2848"/>
    </row>
    <row r="11" spans="1:22" s="2852" customFormat="1" ht="13.15" customHeight="1">
      <c r="A11" s="2887">
        <v>3</v>
      </c>
      <c r="B11" s="3668" t="s">
        <v>2362</v>
      </c>
      <c r="C11" s="3669"/>
      <c r="D11" s="2888">
        <f>D12+D14+D15+D16</f>
        <v>0</v>
      </c>
      <c r="E11" s="2894" t="e">
        <f>D11/D6</f>
        <v>#DIV/0!</v>
      </c>
      <c r="F11" s="2890"/>
      <c r="G11" s="2891"/>
      <c r="H11" s="2847"/>
      <c r="I11" s="2848"/>
      <c r="J11" s="3651"/>
      <c r="K11" s="365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1" t="s">
        <v>2365</v>
      </c>
      <c r="C12" s="3662"/>
      <c r="D12" s="2896">
        <f>ROUND(D13*1.2%*(1-30%),0)</f>
        <v>0</v>
      </c>
      <c r="E12" s="2897">
        <v>1.2E-2</v>
      </c>
      <c r="F12" s="2890" t="s">
        <v>2366</v>
      </c>
      <c r="G12" s="2891"/>
      <c r="H12" s="2847"/>
      <c r="I12" s="2848"/>
      <c r="J12" s="3651"/>
      <c r="K12" s="365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1"/>
      <c r="K13" s="365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1" t="s">
        <v>2371</v>
      </c>
      <c r="C14" s="3662"/>
      <c r="D14" s="2896">
        <f>ROUND(E14*B5/10000,0)</f>
        <v>0</v>
      </c>
      <c r="E14" s="2885"/>
      <c r="F14" s="2890" t="s">
        <v>2372</v>
      </c>
      <c r="G14" s="2891"/>
      <c r="H14" s="2847"/>
      <c r="I14" s="2848"/>
      <c r="J14" s="3651"/>
      <c r="K14" s="365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1" t="s">
        <v>2375</v>
      </c>
      <c r="C15" s="3662"/>
      <c r="D15" s="2896">
        <f>ROUND(D6*E15,0)</f>
        <v>0</v>
      </c>
      <c r="E15" s="2897">
        <v>5.5E-2</v>
      </c>
      <c r="F15" s="2890" t="s">
        <v>2376</v>
      </c>
      <c r="G15" s="2872"/>
      <c r="H15" s="2847"/>
      <c r="I15" s="2848"/>
      <c r="J15" s="3651">
        <v>2</v>
      </c>
      <c r="K15" s="365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1" t="s">
        <v>2384</v>
      </c>
      <c r="C16" s="3662"/>
      <c r="D16" s="2907">
        <f>D6*E16</f>
        <v>0</v>
      </c>
      <c r="E16" s="2908"/>
      <c r="F16" s="2893" t="s">
        <v>2385</v>
      </c>
      <c r="G16" s="2872"/>
      <c r="H16" s="2847"/>
      <c r="I16" s="2848"/>
      <c r="J16" s="3651"/>
      <c r="K16" s="365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3" t="s">
        <v>2387</v>
      </c>
      <c r="C17" s="3664"/>
      <c r="D17" s="2910">
        <f>ROUND(D6*E17,0)</f>
        <v>0</v>
      </c>
      <c r="E17" s="2911"/>
      <c r="F17" s="2912" t="s">
        <v>2388</v>
      </c>
      <c r="G17" s="2872"/>
      <c r="H17" s="2847"/>
      <c r="I17" s="2848"/>
      <c r="J17" s="3651"/>
      <c r="K17" s="365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1"/>
      <c r="K18" s="365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1"/>
      <c r="K19" s="365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1">
        <v>3</v>
      </c>
      <c r="K20" s="365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1"/>
      <c r="K21" s="365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1"/>
      <c r="K22" s="365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1"/>
      <c r="K23" s="365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1"/>
      <c r="K24" s="365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7" t="s">
        <v>2320</v>
      </c>
      <c r="K32" s="365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9" t="s">
        <v>2330</v>
      </c>
      <c r="K33" s="366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9" t="s">
        <v>2332</v>
      </c>
      <c r="K34" s="36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1">
        <v>1</v>
      </c>
      <c r="K36" s="365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1"/>
      <c r="K37" s="365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1"/>
      <c r="K38" s="365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1"/>
      <c r="K39" s="365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1"/>
      <c r="K40" s="365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61.4024</v>
      </c>
      <c r="C2" s="1871" t="s">
        <v>1651</v>
      </c>
      <c r="D2" s="1872" t="s">
        <v>1652</v>
      </c>
      <c r="E2" s="2606">
        <f>SUM(E6:E13)</f>
        <v>92.07</v>
      </c>
      <c r="F2" s="2706"/>
      <c r="G2" s="1488"/>
      <c r="H2" s="1488"/>
      <c r="I2" s="1488"/>
      <c r="J2" s="1488"/>
      <c r="K2" s="1488"/>
      <c r="L2" s="1488"/>
      <c r="M2" s="1488"/>
      <c r="N2" s="1488"/>
      <c r="O2" s="1488"/>
      <c r="P2" s="1488"/>
      <c r="Q2" s="1488"/>
      <c r="R2" s="1488"/>
      <c r="S2" s="1488"/>
    </row>
    <row r="3" spans="1:22" ht="15.75">
      <c r="A3" s="1869" t="s">
        <v>686</v>
      </c>
      <c r="B3" s="2600">
        <f ca="1">ROUND(B2*10000/E2,0)</f>
        <v>6669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0" t="s">
        <v>1654</v>
      </c>
      <c r="C5" s="367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61.4024</v>
      </c>
      <c r="C6" s="1871" t="s">
        <v>1651</v>
      </c>
      <c r="D6" s="2708"/>
      <c r="E6" s="2605">
        <f>IF(OR(A6=0,F6="否"),0,'数据-取费表'!K6+'数据-取费表'!S6)</f>
        <v>92.07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485.45999999999992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0" t="s">
        <v>1667</v>
      </c>
      <c r="D4" s="3691"/>
      <c r="E4" s="3692" t="s">
        <v>1668</v>
      </c>
      <c r="F4" s="3693"/>
      <c r="G4" s="3690" t="s">
        <v>1669</v>
      </c>
      <c r="H4" s="3691"/>
      <c r="I4" s="3690" t="s">
        <v>1670</v>
      </c>
      <c r="J4" s="3691"/>
      <c r="K4" s="1888" t="s">
        <v>1671</v>
      </c>
      <c r="L4" s="2714"/>
      <c r="M4" s="2715"/>
      <c r="N4" s="2715"/>
      <c r="O4" s="2715"/>
      <c r="P4" s="3694" t="s">
        <v>1672</v>
      </c>
      <c r="Q4" s="3695"/>
      <c r="R4" s="3700" t="s">
        <v>1668</v>
      </c>
      <c r="S4" s="3701"/>
      <c r="T4" s="3700" t="s">
        <v>1669</v>
      </c>
      <c r="U4" s="3701"/>
      <c r="V4" s="3706" t="s">
        <v>1670</v>
      </c>
      <c r="W4" s="3706"/>
      <c r="X4" s="1354"/>
      <c r="Y4" s="3700" t="s">
        <v>1672</v>
      </c>
      <c r="Z4" s="3701"/>
      <c r="AA4" s="3687" t="s">
        <v>1668</v>
      </c>
      <c r="AB4" s="3687" t="s">
        <v>1669</v>
      </c>
      <c r="AC4" s="3687" t="s">
        <v>1670</v>
      </c>
    </row>
    <row r="5" spans="1:29" ht="15">
      <c r="A5" s="357"/>
      <c r="B5" s="358"/>
      <c r="C5" s="3709" t="s">
        <v>1673</v>
      </c>
      <c r="D5" s="3710"/>
      <c r="E5" s="3716" t="s">
        <v>1674</v>
      </c>
      <c r="F5" s="3717"/>
      <c r="G5" s="3709" t="s">
        <v>1675</v>
      </c>
      <c r="H5" s="3710"/>
      <c r="I5" s="3709" t="s">
        <v>1676</v>
      </c>
      <c r="J5" s="3710"/>
      <c r="K5" s="1889"/>
      <c r="L5" s="2714"/>
      <c r="M5" s="2715"/>
      <c r="N5" s="2715"/>
      <c r="O5" s="2715"/>
      <c r="P5" s="3696"/>
      <c r="Q5" s="3697"/>
      <c r="R5" s="3702"/>
      <c r="S5" s="3703"/>
      <c r="T5" s="3702"/>
      <c r="U5" s="3703"/>
      <c r="V5" s="3706"/>
      <c r="W5" s="3706"/>
      <c r="X5" s="1354"/>
      <c r="Y5" s="3702"/>
      <c r="Z5" s="3703"/>
      <c r="AA5" s="3688"/>
      <c r="AB5" s="3688"/>
      <c r="AC5" s="3688"/>
    </row>
    <row r="6" spans="1:29" ht="15.75" thickBot="1">
      <c r="A6" s="359"/>
      <c r="B6" s="360"/>
      <c r="C6" s="3707" t="s">
        <v>1677</v>
      </c>
      <c r="D6" s="3708"/>
      <c r="E6" s="3714" t="s">
        <v>1677</v>
      </c>
      <c r="F6" s="3715"/>
      <c r="G6" s="3707" t="s">
        <v>1677</v>
      </c>
      <c r="H6" s="3708"/>
      <c r="I6" s="3707" t="s">
        <v>1677</v>
      </c>
      <c r="J6" s="3708"/>
      <c r="K6" s="1889" t="s">
        <v>1678</v>
      </c>
      <c r="L6" s="2714"/>
      <c r="M6" s="2715"/>
      <c r="N6" s="2715"/>
      <c r="O6" s="2715"/>
      <c r="P6" s="3698"/>
      <c r="Q6" s="3699"/>
      <c r="R6" s="3702"/>
      <c r="S6" s="3703"/>
      <c r="T6" s="3704"/>
      <c r="U6" s="3705"/>
      <c r="V6" s="3706"/>
      <c r="W6" s="3706"/>
      <c r="X6" s="1354"/>
      <c r="Y6" s="3704"/>
      <c r="Z6" s="3705"/>
      <c r="AA6" s="3689"/>
      <c r="AB6" s="3689"/>
      <c r="AC6" s="3689"/>
    </row>
    <row r="7" spans="1:29" s="107" customFormat="1" ht="15.75" thickBot="1">
      <c r="A7" s="361" t="s">
        <v>1679</v>
      </c>
      <c r="B7" s="362"/>
      <c r="C7" s="363">
        <f>'数据-取费表'!B2</f>
        <v>45131</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11" t="s">
        <v>1680</v>
      </c>
      <c r="Q7" s="3713"/>
      <c r="R7" s="700" t="s">
        <v>20</v>
      </c>
      <c r="S7" s="701">
        <f t="shared" ref="S7:S15" si="0">F7</f>
        <v>0</v>
      </c>
      <c r="T7" s="700" t="s">
        <v>20</v>
      </c>
      <c r="U7" s="701">
        <f t="shared" ref="U7:U15" si="1">H7</f>
        <v>0</v>
      </c>
      <c r="V7" s="700" t="s">
        <v>20</v>
      </c>
      <c r="W7" s="701">
        <f t="shared" ref="W7:W15" si="2">J7</f>
        <v>0</v>
      </c>
      <c r="X7" s="702"/>
      <c r="Y7" s="3711" t="s">
        <v>1680</v>
      </c>
      <c r="Z7" s="3712"/>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11" t="s">
        <v>1683</v>
      </c>
      <c r="Q8" s="3712"/>
      <c r="R8" s="700" t="s">
        <v>20</v>
      </c>
      <c r="S8" s="701">
        <f t="shared" si="0"/>
        <v>100</v>
      </c>
      <c r="T8" s="700" t="s">
        <v>20</v>
      </c>
      <c r="U8" s="701">
        <f t="shared" si="1"/>
        <v>100</v>
      </c>
      <c r="V8" s="700" t="s">
        <v>20</v>
      </c>
      <c r="W8" s="701">
        <f t="shared" si="2"/>
        <v>100</v>
      </c>
      <c r="X8" s="702"/>
      <c r="Y8" s="3711" t="s">
        <v>1683</v>
      </c>
      <c r="Z8" s="3712"/>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6"/>
      <c r="Q11" s="1342" t="str">
        <f t="shared" si="6"/>
        <v>容积率</v>
      </c>
      <c r="R11" s="700" t="s">
        <v>18</v>
      </c>
      <c r="S11" s="701" t="e">
        <f t="shared" si="0"/>
        <v>#N/A</v>
      </c>
      <c r="T11" s="700" t="s">
        <v>18</v>
      </c>
      <c r="U11" s="701" t="e">
        <f t="shared" si="1"/>
        <v>#N/A</v>
      </c>
      <c r="V11" s="700" t="s">
        <v>18</v>
      </c>
      <c r="W11" s="701" t="e">
        <f t="shared" si="2"/>
        <v>#N/A</v>
      </c>
      <c r="X11" s="702"/>
      <c r="Y11" s="3550"/>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6"/>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6"/>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6"/>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84" t="s">
        <v>1691</v>
      </c>
      <c r="Q15" s="1351" t="str">
        <f t="shared" si="6"/>
        <v>居住社区成熟度</v>
      </c>
      <c r="R15" s="704" t="s">
        <v>18</v>
      </c>
      <c r="S15" s="705">
        <f t="shared" si="0"/>
        <v>100</v>
      </c>
      <c r="T15" s="704" t="s">
        <v>18</v>
      </c>
      <c r="U15" s="705">
        <f t="shared" si="1"/>
        <v>100</v>
      </c>
      <c r="V15" s="704" t="s">
        <v>18</v>
      </c>
      <c r="W15" s="705">
        <f t="shared" si="2"/>
        <v>100</v>
      </c>
      <c r="X15" s="1354"/>
      <c r="Y15" s="3677"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85"/>
      <c r="Q16" s="1351"/>
      <c r="R16" s="704"/>
      <c r="S16" s="705"/>
      <c r="T16" s="704"/>
      <c r="U16" s="705"/>
      <c r="V16" s="704"/>
      <c r="W16" s="705"/>
      <c r="X16" s="1354"/>
      <c r="Y16" s="3678"/>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85"/>
      <c r="Q17" s="1351" t="str">
        <f>B17</f>
        <v>交通便捷度</v>
      </c>
      <c r="R17" s="704" t="s">
        <v>18</v>
      </c>
      <c r="S17" s="705">
        <f>F17</f>
        <v>100</v>
      </c>
      <c r="T17" s="704" t="s">
        <v>18</v>
      </c>
      <c r="U17" s="705">
        <f>H17</f>
        <v>100</v>
      </c>
      <c r="V17" s="704" t="s">
        <v>18</v>
      </c>
      <c r="W17" s="705">
        <f>J17</f>
        <v>100</v>
      </c>
      <c r="X17" s="1354"/>
      <c r="Y17" s="367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85"/>
      <c r="Q18" s="1351"/>
      <c r="R18" s="704"/>
      <c r="S18" s="705"/>
      <c r="T18" s="704"/>
      <c r="U18" s="705"/>
      <c r="V18" s="704"/>
      <c r="W18" s="705"/>
      <c r="X18" s="1354"/>
      <c r="Y18" s="3678"/>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85"/>
      <c r="Q19" s="1351" t="str">
        <f>B19</f>
        <v>公共配套设施</v>
      </c>
      <c r="R19" s="704" t="s">
        <v>18</v>
      </c>
      <c r="S19" s="705">
        <f>F19</f>
        <v>100</v>
      </c>
      <c r="T19" s="704" t="s">
        <v>18</v>
      </c>
      <c r="U19" s="705">
        <f>H19</f>
        <v>100</v>
      </c>
      <c r="V19" s="704" t="s">
        <v>18</v>
      </c>
      <c r="W19" s="705">
        <f>J19</f>
        <v>100</v>
      </c>
      <c r="X19" s="1354"/>
      <c r="Y19" s="367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85"/>
      <c r="Q20" s="1351"/>
      <c r="R20" s="704"/>
      <c r="S20" s="705"/>
      <c r="T20" s="704"/>
      <c r="U20" s="705"/>
      <c r="V20" s="704"/>
      <c r="W20" s="705"/>
      <c r="X20" s="1354"/>
      <c r="Y20" s="3678"/>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85"/>
      <c r="Q22" s="1351"/>
      <c r="R22" s="704"/>
      <c r="S22" s="705"/>
      <c r="T22" s="704"/>
      <c r="U22" s="705"/>
      <c r="V22" s="704"/>
      <c r="W22" s="705"/>
      <c r="X22" s="1354"/>
      <c r="Y22" s="3678"/>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85"/>
      <c r="Q23" s="1351" t="str">
        <f>B23</f>
        <v>自然及人文环境</v>
      </c>
      <c r="R23" s="704" t="s">
        <v>18</v>
      </c>
      <c r="S23" s="705">
        <f>F23</f>
        <v>100</v>
      </c>
      <c r="T23" s="704" t="s">
        <v>18</v>
      </c>
      <c r="U23" s="705">
        <f>H23</f>
        <v>100</v>
      </c>
      <c r="V23" s="704" t="s">
        <v>18</v>
      </c>
      <c r="W23" s="705">
        <f>J23</f>
        <v>100</v>
      </c>
      <c r="X23" s="1354"/>
      <c r="Y23" s="367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85"/>
      <c r="Q24" s="1351"/>
      <c r="R24" s="704"/>
      <c r="S24" s="705"/>
      <c r="T24" s="704"/>
      <c r="U24" s="705"/>
      <c r="V24" s="704"/>
      <c r="W24" s="705"/>
      <c r="X24" s="1354"/>
      <c r="Y24" s="3678"/>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8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8"/>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85"/>
      <c r="Q26" s="1351" t="str">
        <f t="shared" si="11"/>
        <v>朝向</v>
      </c>
      <c r="R26" s="704" t="s">
        <v>18</v>
      </c>
      <c r="S26" s="705">
        <f t="shared" si="12"/>
        <v>100</v>
      </c>
      <c r="T26" s="704" t="s">
        <v>18</v>
      </c>
      <c r="U26" s="705">
        <f t="shared" si="13"/>
        <v>100</v>
      </c>
      <c r="V26" s="704" t="s">
        <v>18</v>
      </c>
      <c r="W26" s="705">
        <f t="shared" si="14"/>
        <v>100</v>
      </c>
      <c r="X26" s="1354"/>
      <c r="Y26" s="3678"/>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85"/>
      <c r="Q27" s="1342">
        <f t="shared" si="11"/>
        <v>111</v>
      </c>
      <c r="R27" s="700" t="s">
        <v>18</v>
      </c>
      <c r="S27" s="701">
        <f t="shared" si="12"/>
        <v>100</v>
      </c>
      <c r="T27" s="700" t="s">
        <v>18</v>
      </c>
      <c r="U27" s="701">
        <f t="shared" si="13"/>
        <v>100</v>
      </c>
      <c r="V27" s="700" t="s">
        <v>18</v>
      </c>
      <c r="W27" s="701">
        <f t="shared" si="14"/>
        <v>100</v>
      </c>
      <c r="X27" s="702"/>
      <c r="Y27" s="3678"/>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85"/>
      <c r="Q28" s="1351">
        <f t="shared" si="11"/>
        <v>111</v>
      </c>
      <c r="R28" s="704" t="s">
        <v>18</v>
      </c>
      <c r="S28" s="705">
        <f t="shared" si="12"/>
        <v>100</v>
      </c>
      <c r="T28" s="704" t="s">
        <v>18</v>
      </c>
      <c r="U28" s="705">
        <f t="shared" si="13"/>
        <v>100</v>
      </c>
      <c r="V28" s="704" t="s">
        <v>18</v>
      </c>
      <c r="W28" s="705">
        <f t="shared" si="14"/>
        <v>100</v>
      </c>
      <c r="X28" s="1354"/>
      <c r="Y28" s="367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85"/>
      <c r="Q29" s="1351">
        <f t="shared" si="11"/>
        <v>111</v>
      </c>
      <c r="R29" s="704" t="s">
        <v>18</v>
      </c>
      <c r="S29" s="705">
        <f t="shared" si="12"/>
        <v>100</v>
      </c>
      <c r="T29" s="704" t="s">
        <v>18</v>
      </c>
      <c r="U29" s="705">
        <f t="shared" si="13"/>
        <v>100</v>
      </c>
      <c r="V29" s="704" t="s">
        <v>18</v>
      </c>
      <c r="W29" s="705">
        <f t="shared" si="14"/>
        <v>100</v>
      </c>
      <c r="X29" s="1354"/>
      <c r="Y29" s="367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85"/>
      <c r="Q30" s="1351">
        <f t="shared" si="11"/>
        <v>111</v>
      </c>
      <c r="R30" s="704" t="s">
        <v>18</v>
      </c>
      <c r="S30" s="705">
        <f t="shared" si="12"/>
        <v>100</v>
      </c>
      <c r="T30" s="704" t="s">
        <v>18</v>
      </c>
      <c r="U30" s="705">
        <f t="shared" si="13"/>
        <v>100</v>
      </c>
      <c r="V30" s="704" t="s">
        <v>18</v>
      </c>
      <c r="W30" s="705">
        <f t="shared" si="14"/>
        <v>100</v>
      </c>
      <c r="X30" s="1354"/>
      <c r="Y30" s="367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85"/>
      <c r="Q31" s="1351">
        <f t="shared" si="11"/>
        <v>111</v>
      </c>
      <c r="R31" s="704" t="s">
        <v>18</v>
      </c>
      <c r="S31" s="705">
        <f t="shared" si="12"/>
        <v>100</v>
      </c>
      <c r="T31" s="704" t="s">
        <v>18</v>
      </c>
      <c r="U31" s="705">
        <f t="shared" si="13"/>
        <v>100</v>
      </c>
      <c r="V31" s="704" t="s">
        <v>18</v>
      </c>
      <c r="W31" s="705">
        <f t="shared" si="14"/>
        <v>100</v>
      </c>
      <c r="X31" s="1354"/>
      <c r="Y31" s="3678"/>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79" t="s">
        <v>1696</v>
      </c>
      <c r="Q32" s="1351" t="str">
        <f t="shared" si="11"/>
        <v>建筑类型</v>
      </c>
      <c r="R32" s="704" t="s">
        <v>18</v>
      </c>
      <c r="S32" s="705">
        <f t="shared" si="12"/>
        <v>100</v>
      </c>
      <c r="T32" s="704" t="s">
        <v>18</v>
      </c>
      <c r="U32" s="705">
        <f t="shared" si="13"/>
        <v>100</v>
      </c>
      <c r="V32" s="704" t="s">
        <v>18</v>
      </c>
      <c r="W32" s="705">
        <f t="shared" si="14"/>
        <v>100</v>
      </c>
      <c r="X32" s="1354"/>
      <c r="Y32" s="3682"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80"/>
      <c r="Q33" s="706" t="str">
        <f t="shared" si="11"/>
        <v>项目建筑规模</v>
      </c>
      <c r="R33" s="707" t="s">
        <v>18</v>
      </c>
      <c r="S33" s="708" t="e">
        <f t="shared" si="12"/>
        <v>#N/A</v>
      </c>
      <c r="T33" s="707" t="s">
        <v>18</v>
      </c>
      <c r="U33" s="708" t="e">
        <f t="shared" si="13"/>
        <v>#N/A</v>
      </c>
      <c r="V33" s="707" t="s">
        <v>18</v>
      </c>
      <c r="W33" s="708" t="e">
        <f t="shared" si="14"/>
        <v>#N/A</v>
      </c>
      <c r="X33" s="709"/>
      <c r="Y33" s="3682"/>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80"/>
      <c r="Q34" s="1351" t="str">
        <f t="shared" si="11"/>
        <v>建筑结构</v>
      </c>
      <c r="R34" s="704" t="s">
        <v>18</v>
      </c>
      <c r="S34" s="705">
        <f t="shared" si="12"/>
        <v>100</v>
      </c>
      <c r="T34" s="704" t="s">
        <v>18</v>
      </c>
      <c r="U34" s="705">
        <f t="shared" si="13"/>
        <v>100</v>
      </c>
      <c r="V34" s="704" t="s">
        <v>18</v>
      </c>
      <c r="W34" s="705">
        <f t="shared" si="14"/>
        <v>100</v>
      </c>
      <c r="X34" s="1354"/>
      <c r="Y34" s="3682"/>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80"/>
      <c r="Q35" s="1351" t="str">
        <f t="shared" si="11"/>
        <v>建筑品质</v>
      </c>
      <c r="R35" s="704" t="s">
        <v>18</v>
      </c>
      <c r="S35" s="705">
        <f t="shared" si="12"/>
        <v>100</v>
      </c>
      <c r="T35" s="704" t="s">
        <v>18</v>
      </c>
      <c r="U35" s="705">
        <f t="shared" si="13"/>
        <v>100</v>
      </c>
      <c r="V35" s="704" t="s">
        <v>18</v>
      </c>
      <c r="W35" s="705">
        <f t="shared" si="14"/>
        <v>100</v>
      </c>
      <c r="X35" s="1354"/>
      <c r="Y35" s="3682"/>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80"/>
      <c r="Q36" s="1351" t="str">
        <f t="shared" si="11"/>
        <v>公共部分装修</v>
      </c>
      <c r="R36" s="704" t="s">
        <v>18</v>
      </c>
      <c r="S36" s="705">
        <f t="shared" si="12"/>
        <v>100</v>
      </c>
      <c r="T36" s="704" t="s">
        <v>18</v>
      </c>
      <c r="U36" s="705">
        <f t="shared" si="13"/>
        <v>100</v>
      </c>
      <c r="V36" s="704" t="s">
        <v>18</v>
      </c>
      <c r="W36" s="705">
        <f t="shared" si="14"/>
        <v>100</v>
      </c>
      <c r="X36" s="1354"/>
      <c r="Y36" s="3682"/>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80"/>
      <c r="Q37" s="1342" t="str">
        <f t="shared" si="11"/>
        <v>成新度</v>
      </c>
      <c r="R37" s="700" t="s">
        <v>18</v>
      </c>
      <c r="S37" s="701" t="e">
        <f t="shared" si="12"/>
        <v>#N/A</v>
      </c>
      <c r="T37" s="700" t="s">
        <v>18</v>
      </c>
      <c r="U37" s="701" t="e">
        <f t="shared" si="13"/>
        <v>#N/A</v>
      </c>
      <c r="V37" s="700" t="s">
        <v>18</v>
      </c>
      <c r="W37" s="701" t="e">
        <f t="shared" si="14"/>
        <v>#N/A</v>
      </c>
      <c r="X37" s="702"/>
      <c r="Y37" s="3682"/>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80" t="s">
        <v>1696</v>
      </c>
      <c r="Q38" s="1351" t="str">
        <f t="shared" si="11"/>
        <v>物业管理</v>
      </c>
      <c r="R38" s="704" t="s">
        <v>18</v>
      </c>
      <c r="S38" s="705">
        <f t="shared" si="12"/>
        <v>100</v>
      </c>
      <c r="T38" s="704" t="s">
        <v>18</v>
      </c>
      <c r="U38" s="705">
        <f t="shared" si="13"/>
        <v>100</v>
      </c>
      <c r="V38" s="704" t="s">
        <v>18</v>
      </c>
      <c r="W38" s="705">
        <f t="shared" si="14"/>
        <v>100</v>
      </c>
      <c r="X38" s="1354"/>
      <c r="Y38" s="3682"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80"/>
      <c r="Q39" s="1351" t="str">
        <f t="shared" si="11"/>
        <v>市政基础设施</v>
      </c>
      <c r="R39" s="704" t="s">
        <v>18</v>
      </c>
      <c r="S39" s="705">
        <f t="shared" si="12"/>
        <v>100</v>
      </c>
      <c r="T39" s="704" t="s">
        <v>18</v>
      </c>
      <c r="U39" s="705">
        <f t="shared" si="13"/>
        <v>100</v>
      </c>
      <c r="V39" s="704" t="s">
        <v>18</v>
      </c>
      <c r="W39" s="705">
        <f t="shared" si="14"/>
        <v>100</v>
      </c>
      <c r="X39" s="1354"/>
      <c r="Y39" s="3682"/>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80"/>
      <c r="Q40" s="1351" t="str">
        <f t="shared" si="11"/>
        <v>房型</v>
      </c>
      <c r="R40" s="704" t="s">
        <v>18</v>
      </c>
      <c r="S40" s="705">
        <f t="shared" si="12"/>
        <v>100</v>
      </c>
      <c r="T40" s="704" t="s">
        <v>18</v>
      </c>
      <c r="U40" s="705">
        <f t="shared" si="13"/>
        <v>100</v>
      </c>
      <c r="V40" s="704" t="s">
        <v>18</v>
      </c>
      <c r="W40" s="705">
        <f t="shared" si="14"/>
        <v>100</v>
      </c>
      <c r="X40" s="1354"/>
      <c r="Y40" s="3682"/>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80"/>
      <c r="Q41" s="706" t="str">
        <f t="shared" si="11"/>
        <v>单套/主力户型建筑面积</v>
      </c>
      <c r="R41" s="707" t="s">
        <v>18</v>
      </c>
      <c r="S41" s="708">
        <f t="shared" si="12"/>
        <v>100</v>
      </c>
      <c r="T41" s="707" t="s">
        <v>18</v>
      </c>
      <c r="U41" s="708">
        <f t="shared" si="13"/>
        <v>100</v>
      </c>
      <c r="V41" s="707" t="s">
        <v>18</v>
      </c>
      <c r="W41" s="708">
        <f t="shared" si="14"/>
        <v>100</v>
      </c>
      <c r="X41" s="709"/>
      <c r="Y41" s="3682"/>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80"/>
      <c r="Q42" s="1351" t="str">
        <f t="shared" si="11"/>
        <v>内部装修</v>
      </c>
      <c r="R42" s="704" t="s">
        <v>18</v>
      </c>
      <c r="S42" s="705">
        <f t="shared" si="12"/>
        <v>100</v>
      </c>
      <c r="T42" s="704" t="s">
        <v>18</v>
      </c>
      <c r="U42" s="705">
        <f t="shared" si="13"/>
        <v>100</v>
      </c>
      <c r="V42" s="704" t="s">
        <v>18</v>
      </c>
      <c r="W42" s="705">
        <f t="shared" si="14"/>
        <v>100</v>
      </c>
      <c r="X42" s="1354"/>
      <c r="Y42" s="3682"/>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80"/>
      <c r="Q43" s="1351" t="str">
        <f t="shared" si="11"/>
        <v>内部装修维护情况</v>
      </c>
      <c r="R43" s="704" t="s">
        <v>18</v>
      </c>
      <c r="S43" s="705">
        <f t="shared" si="12"/>
        <v>100</v>
      </c>
      <c r="T43" s="704" t="s">
        <v>18</v>
      </c>
      <c r="U43" s="705">
        <f t="shared" si="13"/>
        <v>100</v>
      </c>
      <c r="V43" s="704" t="s">
        <v>18</v>
      </c>
      <c r="W43" s="705">
        <f t="shared" si="14"/>
        <v>100</v>
      </c>
      <c r="X43" s="1354"/>
      <c r="Y43" s="3682"/>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80"/>
      <c r="Q44" s="1342">
        <f t="shared" si="11"/>
        <v>111</v>
      </c>
      <c r="R44" s="700" t="s">
        <v>18</v>
      </c>
      <c r="S44" s="701">
        <f t="shared" si="12"/>
        <v>100</v>
      </c>
      <c r="T44" s="700" t="s">
        <v>18</v>
      </c>
      <c r="U44" s="701">
        <f t="shared" si="13"/>
        <v>100</v>
      </c>
      <c r="V44" s="700" t="s">
        <v>18</v>
      </c>
      <c r="W44" s="701">
        <f t="shared" si="14"/>
        <v>100</v>
      </c>
      <c r="X44" s="702"/>
      <c r="Y44" s="368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80"/>
      <c r="Q45" s="1351">
        <f t="shared" si="11"/>
        <v>111</v>
      </c>
      <c r="R45" s="704" t="s">
        <v>18</v>
      </c>
      <c r="S45" s="705">
        <f t="shared" si="12"/>
        <v>100</v>
      </c>
      <c r="T45" s="704" t="s">
        <v>18</v>
      </c>
      <c r="U45" s="705">
        <f t="shared" si="13"/>
        <v>100</v>
      </c>
      <c r="V45" s="704" t="s">
        <v>18</v>
      </c>
      <c r="W45" s="705">
        <f t="shared" si="14"/>
        <v>100</v>
      </c>
      <c r="X45" s="1354"/>
      <c r="Y45" s="3682"/>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81"/>
      <c r="Q46" s="1351">
        <f t="shared" si="11"/>
        <v>111</v>
      </c>
      <c r="R46" s="704" t="s">
        <v>17</v>
      </c>
      <c r="S46" s="705">
        <f t="shared" si="12"/>
        <v>100</v>
      </c>
      <c r="T46" s="704" t="s">
        <v>17</v>
      </c>
      <c r="U46" s="705">
        <f t="shared" si="13"/>
        <v>100</v>
      </c>
      <c r="V46" s="704" t="s">
        <v>17</v>
      </c>
      <c r="W46" s="705">
        <f t="shared" si="14"/>
        <v>100</v>
      </c>
      <c r="X46" s="1354"/>
      <c r="Y46" s="3683"/>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5" t="str">
        <f>A47</f>
        <v>成交单价（元/平方米）</v>
      </c>
      <c r="Q47" s="3675"/>
      <c r="R47" s="3676">
        <f>E47</f>
        <v>0</v>
      </c>
      <c r="S47" s="3676"/>
      <c r="T47" s="3676">
        <f>G47</f>
        <v>0</v>
      </c>
      <c r="U47" s="3676"/>
      <c r="V47" s="3676">
        <f>I47</f>
        <v>0</v>
      </c>
      <c r="W47" s="3676"/>
      <c r="X47" s="689"/>
      <c r="Y47" s="711"/>
      <c r="Z47" s="689"/>
      <c r="AA47" s="689"/>
      <c r="AB47" s="689"/>
      <c r="AC47" s="689"/>
    </row>
    <row r="48" spans="1:29" ht="15.75" thickBot="1">
      <c r="A48" s="436" t="s">
        <v>1709</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M50" sqref="M5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23473</v>
      </c>
      <c r="C3" s="353" t="s">
        <v>1768</v>
      </c>
      <c r="D3" s="352">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0" t="s">
        <v>1770</v>
      </c>
      <c r="D4" s="3691"/>
      <c r="E4" s="3692" t="s">
        <v>1771</v>
      </c>
      <c r="F4" s="3693"/>
      <c r="G4" s="3690" t="s">
        <v>1772</v>
      </c>
      <c r="H4" s="3691"/>
      <c r="I4" s="3690" t="s">
        <v>1773</v>
      </c>
      <c r="J4" s="3691"/>
      <c r="K4" s="558"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706" t="s">
        <v>1772</v>
      </c>
      <c r="AC4" s="3687" t="s">
        <v>1773</v>
      </c>
    </row>
    <row r="5" spans="1:29" ht="15">
      <c r="A5" s="357"/>
      <c r="B5" s="358"/>
      <c r="C5" s="3709" t="s">
        <v>1673</v>
      </c>
      <c r="D5" s="3710"/>
      <c r="E5" s="3709" t="s">
        <v>3408</v>
      </c>
      <c r="F5" s="3710"/>
      <c r="G5" s="3709" t="s">
        <v>3409</v>
      </c>
      <c r="H5" s="3710"/>
      <c r="I5" s="3709" t="s">
        <v>3410</v>
      </c>
      <c r="J5" s="3710"/>
      <c r="K5" s="558"/>
      <c r="L5" s="2714"/>
      <c r="M5" s="2715"/>
      <c r="N5" s="2715"/>
      <c r="O5" s="2715"/>
      <c r="P5" s="3696"/>
      <c r="Q5" s="3697"/>
      <c r="R5" s="3702"/>
      <c r="S5" s="3703"/>
      <c r="T5" s="3702"/>
      <c r="U5" s="3703"/>
      <c r="V5" s="3706"/>
      <c r="W5" s="3706"/>
      <c r="X5" s="1354"/>
      <c r="Y5" s="3702"/>
      <c r="Z5" s="3703"/>
      <c r="AA5" s="3688"/>
      <c r="AB5" s="3706"/>
      <c r="AC5" s="3688"/>
    </row>
    <row r="6" spans="1:29" ht="15.75" thickBot="1">
      <c r="A6" s="359"/>
      <c r="B6" s="360"/>
      <c r="C6" s="3707" t="s">
        <v>1677</v>
      </c>
      <c r="D6" s="3708"/>
      <c r="E6" s="3714" t="s">
        <v>1677</v>
      </c>
      <c r="F6" s="3715"/>
      <c r="G6" s="3707" t="s">
        <v>1677</v>
      </c>
      <c r="H6" s="3708"/>
      <c r="I6" s="3707" t="s">
        <v>1677</v>
      </c>
      <c r="J6" s="3708"/>
      <c r="K6" s="558" t="s">
        <v>1678</v>
      </c>
      <c r="L6" s="2714"/>
      <c r="M6" s="2715"/>
      <c r="N6" s="2715"/>
      <c r="O6" s="2715"/>
      <c r="P6" s="3698"/>
      <c r="Q6" s="3699"/>
      <c r="R6" s="3702"/>
      <c r="S6" s="3703"/>
      <c r="T6" s="3704"/>
      <c r="U6" s="3705"/>
      <c r="V6" s="3706"/>
      <c r="W6" s="3706"/>
      <c r="X6" s="1354"/>
      <c r="Y6" s="3704"/>
      <c r="Z6" s="3705"/>
      <c r="AA6" s="3689"/>
      <c r="AB6" s="3706"/>
      <c r="AC6" s="3689"/>
    </row>
    <row r="7" spans="1:29" s="107" customFormat="1" ht="15.75" thickBot="1">
      <c r="A7" s="361" t="s">
        <v>1679</v>
      </c>
      <c r="B7" s="362"/>
      <c r="C7" s="363">
        <f>'数据-取费表'!B2</f>
        <v>45131</v>
      </c>
      <c r="D7" s="364">
        <v>100</v>
      </c>
      <c r="E7" s="365">
        <f>C7</f>
        <v>45131</v>
      </c>
      <c r="F7" s="366">
        <f>SUMIF(58:58,YEAR(E7)&amp;"-"&amp;MONTH(E7),59:59)</f>
        <v>100</v>
      </c>
      <c r="G7" s="365">
        <f>C7</f>
        <v>45131</v>
      </c>
      <c r="H7" s="364">
        <f>SUMIF(58:58,YEAR(G7)&amp;"-"&amp;MONTH(G7),59:59)</f>
        <v>100</v>
      </c>
      <c r="I7" s="365">
        <f>C7</f>
        <v>45131</v>
      </c>
      <c r="J7" s="364">
        <f>SUMIF(58:58,YEAR(I7)&amp;"-"&amp;MONTH(I7),59:59)</f>
        <v>100</v>
      </c>
      <c r="K7" s="559"/>
      <c r="L7" s="2716"/>
      <c r="M7" s="2717"/>
      <c r="N7" s="2717"/>
      <c r="O7" s="2717"/>
      <c r="P7" s="3711" t="s">
        <v>1680</v>
      </c>
      <c r="Q7" s="3713"/>
      <c r="R7" s="700" t="s">
        <v>14</v>
      </c>
      <c r="S7" s="701">
        <f t="shared" ref="S7:S15" si="0">F7</f>
        <v>100</v>
      </c>
      <c r="T7" s="700" t="s">
        <v>14</v>
      </c>
      <c r="U7" s="701">
        <f t="shared" ref="U7:U15" si="1">H7</f>
        <v>100</v>
      </c>
      <c r="V7" s="700" t="s">
        <v>14</v>
      </c>
      <c r="W7" s="701">
        <f t="shared" ref="W7:W15" si="2">J7</f>
        <v>100</v>
      </c>
      <c r="X7" s="702"/>
      <c r="Y7" s="3711" t="s">
        <v>1680</v>
      </c>
      <c r="Z7" s="3712"/>
      <c r="AA7" s="703">
        <f>D7/F7</f>
        <v>1</v>
      </c>
      <c r="AB7" s="703">
        <f>D7/H7</f>
        <v>1</v>
      </c>
      <c r="AC7" s="703">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11" t="s">
        <v>1683</v>
      </c>
      <c r="Q8" s="3712"/>
      <c r="R8" s="700" t="s">
        <v>14</v>
      </c>
      <c r="S8" s="701">
        <f t="shared" si="0"/>
        <v>100</v>
      </c>
      <c r="T8" s="700" t="s">
        <v>14</v>
      </c>
      <c r="U8" s="701">
        <f t="shared" si="1"/>
        <v>100</v>
      </c>
      <c r="V8" s="700" t="s">
        <v>14</v>
      </c>
      <c r="W8" s="701">
        <f t="shared" si="2"/>
        <v>100</v>
      </c>
      <c r="X8" s="702"/>
      <c r="Y8" s="3711" t="s">
        <v>1683</v>
      </c>
      <c r="Z8" s="3712"/>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20"/>
      <c r="M11" s="2715"/>
      <c r="N11" s="2715"/>
      <c r="O11" s="2715"/>
      <c r="P11" s="368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84" t="s">
        <v>1691</v>
      </c>
      <c r="Q15" s="1351" t="str">
        <f t="shared" si="6"/>
        <v>商业繁华度</v>
      </c>
      <c r="R15" s="704" t="s">
        <v>14</v>
      </c>
      <c r="S15" s="705">
        <f t="shared" si="0"/>
        <v>100</v>
      </c>
      <c r="T15" s="704" t="s">
        <v>14</v>
      </c>
      <c r="U15" s="705">
        <f t="shared" si="1"/>
        <v>100</v>
      </c>
      <c r="V15" s="704" t="s">
        <v>14</v>
      </c>
      <c r="W15" s="705">
        <f t="shared" si="2"/>
        <v>100</v>
      </c>
      <c r="X15" s="1354"/>
      <c r="Y15" s="3677"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85"/>
      <c r="Q16" s="1351"/>
      <c r="R16" s="704"/>
      <c r="S16" s="705"/>
      <c r="T16" s="704"/>
      <c r="U16" s="705"/>
      <c r="V16" s="704"/>
      <c r="W16" s="705"/>
      <c r="X16" s="1354"/>
      <c r="Y16" s="3678"/>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85"/>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85"/>
      <c r="Q18" s="1351"/>
      <c r="R18" s="704"/>
      <c r="S18" s="705"/>
      <c r="T18" s="704"/>
      <c r="U18" s="705"/>
      <c r="V18" s="704"/>
      <c r="W18" s="705"/>
      <c r="X18" s="1354"/>
      <c r="Y18" s="3678"/>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85"/>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85"/>
      <c r="Q20" s="1351"/>
      <c r="R20" s="704"/>
      <c r="S20" s="705"/>
      <c r="T20" s="704"/>
      <c r="U20" s="705"/>
      <c r="V20" s="704"/>
      <c r="W20" s="705"/>
      <c r="X20" s="1354"/>
      <c r="Y20" s="3678"/>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85"/>
      <c r="Q22" s="1351"/>
      <c r="R22" s="704"/>
      <c r="S22" s="705"/>
      <c r="T22" s="704"/>
      <c r="U22" s="705"/>
      <c r="V22" s="704"/>
      <c r="W22" s="705"/>
      <c r="X22" s="1354"/>
      <c r="Y22" s="3678"/>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85"/>
      <c r="Q23" s="1351" t="str">
        <f>B23</f>
        <v>自然及人文环境</v>
      </c>
      <c r="R23" s="704" t="s">
        <v>14</v>
      </c>
      <c r="S23" s="705">
        <f>F23</f>
        <v>100</v>
      </c>
      <c r="T23" s="704" t="s">
        <v>14</v>
      </c>
      <c r="U23" s="705">
        <f>H23</f>
        <v>100</v>
      </c>
      <c r="V23" s="704" t="s">
        <v>14</v>
      </c>
      <c r="W23" s="705">
        <f>J23</f>
        <v>100</v>
      </c>
      <c r="X23" s="1354"/>
      <c r="Y23" s="367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85"/>
      <c r="Q24" s="1351"/>
      <c r="R24" s="704"/>
      <c r="S24" s="705"/>
      <c r="T24" s="704"/>
      <c r="U24" s="705"/>
      <c r="V24" s="704"/>
      <c r="W24" s="705"/>
      <c r="X24" s="1354"/>
      <c r="Y24" s="3678"/>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85"/>
      <c r="Q25" s="1351" t="str">
        <f t="shared" ref="Q25:Q46" si="11">B25</f>
        <v>临街状况</v>
      </c>
      <c r="R25" s="704" t="s">
        <v>14</v>
      </c>
      <c r="S25" s="705">
        <f>F25</f>
        <v>100</v>
      </c>
      <c r="T25" s="704" t="s">
        <v>14</v>
      </c>
      <c r="U25" s="705">
        <f>H25</f>
        <v>100</v>
      </c>
      <c r="V25" s="704" t="s">
        <v>14</v>
      </c>
      <c r="W25" s="705">
        <f>J25</f>
        <v>100</v>
      </c>
      <c r="X25" s="1354"/>
      <c r="Y25" s="3678"/>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85"/>
      <c r="Q26" s="1351" t="str">
        <f t="shared" si="11"/>
        <v>平面位置/可视性</v>
      </c>
      <c r="R26" s="704" t="s">
        <v>14</v>
      </c>
      <c r="S26" s="705">
        <f>F26</f>
        <v>100</v>
      </c>
      <c r="T26" s="704" t="s">
        <v>14</v>
      </c>
      <c r="U26" s="705">
        <f>H26</f>
        <v>100</v>
      </c>
      <c r="V26" s="704" t="s">
        <v>14</v>
      </c>
      <c r="W26" s="705">
        <f>J26</f>
        <v>100</v>
      </c>
      <c r="X26" s="1354"/>
      <c r="Y26" s="3678"/>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85"/>
      <c r="Q27" s="1342" t="str">
        <f t="shared" si="11"/>
        <v>人流量</v>
      </c>
      <c r="R27" s="700" t="s">
        <v>14</v>
      </c>
      <c r="S27" s="701">
        <f>F27</f>
        <v>100</v>
      </c>
      <c r="T27" s="700" t="s">
        <v>14</v>
      </c>
      <c r="U27" s="701">
        <f>H27</f>
        <v>100</v>
      </c>
      <c r="V27" s="700" t="s">
        <v>14</v>
      </c>
      <c r="W27" s="701">
        <f>J27</f>
        <v>100</v>
      </c>
      <c r="X27" s="702"/>
      <c r="Y27" s="3678"/>
      <c r="Z27" s="52" t="str">
        <f>Q27</f>
        <v>人流量</v>
      </c>
      <c r="AA27" s="1352">
        <f>D27/F27</f>
        <v>1</v>
      </c>
      <c r="AB27" s="1352">
        <f>D27/H27</f>
        <v>1</v>
      </c>
      <c r="AC27" s="1352">
        <f>D27/J27</f>
        <v>1</v>
      </c>
    </row>
    <row r="28" spans="1:29" ht="15">
      <c r="A28" s="378"/>
      <c r="B28" s="374" t="s">
        <v>1783</v>
      </c>
      <c r="C28" s="564" t="s">
        <v>3421</v>
      </c>
      <c r="D28" s="385">
        <v>100</v>
      </c>
      <c r="E28" s="564" t="s">
        <v>3417</v>
      </c>
      <c r="F28" s="411">
        <f>SUMIF(92:92,E28,93:93)-SUMIF(92:92,C28,93:93)+100</f>
        <v>85</v>
      </c>
      <c r="G28" s="564" t="s">
        <v>3417</v>
      </c>
      <c r="H28" s="385">
        <f>SUMIF(92:92,G28,93:93)-SUMIF(92:92,C28,93:93)+100</f>
        <v>85</v>
      </c>
      <c r="I28" s="564" t="s">
        <v>3416</v>
      </c>
      <c r="J28" s="385">
        <f>SUMIF(92:92,I28,93:93)-SUMIF(92:92,C28,93:93)+100</f>
        <v>77</v>
      </c>
      <c r="K28" s="561"/>
      <c r="L28" s="2721"/>
      <c r="M28" s="2715"/>
      <c r="N28" s="2715"/>
      <c r="O28" s="2715"/>
      <c r="P28" s="3685"/>
      <c r="Q28" s="1351" t="str">
        <f t="shared" si="11"/>
        <v>楼层</v>
      </c>
      <c r="R28" s="704" t="s">
        <v>14</v>
      </c>
      <c r="S28" s="705">
        <f t="shared" ref="S28:S46" si="12">F28</f>
        <v>85</v>
      </c>
      <c r="T28" s="704" t="s">
        <v>14</v>
      </c>
      <c r="U28" s="705">
        <f t="shared" ref="U28:U46" si="13">H28</f>
        <v>85</v>
      </c>
      <c r="V28" s="704" t="s">
        <v>14</v>
      </c>
      <c r="W28" s="705">
        <f t="shared" ref="W28:W46" si="14">J28</f>
        <v>77</v>
      </c>
      <c r="X28" s="1354"/>
      <c r="Y28" s="3678"/>
      <c r="Z28" s="1355" t="str">
        <f t="shared" ref="Z28:Z46" si="15">Q28</f>
        <v>楼层</v>
      </c>
      <c r="AA28" s="1352">
        <f t="shared" si="3"/>
        <v>1.1764705882352942</v>
      </c>
      <c r="AB28" s="1352">
        <f t="shared" si="4"/>
        <v>1.1764705882352942</v>
      </c>
      <c r="AC28" s="1352">
        <f t="shared" si="5"/>
        <v>1.2987012987012987</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85"/>
      <c r="Q29" s="1351">
        <f t="shared" si="11"/>
        <v>111</v>
      </c>
      <c r="R29" s="704" t="s">
        <v>14</v>
      </c>
      <c r="S29" s="705">
        <f t="shared" si="12"/>
        <v>100</v>
      </c>
      <c r="T29" s="704" t="s">
        <v>14</v>
      </c>
      <c r="U29" s="705">
        <f t="shared" si="13"/>
        <v>100</v>
      </c>
      <c r="V29" s="704" t="s">
        <v>14</v>
      </c>
      <c r="W29" s="705">
        <f t="shared" si="14"/>
        <v>100</v>
      </c>
      <c r="X29" s="1354"/>
      <c r="Y29" s="367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85"/>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85"/>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79" t="s">
        <v>1696</v>
      </c>
      <c r="Q32" s="1351" t="str">
        <f t="shared" si="11"/>
        <v>商业类型</v>
      </c>
      <c r="R32" s="704" t="s">
        <v>14</v>
      </c>
      <c r="S32" s="705">
        <f t="shared" si="12"/>
        <v>100</v>
      </c>
      <c r="T32" s="704" t="s">
        <v>14</v>
      </c>
      <c r="U32" s="705">
        <f t="shared" si="13"/>
        <v>100</v>
      </c>
      <c r="V32" s="704" t="s">
        <v>14</v>
      </c>
      <c r="W32" s="705">
        <f t="shared" si="14"/>
        <v>100</v>
      </c>
      <c r="X32" s="1354"/>
      <c r="Y32" s="3682"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61"/>
      <c r="L33" s="2720"/>
      <c r="M33" s="2722"/>
      <c r="N33" s="2722"/>
      <c r="O33" s="2722"/>
      <c r="P33" s="3680"/>
      <c r="Q33" s="706" t="str">
        <f t="shared" si="11"/>
        <v>项目建筑规模</v>
      </c>
      <c r="R33" s="707" t="s">
        <v>14</v>
      </c>
      <c r="S33" s="708">
        <f t="shared" si="12"/>
        <v>100</v>
      </c>
      <c r="T33" s="707" t="s">
        <v>14</v>
      </c>
      <c r="U33" s="708">
        <f t="shared" si="13"/>
        <v>100</v>
      </c>
      <c r="V33" s="707" t="s">
        <v>14</v>
      </c>
      <c r="W33" s="708">
        <f t="shared" si="14"/>
        <v>100</v>
      </c>
      <c r="X33" s="709"/>
      <c r="Y33" s="3682"/>
      <c r="Z33" s="710" t="str">
        <f t="shared" si="15"/>
        <v>项目建筑规模</v>
      </c>
      <c r="AA33" s="1352">
        <f t="shared" si="3"/>
        <v>1</v>
      </c>
      <c r="AB33" s="1352">
        <f t="shared" si="4"/>
        <v>1</v>
      </c>
      <c r="AC33" s="1352">
        <f t="shared" si="5"/>
        <v>1</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80"/>
      <c r="Q34" s="1351" t="str">
        <f t="shared" si="11"/>
        <v>建筑结构</v>
      </c>
      <c r="R34" s="704" t="s">
        <v>14</v>
      </c>
      <c r="S34" s="705">
        <f t="shared" si="12"/>
        <v>100</v>
      </c>
      <c r="T34" s="704" t="s">
        <v>14</v>
      </c>
      <c r="U34" s="705">
        <f t="shared" si="13"/>
        <v>100</v>
      </c>
      <c r="V34" s="704" t="s">
        <v>14</v>
      </c>
      <c r="W34" s="705">
        <f t="shared" si="14"/>
        <v>100</v>
      </c>
      <c r="X34" s="1354"/>
      <c r="Y34" s="3682"/>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80"/>
      <c r="Q35" s="1351" t="str">
        <f t="shared" si="11"/>
        <v>公共部分装修</v>
      </c>
      <c r="R35" s="704" t="s">
        <v>14</v>
      </c>
      <c r="S35" s="705">
        <f t="shared" si="12"/>
        <v>100</v>
      </c>
      <c r="T35" s="704" t="s">
        <v>14</v>
      </c>
      <c r="U35" s="705">
        <f t="shared" si="13"/>
        <v>100</v>
      </c>
      <c r="V35" s="704" t="s">
        <v>14</v>
      </c>
      <c r="W35" s="705">
        <f t="shared" si="14"/>
        <v>100</v>
      </c>
      <c r="X35" s="1354"/>
      <c r="Y35" s="3682"/>
      <c r="Z35" s="1355" t="str">
        <f t="shared" si="15"/>
        <v>公共部分装修</v>
      </c>
      <c r="AA35" s="1352">
        <f t="shared" si="3"/>
        <v>1</v>
      </c>
      <c r="AB35" s="1352">
        <f t="shared" si="4"/>
        <v>1</v>
      </c>
      <c r="AC35" s="1352">
        <f t="shared" si="5"/>
        <v>1</v>
      </c>
    </row>
    <row r="36" spans="1:29" ht="15">
      <c r="A36" s="422"/>
      <c r="B36" s="374" t="s">
        <v>1786</v>
      </c>
      <c r="C36" s="424">
        <f>'数据-取费表'!Y6</f>
        <v>0.6166666666666667</v>
      </c>
      <c r="D36" s="385">
        <v>100</v>
      </c>
      <c r="E36" s="424">
        <v>0.6</v>
      </c>
      <c r="F36" s="411">
        <f>LOOKUP(E36,110:110,111:111)-LOOKUP(C36,110:110,111:111)+100</f>
        <v>100</v>
      </c>
      <c r="G36" s="424">
        <v>0.6</v>
      </c>
      <c r="H36" s="411">
        <f>LOOKUP(G36,110:110,111:111)-LOOKUP(C36,110:110,111:111)+100</f>
        <v>100</v>
      </c>
      <c r="I36" s="424">
        <v>0.6</v>
      </c>
      <c r="J36" s="385">
        <f>LOOKUP(I36,110:110,111:111)-LOOKUP(C36,110:110,111:111)+100</f>
        <v>100</v>
      </c>
      <c r="K36" s="560"/>
      <c r="L36" s="2721"/>
      <c r="M36" s="2715"/>
      <c r="N36" s="2715"/>
      <c r="O36" s="2715"/>
      <c r="P36" s="3680"/>
      <c r="Q36" s="1351" t="str">
        <f t="shared" si="11"/>
        <v>成新度</v>
      </c>
      <c r="R36" s="704" t="s">
        <v>14</v>
      </c>
      <c r="S36" s="705">
        <f t="shared" si="12"/>
        <v>100</v>
      </c>
      <c r="T36" s="704" t="s">
        <v>14</v>
      </c>
      <c r="U36" s="705">
        <f t="shared" si="13"/>
        <v>100</v>
      </c>
      <c r="V36" s="704" t="s">
        <v>14</v>
      </c>
      <c r="W36" s="705">
        <f t="shared" si="14"/>
        <v>100</v>
      </c>
      <c r="X36" s="1354"/>
      <c r="Y36" s="3682"/>
      <c r="Z36" s="1355" t="str">
        <f t="shared" si="15"/>
        <v>成新度</v>
      </c>
      <c r="AA36" s="1352">
        <f t="shared" si="3"/>
        <v>1</v>
      </c>
      <c r="AB36" s="1352">
        <f t="shared" si="4"/>
        <v>1</v>
      </c>
      <c r="AC36" s="1352">
        <f t="shared" si="5"/>
        <v>1</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80"/>
      <c r="Q37" s="1342" t="str">
        <f t="shared" si="11"/>
        <v>市政基础设施</v>
      </c>
      <c r="R37" s="700" t="s">
        <v>14</v>
      </c>
      <c r="S37" s="701">
        <f t="shared" si="12"/>
        <v>100</v>
      </c>
      <c r="T37" s="700" t="s">
        <v>14</v>
      </c>
      <c r="U37" s="701">
        <f t="shared" si="13"/>
        <v>100</v>
      </c>
      <c r="V37" s="700" t="s">
        <v>14</v>
      </c>
      <c r="W37" s="701">
        <f t="shared" si="14"/>
        <v>100</v>
      </c>
      <c r="X37" s="702"/>
      <c r="Y37" s="3682"/>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80" t="s">
        <v>1696</v>
      </c>
      <c r="Q38" s="1351" t="str">
        <f t="shared" si="11"/>
        <v>业态</v>
      </c>
      <c r="R38" s="704" t="s">
        <v>14</v>
      </c>
      <c r="S38" s="705">
        <f t="shared" si="12"/>
        <v>100</v>
      </c>
      <c r="T38" s="704" t="s">
        <v>14</v>
      </c>
      <c r="U38" s="705">
        <f t="shared" si="13"/>
        <v>100</v>
      </c>
      <c r="V38" s="704" t="s">
        <v>14</v>
      </c>
      <c r="W38" s="705">
        <f t="shared" si="14"/>
        <v>100</v>
      </c>
      <c r="X38" s="1354"/>
      <c r="Y38" s="3682"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80"/>
      <c r="Q39" s="1351" t="str">
        <f t="shared" si="11"/>
        <v>层高</v>
      </c>
      <c r="R39" s="704" t="s">
        <v>14</v>
      </c>
      <c r="S39" s="705">
        <f t="shared" si="12"/>
        <v>100</v>
      </c>
      <c r="T39" s="704" t="s">
        <v>14</v>
      </c>
      <c r="U39" s="705">
        <f t="shared" si="13"/>
        <v>100</v>
      </c>
      <c r="V39" s="704" t="s">
        <v>14</v>
      </c>
      <c r="W39" s="705">
        <f t="shared" si="14"/>
        <v>100</v>
      </c>
      <c r="X39" s="1354"/>
      <c r="Y39" s="3682"/>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80"/>
      <c r="Q40" s="1351" t="str">
        <f t="shared" si="11"/>
        <v>单套建筑面积</v>
      </c>
      <c r="R40" s="704" t="s">
        <v>14</v>
      </c>
      <c r="S40" s="705">
        <f t="shared" si="12"/>
        <v>100</v>
      </c>
      <c r="T40" s="704" t="s">
        <v>14</v>
      </c>
      <c r="U40" s="705">
        <f t="shared" si="13"/>
        <v>100</v>
      </c>
      <c r="V40" s="704" t="s">
        <v>14</v>
      </c>
      <c r="W40" s="705">
        <f t="shared" si="14"/>
        <v>100</v>
      </c>
      <c r="X40" s="1354"/>
      <c r="Y40" s="3682"/>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80"/>
      <c r="Q41" s="706" t="str">
        <f t="shared" si="11"/>
        <v>进深比</v>
      </c>
      <c r="R41" s="707" t="s">
        <v>14</v>
      </c>
      <c r="S41" s="708">
        <f t="shared" si="12"/>
        <v>100</v>
      </c>
      <c r="T41" s="707" t="s">
        <v>14</v>
      </c>
      <c r="U41" s="708">
        <f t="shared" si="13"/>
        <v>100</v>
      </c>
      <c r="V41" s="707" t="s">
        <v>14</v>
      </c>
      <c r="W41" s="708">
        <f t="shared" si="14"/>
        <v>100</v>
      </c>
      <c r="X41" s="709"/>
      <c r="Y41" s="3682"/>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80"/>
      <c r="Q42" s="1351" t="str">
        <f t="shared" si="11"/>
        <v>内部装修</v>
      </c>
      <c r="R42" s="704" t="s">
        <v>14</v>
      </c>
      <c r="S42" s="705">
        <f t="shared" si="12"/>
        <v>100</v>
      </c>
      <c r="T42" s="704" t="s">
        <v>14</v>
      </c>
      <c r="U42" s="705">
        <f t="shared" si="13"/>
        <v>100</v>
      </c>
      <c r="V42" s="704" t="s">
        <v>14</v>
      </c>
      <c r="W42" s="705">
        <f t="shared" si="14"/>
        <v>100</v>
      </c>
      <c r="X42" s="1354"/>
      <c r="Y42" s="3682"/>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80"/>
      <c r="Q43" s="1351" t="str">
        <f t="shared" si="11"/>
        <v>内部装修维护情况</v>
      </c>
      <c r="R43" s="704" t="s">
        <v>14</v>
      </c>
      <c r="S43" s="705">
        <f t="shared" si="12"/>
        <v>100</v>
      </c>
      <c r="T43" s="704" t="s">
        <v>14</v>
      </c>
      <c r="U43" s="705">
        <f t="shared" si="13"/>
        <v>100</v>
      </c>
      <c r="V43" s="704" t="s">
        <v>14</v>
      </c>
      <c r="W43" s="705">
        <f t="shared" si="14"/>
        <v>100</v>
      </c>
      <c r="X43" s="1354"/>
      <c r="Y43" s="3682"/>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80"/>
      <c r="Q44" s="1342">
        <f t="shared" si="11"/>
        <v>111</v>
      </c>
      <c r="R44" s="700" t="s">
        <v>14</v>
      </c>
      <c r="S44" s="701">
        <f t="shared" si="12"/>
        <v>100</v>
      </c>
      <c r="T44" s="700" t="s">
        <v>14</v>
      </c>
      <c r="U44" s="701">
        <f t="shared" si="13"/>
        <v>100</v>
      </c>
      <c r="V44" s="700" t="s">
        <v>14</v>
      </c>
      <c r="W44" s="701">
        <f t="shared" si="14"/>
        <v>100</v>
      </c>
      <c r="X44" s="702"/>
      <c r="Y44" s="3682"/>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80"/>
      <c r="Q45" s="1351">
        <f t="shared" si="11"/>
        <v>111</v>
      </c>
      <c r="R45" s="704" t="s">
        <v>14</v>
      </c>
      <c r="S45" s="705">
        <f t="shared" si="12"/>
        <v>100</v>
      </c>
      <c r="T45" s="704" t="s">
        <v>14</v>
      </c>
      <c r="U45" s="705">
        <f t="shared" si="13"/>
        <v>100</v>
      </c>
      <c r="V45" s="704" t="s">
        <v>14</v>
      </c>
      <c r="W45" s="705">
        <f t="shared" si="14"/>
        <v>100</v>
      </c>
      <c r="X45" s="1354"/>
      <c r="Y45" s="3682"/>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352">
        <f t="shared" si="5"/>
        <v>1</v>
      </c>
    </row>
    <row r="47" spans="1:29" ht="15">
      <c r="A47" s="429" t="s">
        <v>1708</v>
      </c>
      <c r="B47" s="430"/>
      <c r="C47" s="1153" t="s">
        <v>0</v>
      </c>
      <c r="D47" s="1154"/>
      <c r="E47" s="1155">
        <v>18056</v>
      </c>
      <c r="F47" s="1156"/>
      <c r="G47" s="1157">
        <v>21597</v>
      </c>
      <c r="H47" s="1158"/>
      <c r="I47" s="1155">
        <v>18301</v>
      </c>
      <c r="J47" s="1158"/>
      <c r="K47" s="713"/>
      <c r="L47" s="2723"/>
      <c r="M47" s="2724"/>
      <c r="N47" s="2715"/>
      <c r="O47" s="2724"/>
      <c r="P47" s="3675" t="str">
        <f>A47</f>
        <v>成交单价（元/平方米）</v>
      </c>
      <c r="Q47" s="3675"/>
      <c r="R47" s="3706">
        <f>E47</f>
        <v>18056</v>
      </c>
      <c r="S47" s="3706"/>
      <c r="T47" s="3706">
        <f>G47</f>
        <v>21597</v>
      </c>
      <c r="U47" s="3706"/>
      <c r="V47" s="3706">
        <f>I47</f>
        <v>18301</v>
      </c>
      <c r="W47" s="3706"/>
      <c r="X47" s="689"/>
      <c r="Y47" s="711"/>
      <c r="Z47" s="689"/>
      <c r="AA47" s="689"/>
      <c r="AB47" s="689"/>
      <c r="AC47" s="689"/>
    </row>
    <row r="48" spans="1:29" ht="15.75" thickBot="1">
      <c r="A48" s="436" t="s">
        <v>1793</v>
      </c>
      <c r="B48" s="437"/>
      <c r="C48" s="1159">
        <f>R49</f>
        <v>23473</v>
      </c>
      <c r="D48" s="2316" t="s">
        <v>2137</v>
      </c>
      <c r="E48" s="1160">
        <f>R48</f>
        <v>21242</v>
      </c>
      <c r="F48" s="2317"/>
      <c r="G48" s="1159">
        <f>T48</f>
        <v>25408</v>
      </c>
      <c r="H48" s="2317"/>
      <c r="I48" s="1160">
        <f>V48</f>
        <v>23768</v>
      </c>
      <c r="J48" s="2317"/>
      <c r="K48" s="2319">
        <f>F48+H48+J48</f>
        <v>0</v>
      </c>
      <c r="L48" s="2723"/>
      <c r="M48" s="2724"/>
      <c r="N48" s="2715"/>
      <c r="O48" s="2724"/>
      <c r="P48" s="3675" t="str">
        <f>A48</f>
        <v>比较价值（元/平方米）</v>
      </c>
      <c r="Q48" s="3675"/>
      <c r="R48" s="3676">
        <f>IF(F1="售价",ROUND(PRODUCT(R47,AA7:AA46),0),ROUND(PRODUCT(R47,AA7:AA46),1))</f>
        <v>21242</v>
      </c>
      <c r="S48" s="3676"/>
      <c r="T48" s="3676">
        <f>IF(F1="售价",ROUND(PRODUCT(T47,AB7:AB46),0),ROUND(PRODUCT(T47,AB7:AB46),1))</f>
        <v>25408</v>
      </c>
      <c r="U48" s="3676"/>
      <c r="V48" s="3676">
        <f>IF(F1="售价",ROUND(PRODUCT(V47,AC7:AC46),0),ROUND(PRODUCT(V47,AC7:AC46),1))</f>
        <v>23768</v>
      </c>
      <c r="W48" s="3676"/>
      <c r="X48" s="689"/>
      <c r="Y48" s="689"/>
      <c r="Z48" s="689"/>
      <c r="AA48" s="689"/>
      <c r="AB48" s="689"/>
      <c r="AC48" s="689"/>
    </row>
    <row r="49" spans="1:29" ht="15.75" thickBot="1">
      <c r="A49" s="440" t="s">
        <v>1794</v>
      </c>
      <c r="B49" s="441"/>
      <c r="C49" s="1162">
        <f>R49</f>
        <v>23473</v>
      </c>
      <c r="D49" s="1162"/>
      <c r="E49" s="1162"/>
      <c r="F49" s="1162"/>
      <c r="G49" s="1162"/>
      <c r="H49" s="1162"/>
      <c r="I49" s="1162"/>
      <c r="J49" s="1162"/>
      <c r="K49" s="714"/>
      <c r="L49" s="2723"/>
      <c r="M49" s="2724"/>
      <c r="N49" s="2715"/>
      <c r="O49" s="2724"/>
      <c r="P49" s="3672" t="str">
        <f>A49</f>
        <v>估价对象XX用房的比较价值（楼面单价，元/平方米）</v>
      </c>
      <c r="Q49" s="3673"/>
      <c r="R49" s="3674">
        <f>IF(F1="售价",ROUND(IF(D48="简单平均",AVERAGE(R48:V48),R48*F48+T48*H48+V48*J48),0),ROUND(IF(D48="简单平均",AVERAGE(R48:V48),R48*F48+T48*H48+V48*J48),1))</f>
        <v>23473</v>
      </c>
      <c r="S49" s="3674"/>
      <c r="T49" s="3674"/>
      <c r="U49" s="3674"/>
      <c r="V49" s="3674"/>
      <c r="W49" s="367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f>IF(E47&lt;E48,E48/E47-1,E47/E48-1)</f>
        <v>0.17645104120513966</v>
      </c>
      <c r="F52" s="448" t="str">
        <f>IF(OR(E52&gt;=0.3,E52&lt;=-0.3),"超过30%","")</f>
        <v/>
      </c>
      <c r="G52" s="447">
        <f>IF(G47&lt;G48,G48/G47-1,G47/G48-1)</f>
        <v>0.1764596934759457</v>
      </c>
      <c r="H52" s="448" t="str">
        <f>IF(OR(G52&gt;=0.3,G52&lt;=-0.3),"超过30%","")</f>
        <v/>
      </c>
      <c r="I52" s="447">
        <f>IF(I47&lt;I48,I48/I47-1,I47/I48-1)</f>
        <v>0.2987268455275669</v>
      </c>
      <c r="J52" s="448"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f>IF(E48&lt;G48,G48/E48-1,E48/G48-1)</f>
        <v>0.19612089257132093</v>
      </c>
      <c r="F53" s="448" t="str">
        <f>IF(OR(E53&gt;=0.2,E53&lt;=-0.2),"超过20%","")</f>
        <v/>
      </c>
      <c r="G53" s="447">
        <f>IF(G48&lt;I48,I48/G48-1,G48/I48-1)</f>
        <v>6.9000336587007771E-2</v>
      </c>
      <c r="H53" s="448" t="str">
        <f>IF(OR(G53&gt;=0.2,G53&lt;=-0.2),"超过20%","")</f>
        <v/>
      </c>
      <c r="I53" s="447">
        <f>IF(I48&lt;E48,E48/I48-1,I48/E48-1)</f>
        <v>0.11891535636945672</v>
      </c>
      <c r="J53" s="448"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f>IF(E47&lt;G47,G47/E47-1,E47/G47-1)</f>
        <v>0.19611209570225974</v>
      </c>
      <c r="F54" s="448" t="str">
        <f>IF(OR(E54&gt;=0.3,E54&lt;=-0.3),"超过30%","")</f>
        <v/>
      </c>
      <c r="G54" s="447">
        <f>IF(G47&lt;I47,I47/G47-1,G47/I47-1)</f>
        <v>0.18009944811758927</v>
      </c>
      <c r="H54" s="448" t="str">
        <f>IF(OR(G54&gt;=0.3,G54&lt;=-0.3),"超过30%","")</f>
        <v/>
      </c>
      <c r="I54" s="447">
        <f>IF(I47&lt;E47,E47/I47-1,I47/E47-1)</f>
        <v>1.356889676561801E-2</v>
      </c>
      <c r="J54" s="448"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0（含）-1</v>
      </c>
      <c r="D67" s="495" t="str">
        <f t="shared" ref="D67:L67" si="17">D68&amp;"（含）"&amp;"-"&amp;E68</f>
        <v>1（含）-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3455">
        <v>0</v>
      </c>
      <c r="D68" s="3455">
        <v>1</v>
      </c>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3458" t="s">
        <v>3411</v>
      </c>
      <c r="D92" s="3458" t="s">
        <v>3412</v>
      </c>
      <c r="E92" s="3458" t="s">
        <v>3413</v>
      </c>
      <c r="F92" s="3458" t="s">
        <v>3414</v>
      </c>
      <c r="G92" s="3458" t="s">
        <v>3415</v>
      </c>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3457">
        <v>100</v>
      </c>
      <c r="D93" s="3457">
        <v>70</v>
      </c>
      <c r="E93" s="3457">
        <v>60</v>
      </c>
      <c r="F93" s="3457">
        <v>85</v>
      </c>
      <c r="G93" s="3457">
        <v>77</v>
      </c>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0(含)-100</v>
      </c>
      <c r="D102" s="526" t="str">
        <f t="shared" ref="D102:L102" si="23">D103&amp;"(含)"&amp;"-"&amp;E103</f>
        <v>100(含)-200</v>
      </c>
      <c r="E102" s="526" t="str">
        <f t="shared" si="23"/>
        <v>200(含)-500</v>
      </c>
      <c r="F102" s="526" t="str">
        <f t="shared" si="23"/>
        <v>500(含)-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6">
        <v>0</v>
      </c>
      <c r="D103" s="6">
        <v>100</v>
      </c>
      <c r="E103" s="6">
        <v>200</v>
      </c>
      <c r="F103" s="6">
        <v>500</v>
      </c>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3456">
        <v>100</v>
      </c>
      <c r="D104" s="3457">
        <v>98</v>
      </c>
      <c r="E104" s="3457">
        <v>96</v>
      </c>
      <c r="F104" s="3457">
        <v>94</v>
      </c>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485.45999999999992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0" t="s">
        <v>1770</v>
      </c>
      <c r="D4" s="3691"/>
      <c r="E4" s="3692" t="s">
        <v>1771</v>
      </c>
      <c r="F4" s="3693"/>
      <c r="G4" s="3690" t="s">
        <v>1772</v>
      </c>
      <c r="H4" s="3691"/>
      <c r="I4" s="3690" t="s">
        <v>1773</v>
      </c>
      <c r="J4" s="3691"/>
      <c r="K4" s="558" t="s">
        <v>1774</v>
      </c>
      <c r="L4" s="2714"/>
      <c r="M4" s="2715"/>
      <c r="N4" s="2715"/>
      <c r="O4" s="2715"/>
      <c r="P4" s="3724" t="s">
        <v>1775</v>
      </c>
      <c r="Q4" s="3725"/>
      <c r="R4" s="3728" t="s">
        <v>1771</v>
      </c>
      <c r="S4" s="3729"/>
      <c r="T4" s="3728" t="s">
        <v>1772</v>
      </c>
      <c r="U4" s="3729"/>
      <c r="V4" s="3730" t="s">
        <v>1773</v>
      </c>
      <c r="W4" s="3730"/>
      <c r="X4" s="1957"/>
      <c r="Y4" s="3728" t="s">
        <v>1775</v>
      </c>
      <c r="Z4" s="3729"/>
      <c r="AA4" s="3732" t="s">
        <v>1771</v>
      </c>
      <c r="AB4" s="3732" t="s">
        <v>1772</v>
      </c>
      <c r="AC4" s="3721" t="s">
        <v>1773</v>
      </c>
    </row>
    <row r="5" spans="1:29" ht="15">
      <c r="A5" s="357"/>
      <c r="B5" s="358"/>
      <c r="C5" s="3709" t="s">
        <v>1673</v>
      </c>
      <c r="D5" s="3710"/>
      <c r="E5" s="3716" t="s">
        <v>1674</v>
      </c>
      <c r="F5" s="3717"/>
      <c r="G5" s="3709" t="s">
        <v>1675</v>
      </c>
      <c r="H5" s="3710"/>
      <c r="I5" s="3709" t="s">
        <v>1676</v>
      </c>
      <c r="J5" s="3710"/>
      <c r="K5" s="558"/>
      <c r="L5" s="2714"/>
      <c r="M5" s="2715"/>
      <c r="N5" s="2715"/>
      <c r="O5" s="2715"/>
      <c r="P5" s="3726"/>
      <c r="Q5" s="3697"/>
      <c r="R5" s="3702"/>
      <c r="S5" s="3703"/>
      <c r="T5" s="3702"/>
      <c r="U5" s="3703"/>
      <c r="V5" s="3706"/>
      <c r="W5" s="3706"/>
      <c r="X5" s="1354"/>
      <c r="Y5" s="3702"/>
      <c r="Z5" s="3703"/>
      <c r="AA5" s="3688"/>
      <c r="AB5" s="3688"/>
      <c r="AC5" s="3722"/>
    </row>
    <row r="6" spans="1:29" ht="15.75" thickBot="1">
      <c r="A6" s="359"/>
      <c r="B6" s="360"/>
      <c r="C6" s="3707" t="s">
        <v>1677</v>
      </c>
      <c r="D6" s="3708"/>
      <c r="E6" s="3714" t="s">
        <v>1677</v>
      </c>
      <c r="F6" s="3715"/>
      <c r="G6" s="3707" t="s">
        <v>1677</v>
      </c>
      <c r="H6" s="3708"/>
      <c r="I6" s="3707" t="s">
        <v>1677</v>
      </c>
      <c r="J6" s="3708"/>
      <c r="K6" s="558" t="s">
        <v>1678</v>
      </c>
      <c r="L6" s="2714"/>
      <c r="M6" s="2715"/>
      <c r="N6" s="2715"/>
      <c r="O6" s="2715"/>
      <c r="P6" s="3727"/>
      <c r="Q6" s="3699"/>
      <c r="R6" s="3702"/>
      <c r="S6" s="3703"/>
      <c r="T6" s="3704"/>
      <c r="U6" s="3705"/>
      <c r="V6" s="3706"/>
      <c r="W6" s="3706"/>
      <c r="X6" s="1354"/>
      <c r="Y6" s="3704"/>
      <c r="Z6" s="3705"/>
      <c r="AA6" s="3689"/>
      <c r="AB6" s="3689"/>
      <c r="AC6" s="3723"/>
    </row>
    <row r="7" spans="1:29" s="107" customFormat="1" ht="15.75" thickBot="1">
      <c r="A7" s="361" t="s">
        <v>1679</v>
      </c>
      <c r="B7" s="362"/>
      <c r="C7" s="363">
        <f>'数据-取费表'!B2</f>
        <v>45131</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1" t="s">
        <v>1683</v>
      </c>
      <c r="Q8" s="3712"/>
      <c r="R8" s="700" t="s">
        <v>14</v>
      </c>
      <c r="S8" s="701">
        <f t="shared" si="0"/>
        <v>100</v>
      </c>
      <c r="T8" s="700" t="s">
        <v>14</v>
      </c>
      <c r="U8" s="701">
        <f t="shared" si="1"/>
        <v>100</v>
      </c>
      <c r="V8" s="700" t="s">
        <v>14</v>
      </c>
      <c r="W8" s="701">
        <f t="shared" si="2"/>
        <v>100</v>
      </c>
      <c r="X8" s="702"/>
      <c r="Y8" s="3711" t="s">
        <v>1683</v>
      </c>
      <c r="Z8" s="3712"/>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6"/>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6"/>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84" t="s">
        <v>1691</v>
      </c>
      <c r="Q15" s="1351" t="str">
        <f t="shared" si="6"/>
        <v>办公集聚程度</v>
      </c>
      <c r="R15" s="704" t="s">
        <v>14</v>
      </c>
      <c r="S15" s="705">
        <f t="shared" si="0"/>
        <v>100</v>
      </c>
      <c r="T15" s="704" t="s">
        <v>14</v>
      </c>
      <c r="U15" s="705">
        <f t="shared" si="1"/>
        <v>100</v>
      </c>
      <c r="V15" s="704" t="s">
        <v>14</v>
      </c>
      <c r="W15" s="705">
        <f t="shared" si="2"/>
        <v>100</v>
      </c>
      <c r="X15" s="1354"/>
      <c r="Y15" s="3677"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85"/>
      <c r="Q16" s="1351"/>
      <c r="R16" s="704"/>
      <c r="S16" s="705"/>
      <c r="T16" s="704"/>
      <c r="U16" s="705"/>
      <c r="V16" s="704"/>
      <c r="W16" s="705"/>
      <c r="X16" s="1354"/>
      <c r="Y16" s="3678"/>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85"/>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85"/>
      <c r="Q18" s="1351"/>
      <c r="R18" s="704"/>
      <c r="S18" s="705"/>
      <c r="T18" s="704"/>
      <c r="U18" s="705"/>
      <c r="V18" s="704"/>
      <c r="W18" s="705"/>
      <c r="X18" s="1354"/>
      <c r="Y18" s="3678"/>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85"/>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85"/>
      <c r="Q20" s="1351"/>
      <c r="R20" s="704"/>
      <c r="S20" s="705"/>
      <c r="T20" s="704"/>
      <c r="U20" s="705"/>
      <c r="V20" s="704"/>
      <c r="W20" s="705"/>
      <c r="X20" s="1354"/>
      <c r="Y20" s="3678"/>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85"/>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85"/>
      <c r="Q22" s="1351"/>
      <c r="R22" s="704"/>
      <c r="S22" s="705"/>
      <c r="T22" s="704"/>
      <c r="U22" s="705"/>
      <c r="V22" s="704"/>
      <c r="W22" s="705"/>
      <c r="X22" s="1354"/>
      <c r="Y22" s="3678"/>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85"/>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85"/>
      <c r="Q24" s="1351"/>
      <c r="R24" s="704"/>
      <c r="S24" s="705"/>
      <c r="T24" s="704"/>
      <c r="U24" s="705"/>
      <c r="V24" s="704"/>
      <c r="W24" s="705"/>
      <c r="X24" s="1354"/>
      <c r="Y24" s="3678"/>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85"/>
      <c r="Q25" s="1351" t="str">
        <f>B25</f>
        <v>毗邻道路的类型与等级</v>
      </c>
      <c r="R25" s="704" t="s">
        <v>14</v>
      </c>
      <c r="S25" s="705">
        <f>F25</f>
        <v>100</v>
      </c>
      <c r="T25" s="704" t="s">
        <v>14</v>
      </c>
      <c r="U25" s="705">
        <f>H25</f>
        <v>100</v>
      </c>
      <c r="V25" s="704" t="s">
        <v>14</v>
      </c>
      <c r="W25" s="705">
        <f>J25</f>
        <v>100</v>
      </c>
      <c r="X25" s="1354"/>
      <c r="Y25" s="367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85"/>
      <c r="Q26" s="1351"/>
      <c r="R26" s="704"/>
      <c r="S26" s="705"/>
      <c r="T26" s="704"/>
      <c r="U26" s="705"/>
      <c r="V26" s="704"/>
      <c r="W26" s="705"/>
      <c r="X26" s="1354"/>
      <c r="Y26" s="3678"/>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85"/>
      <c r="Q27" s="1351" t="str">
        <f t="shared" ref="Q27:Q47" si="11">B27</f>
        <v>楼层</v>
      </c>
      <c r="R27" s="704" t="s">
        <v>14</v>
      </c>
      <c r="S27" s="705">
        <f>F27</f>
        <v>100</v>
      </c>
      <c r="T27" s="704" t="s">
        <v>14</v>
      </c>
      <c r="U27" s="705">
        <f>H27</f>
        <v>100</v>
      </c>
      <c r="V27" s="704" t="s">
        <v>14</v>
      </c>
      <c r="W27" s="705">
        <f>J27</f>
        <v>100</v>
      </c>
      <c r="X27" s="1354"/>
      <c r="Y27" s="3678"/>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85"/>
      <c r="Q28" s="1342" t="str">
        <f t="shared" si="11"/>
        <v>朝向</v>
      </c>
      <c r="R28" s="700" t="s">
        <v>14</v>
      </c>
      <c r="S28" s="701">
        <f>F28</f>
        <v>100</v>
      </c>
      <c r="T28" s="700" t="s">
        <v>14</v>
      </c>
      <c r="U28" s="701">
        <f>H28</f>
        <v>100</v>
      </c>
      <c r="V28" s="700" t="s">
        <v>14</v>
      </c>
      <c r="W28" s="701">
        <f>J28</f>
        <v>100</v>
      </c>
      <c r="X28" s="702"/>
      <c r="Y28" s="3678"/>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85"/>
      <c r="Q29" s="1351">
        <f t="shared" si="11"/>
        <v>111</v>
      </c>
      <c r="R29" s="704" t="s">
        <v>14</v>
      </c>
      <c r="S29" s="705">
        <f t="shared" ref="S29:S47" si="12">F29</f>
        <v>100</v>
      </c>
      <c r="T29" s="704" t="s">
        <v>14</v>
      </c>
      <c r="U29" s="705">
        <f t="shared" ref="U29:U47" si="13">H29</f>
        <v>100</v>
      </c>
      <c r="V29" s="704" t="s">
        <v>14</v>
      </c>
      <c r="W29" s="705">
        <f t="shared" ref="W29:W47" si="14">J29</f>
        <v>100</v>
      </c>
      <c r="X29" s="1354"/>
      <c r="Y29" s="367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85"/>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85"/>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85"/>
      <c r="Q32" s="1351">
        <f t="shared" si="11"/>
        <v>111</v>
      </c>
      <c r="R32" s="704" t="s">
        <v>14</v>
      </c>
      <c r="S32" s="705">
        <f t="shared" si="12"/>
        <v>100</v>
      </c>
      <c r="T32" s="704" t="s">
        <v>14</v>
      </c>
      <c r="U32" s="705">
        <f t="shared" si="13"/>
        <v>100</v>
      </c>
      <c r="V32" s="704" t="s">
        <v>14</v>
      </c>
      <c r="W32" s="705">
        <f t="shared" si="14"/>
        <v>100</v>
      </c>
      <c r="X32" s="1354"/>
      <c r="Y32" s="3678"/>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79" t="s">
        <v>1696</v>
      </c>
      <c r="Q33" s="1351" t="str">
        <f t="shared" si="11"/>
        <v>建筑类型</v>
      </c>
      <c r="R33" s="704" t="s">
        <v>14</v>
      </c>
      <c r="S33" s="705">
        <f t="shared" si="12"/>
        <v>100</v>
      </c>
      <c r="T33" s="704" t="s">
        <v>14</v>
      </c>
      <c r="U33" s="705">
        <f t="shared" si="13"/>
        <v>100</v>
      </c>
      <c r="V33" s="704" t="s">
        <v>14</v>
      </c>
      <c r="W33" s="705">
        <f t="shared" si="14"/>
        <v>100</v>
      </c>
      <c r="X33" s="1354"/>
      <c r="Y33" s="3682"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80"/>
      <c r="Q34" s="706" t="str">
        <f t="shared" si="11"/>
        <v>项目建筑规模</v>
      </c>
      <c r="R34" s="707" t="s">
        <v>14</v>
      </c>
      <c r="S34" s="708" t="e">
        <f t="shared" si="12"/>
        <v>#N/A</v>
      </c>
      <c r="T34" s="707" t="s">
        <v>14</v>
      </c>
      <c r="U34" s="708" t="e">
        <f t="shared" si="13"/>
        <v>#N/A</v>
      </c>
      <c r="V34" s="707" t="s">
        <v>14</v>
      </c>
      <c r="W34" s="708" t="e">
        <f t="shared" si="14"/>
        <v>#N/A</v>
      </c>
      <c r="X34" s="709"/>
      <c r="Y34" s="3682"/>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80"/>
      <c r="Q35" s="1351" t="str">
        <f t="shared" si="11"/>
        <v>建筑结构</v>
      </c>
      <c r="R35" s="704" t="s">
        <v>14</v>
      </c>
      <c r="S35" s="705">
        <f t="shared" si="12"/>
        <v>100</v>
      </c>
      <c r="T35" s="704" t="s">
        <v>14</v>
      </c>
      <c r="U35" s="705">
        <f t="shared" si="13"/>
        <v>100</v>
      </c>
      <c r="V35" s="704" t="s">
        <v>14</v>
      </c>
      <c r="W35" s="705">
        <f t="shared" si="14"/>
        <v>100</v>
      </c>
      <c r="X35" s="1354"/>
      <c r="Y35" s="3682"/>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80"/>
      <c r="Q36" s="1351" t="str">
        <f t="shared" si="11"/>
        <v>公共部分装修</v>
      </c>
      <c r="R36" s="704" t="s">
        <v>14</v>
      </c>
      <c r="S36" s="705">
        <f t="shared" si="12"/>
        <v>100</v>
      </c>
      <c r="T36" s="704" t="s">
        <v>14</v>
      </c>
      <c r="U36" s="705">
        <f t="shared" si="13"/>
        <v>100</v>
      </c>
      <c r="V36" s="704" t="s">
        <v>14</v>
      </c>
      <c r="W36" s="705">
        <f t="shared" si="14"/>
        <v>100</v>
      </c>
      <c r="X36" s="1354"/>
      <c r="Y36" s="3682"/>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80"/>
      <c r="Q37" s="1351" t="str">
        <f t="shared" si="11"/>
        <v>成新度</v>
      </c>
      <c r="R37" s="704" t="s">
        <v>14</v>
      </c>
      <c r="S37" s="705" t="e">
        <f t="shared" si="12"/>
        <v>#N/A</v>
      </c>
      <c r="T37" s="704" t="s">
        <v>14</v>
      </c>
      <c r="U37" s="705" t="e">
        <f t="shared" si="13"/>
        <v>#N/A</v>
      </c>
      <c r="V37" s="704" t="s">
        <v>14</v>
      </c>
      <c r="W37" s="705" t="e">
        <f t="shared" si="14"/>
        <v>#N/A</v>
      </c>
      <c r="X37" s="1354"/>
      <c r="Y37" s="3682"/>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80"/>
      <c r="Q38" s="1342" t="str">
        <f t="shared" si="11"/>
        <v>写字楼等级</v>
      </c>
      <c r="R38" s="700" t="s">
        <v>14</v>
      </c>
      <c r="S38" s="701">
        <f t="shared" si="12"/>
        <v>100</v>
      </c>
      <c r="T38" s="700" t="s">
        <v>14</v>
      </c>
      <c r="U38" s="701">
        <f t="shared" si="13"/>
        <v>100</v>
      </c>
      <c r="V38" s="700" t="s">
        <v>14</v>
      </c>
      <c r="W38" s="701">
        <f t="shared" si="14"/>
        <v>100</v>
      </c>
      <c r="X38" s="702"/>
      <c r="Y38" s="3682"/>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80" t="s">
        <v>1696</v>
      </c>
      <c r="Q39" s="1351" t="str">
        <f t="shared" si="11"/>
        <v>物业管理</v>
      </c>
      <c r="R39" s="704" t="s">
        <v>14</v>
      </c>
      <c r="S39" s="705">
        <f t="shared" si="12"/>
        <v>100</v>
      </c>
      <c r="T39" s="704" t="s">
        <v>14</v>
      </c>
      <c r="U39" s="705">
        <f t="shared" si="13"/>
        <v>100</v>
      </c>
      <c r="V39" s="704" t="s">
        <v>14</v>
      </c>
      <c r="W39" s="705">
        <f t="shared" si="14"/>
        <v>100</v>
      </c>
      <c r="X39" s="1354"/>
      <c r="Y39" s="3682"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80"/>
      <c r="Q40" s="1351" t="str">
        <f t="shared" si="11"/>
        <v>市政基础设施</v>
      </c>
      <c r="R40" s="704" t="s">
        <v>14</v>
      </c>
      <c r="S40" s="705">
        <f t="shared" si="12"/>
        <v>100</v>
      </c>
      <c r="T40" s="704" t="s">
        <v>14</v>
      </c>
      <c r="U40" s="705">
        <f t="shared" si="13"/>
        <v>100</v>
      </c>
      <c r="V40" s="704" t="s">
        <v>14</v>
      </c>
      <c r="W40" s="705">
        <f t="shared" si="14"/>
        <v>100</v>
      </c>
      <c r="X40" s="1354"/>
      <c r="Y40" s="3682"/>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80"/>
      <c r="Q41" s="1351" t="str">
        <f t="shared" si="11"/>
        <v>层高</v>
      </c>
      <c r="R41" s="704" t="s">
        <v>14</v>
      </c>
      <c r="S41" s="705">
        <f t="shared" si="12"/>
        <v>100</v>
      </c>
      <c r="T41" s="704" t="s">
        <v>14</v>
      </c>
      <c r="U41" s="705">
        <f t="shared" si="13"/>
        <v>100</v>
      </c>
      <c r="V41" s="704" t="s">
        <v>14</v>
      </c>
      <c r="W41" s="705">
        <f t="shared" si="14"/>
        <v>100</v>
      </c>
      <c r="X41" s="1354"/>
      <c r="Y41" s="3682"/>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80"/>
      <c r="Q42" s="706" t="str">
        <f t="shared" si="11"/>
        <v>单套建筑面积</v>
      </c>
      <c r="R42" s="707" t="s">
        <v>14</v>
      </c>
      <c r="S42" s="708">
        <f t="shared" si="12"/>
        <v>100</v>
      </c>
      <c r="T42" s="707" t="s">
        <v>14</v>
      </c>
      <c r="U42" s="708">
        <f t="shared" si="13"/>
        <v>100</v>
      </c>
      <c r="V42" s="707" t="s">
        <v>14</v>
      </c>
      <c r="W42" s="708">
        <f t="shared" si="14"/>
        <v>100</v>
      </c>
      <c r="X42" s="709"/>
      <c r="Y42" s="3682"/>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80"/>
      <c r="Q43" s="1351" t="str">
        <f t="shared" si="11"/>
        <v>内部装修</v>
      </c>
      <c r="R43" s="704" t="s">
        <v>14</v>
      </c>
      <c r="S43" s="705">
        <f t="shared" si="12"/>
        <v>100</v>
      </c>
      <c r="T43" s="704" t="s">
        <v>14</v>
      </c>
      <c r="U43" s="705">
        <f t="shared" si="13"/>
        <v>100</v>
      </c>
      <c r="V43" s="704" t="s">
        <v>14</v>
      </c>
      <c r="W43" s="705">
        <f t="shared" si="14"/>
        <v>100</v>
      </c>
      <c r="X43" s="1354"/>
      <c r="Y43" s="3682"/>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80"/>
      <c r="Q44" s="1351" t="str">
        <f t="shared" si="11"/>
        <v>内部装修维护情况</v>
      </c>
      <c r="R44" s="704" t="s">
        <v>14</v>
      </c>
      <c r="S44" s="705">
        <f t="shared" si="12"/>
        <v>100</v>
      </c>
      <c r="T44" s="704" t="s">
        <v>14</v>
      </c>
      <c r="U44" s="705">
        <f t="shared" si="13"/>
        <v>100</v>
      </c>
      <c r="V44" s="704" t="s">
        <v>14</v>
      </c>
      <c r="W44" s="705">
        <f t="shared" si="14"/>
        <v>100</v>
      </c>
      <c r="X44" s="1354"/>
      <c r="Y44" s="3682"/>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80"/>
      <c r="Q45" s="1342">
        <f t="shared" si="11"/>
        <v>111</v>
      </c>
      <c r="R45" s="700" t="s">
        <v>14</v>
      </c>
      <c r="S45" s="701">
        <f t="shared" si="12"/>
        <v>100</v>
      </c>
      <c r="T45" s="700" t="s">
        <v>14</v>
      </c>
      <c r="U45" s="701">
        <f t="shared" si="13"/>
        <v>100</v>
      </c>
      <c r="V45" s="700" t="s">
        <v>14</v>
      </c>
      <c r="W45" s="701">
        <f t="shared" si="14"/>
        <v>100</v>
      </c>
      <c r="X45" s="702"/>
      <c r="Y45" s="3682"/>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80"/>
      <c r="Q46" s="1351">
        <f t="shared" si="11"/>
        <v>111</v>
      </c>
      <c r="R46" s="704" t="s">
        <v>14</v>
      </c>
      <c r="S46" s="705">
        <f t="shared" si="12"/>
        <v>100</v>
      </c>
      <c r="T46" s="704" t="s">
        <v>14</v>
      </c>
      <c r="U46" s="705">
        <f t="shared" si="13"/>
        <v>100</v>
      </c>
      <c r="V46" s="704" t="s">
        <v>14</v>
      </c>
      <c r="W46" s="705">
        <f t="shared" si="14"/>
        <v>100</v>
      </c>
      <c r="X46" s="1354"/>
      <c r="Y46" s="3682"/>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81"/>
      <c r="Q47" s="1351">
        <f t="shared" si="11"/>
        <v>111</v>
      </c>
      <c r="R47" s="704" t="s">
        <v>14</v>
      </c>
      <c r="S47" s="705">
        <f t="shared" si="12"/>
        <v>100</v>
      </c>
      <c r="T47" s="704" t="s">
        <v>14</v>
      </c>
      <c r="U47" s="705">
        <f t="shared" si="13"/>
        <v>100</v>
      </c>
      <c r="V47" s="704" t="s">
        <v>14</v>
      </c>
      <c r="W47" s="705">
        <f t="shared" si="14"/>
        <v>100</v>
      </c>
      <c r="X47" s="1354"/>
      <c r="Y47" s="3683"/>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86" t="str">
        <f>A48</f>
        <v>成交单价（元/平方米）</v>
      </c>
      <c r="Q48" s="3675"/>
      <c r="R48" s="3676">
        <f>E48</f>
        <v>0</v>
      </c>
      <c r="S48" s="3676"/>
      <c r="T48" s="3676">
        <f>G48</f>
        <v>0</v>
      </c>
      <c r="U48" s="3676"/>
      <c r="V48" s="3676">
        <f>I48</f>
        <v>0</v>
      </c>
      <c r="W48" s="3676"/>
      <c r="X48" s="396"/>
      <c r="Y48" s="711"/>
      <c r="Z48" s="396"/>
      <c r="AA48" s="396"/>
      <c r="AB48" s="396"/>
      <c r="AC48" s="577"/>
    </row>
    <row r="49" spans="1:29" ht="15.75" thickBot="1">
      <c r="A49" s="436" t="s">
        <v>1793</v>
      </c>
      <c r="B49" s="437"/>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485.45999999999992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0" t="s">
        <v>1770</v>
      </c>
      <c r="D4" s="3691"/>
      <c r="E4" s="3692" t="s">
        <v>1771</v>
      </c>
      <c r="F4" s="3693"/>
      <c r="G4" s="3690" t="s">
        <v>1772</v>
      </c>
      <c r="H4" s="3691"/>
      <c r="I4" s="3690" t="s">
        <v>1773</v>
      </c>
      <c r="J4" s="3691"/>
      <c r="K4" s="558" t="s">
        <v>1774</v>
      </c>
      <c r="L4" s="912"/>
      <c r="M4" s="913"/>
      <c r="N4" s="913"/>
      <c r="O4" s="913"/>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7"/>
      <c r="B5" s="358"/>
      <c r="C5" s="3709" t="s">
        <v>1673</v>
      </c>
      <c r="D5" s="3710"/>
      <c r="E5" s="3716" t="s">
        <v>1674</v>
      </c>
      <c r="F5" s="3717"/>
      <c r="G5" s="3709" t="s">
        <v>1675</v>
      </c>
      <c r="H5" s="3710"/>
      <c r="I5" s="3709" t="s">
        <v>1676</v>
      </c>
      <c r="J5" s="3710"/>
      <c r="K5" s="558"/>
      <c r="L5" s="912"/>
      <c r="M5" s="913"/>
      <c r="N5" s="913"/>
      <c r="O5" s="913"/>
      <c r="P5" s="3696"/>
      <c r="Q5" s="3697"/>
      <c r="R5" s="3702"/>
      <c r="S5" s="3703"/>
      <c r="T5" s="3702"/>
      <c r="U5" s="3703"/>
      <c r="V5" s="3706"/>
      <c r="W5" s="3706"/>
      <c r="X5" s="1354"/>
      <c r="Y5" s="3702"/>
      <c r="Z5" s="3703"/>
      <c r="AA5" s="3688"/>
      <c r="AB5" s="3688"/>
      <c r="AC5" s="3688"/>
    </row>
    <row r="6" spans="1:29" ht="15.75" thickBot="1">
      <c r="A6" s="359"/>
      <c r="B6" s="360"/>
      <c r="C6" s="3707" t="s">
        <v>1677</v>
      </c>
      <c r="D6" s="3708"/>
      <c r="E6" s="3714" t="s">
        <v>1677</v>
      </c>
      <c r="F6" s="3715"/>
      <c r="G6" s="3707" t="s">
        <v>1677</v>
      </c>
      <c r="H6" s="3708"/>
      <c r="I6" s="3707" t="s">
        <v>1677</v>
      </c>
      <c r="J6" s="3708"/>
      <c r="K6" s="558" t="s">
        <v>1678</v>
      </c>
      <c r="L6" s="912"/>
      <c r="M6" s="913"/>
      <c r="N6" s="913"/>
      <c r="O6" s="913"/>
      <c r="P6" s="3698"/>
      <c r="Q6" s="3699"/>
      <c r="R6" s="3702"/>
      <c r="S6" s="3703"/>
      <c r="T6" s="3704"/>
      <c r="U6" s="3705"/>
      <c r="V6" s="3706"/>
      <c r="W6" s="3706"/>
      <c r="X6" s="1354"/>
      <c r="Y6" s="3704"/>
      <c r="Z6" s="3705"/>
      <c r="AA6" s="3689"/>
      <c r="AB6" s="3689"/>
      <c r="AC6" s="3689"/>
    </row>
    <row r="7" spans="1:29" s="107" customFormat="1" ht="15.75" thickBot="1">
      <c r="A7" s="361" t="s">
        <v>1679</v>
      </c>
      <c r="B7" s="362"/>
      <c r="C7" s="363">
        <f>'数据-取费表'!B2</f>
        <v>45131</v>
      </c>
      <c r="D7" s="364">
        <v>100</v>
      </c>
      <c r="E7" s="365"/>
      <c r="F7" s="366">
        <f>SUMIF(52:52,YEAR(E7)&amp;"-"&amp;MONTH(E7),53:53)</f>
        <v>0</v>
      </c>
      <c r="G7" s="365"/>
      <c r="H7" s="364">
        <f>SUMIF(52:52,YEAR(G7)&amp;"-"&amp;MONTH(G7),53:53)</f>
        <v>0</v>
      </c>
      <c r="I7" s="365"/>
      <c r="J7" s="364">
        <f>SUMIF(52:52,YEAR(I7)&amp;"-"&amp;MONTH(I7),53:53)</f>
        <v>0</v>
      </c>
      <c r="K7" s="559"/>
      <c r="L7" s="914"/>
      <c r="M7" s="915"/>
      <c r="N7" s="915"/>
      <c r="O7" s="915"/>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1" t="s">
        <v>1683</v>
      </c>
      <c r="Q8" s="3712"/>
      <c r="R8" s="700" t="s">
        <v>14</v>
      </c>
      <c r="S8" s="701">
        <f t="shared" si="0"/>
        <v>100</v>
      </c>
      <c r="T8" s="700" t="s">
        <v>14</v>
      </c>
      <c r="U8" s="701">
        <f t="shared" si="1"/>
        <v>100</v>
      </c>
      <c r="V8" s="700" t="s">
        <v>14</v>
      </c>
      <c r="W8" s="701">
        <f t="shared" si="2"/>
        <v>100</v>
      </c>
      <c r="X8" s="702"/>
      <c r="Y8" s="3711" t="s">
        <v>1683</v>
      </c>
      <c r="Z8" s="3712"/>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5"/>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78"/>
      <c r="Q16" s="1351"/>
      <c r="R16" s="704"/>
      <c r="S16" s="705"/>
      <c r="T16" s="704"/>
      <c r="U16" s="705"/>
      <c r="V16" s="704"/>
      <c r="W16" s="705"/>
      <c r="X16" s="1354"/>
      <c r="Y16" s="3678"/>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78"/>
      <c r="Q18" s="1351"/>
      <c r="R18" s="704"/>
      <c r="S18" s="705"/>
      <c r="T18" s="704"/>
      <c r="U18" s="705"/>
      <c r="V18" s="704"/>
      <c r="W18" s="705"/>
      <c r="X18" s="1354"/>
      <c r="Y18" s="3678"/>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78"/>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78"/>
      <c r="Q20" s="1351"/>
      <c r="R20" s="704"/>
      <c r="S20" s="705"/>
      <c r="T20" s="704"/>
      <c r="U20" s="705"/>
      <c r="V20" s="704"/>
      <c r="W20" s="705"/>
      <c r="X20" s="1354"/>
      <c r="Y20" s="3678"/>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78"/>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78"/>
      <c r="Q22" s="1351"/>
      <c r="R22" s="704"/>
      <c r="S22" s="705"/>
      <c r="T22" s="704"/>
      <c r="U22" s="705"/>
      <c r="V22" s="704"/>
      <c r="W22" s="705"/>
      <c r="X22" s="1354"/>
      <c r="Y22" s="3678"/>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78"/>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78"/>
      <c r="Q24" s="1351"/>
      <c r="R24" s="704"/>
      <c r="S24" s="705"/>
      <c r="T24" s="704"/>
      <c r="U24" s="705"/>
      <c r="V24" s="704"/>
      <c r="W24" s="705"/>
      <c r="X24" s="1354"/>
      <c r="Y24" s="367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78"/>
      <c r="Q25" s="1351">
        <f>B25</f>
        <v>111</v>
      </c>
      <c r="R25" s="704" t="s">
        <v>14</v>
      </c>
      <c r="S25" s="705">
        <f>F25</f>
        <v>100</v>
      </c>
      <c r="T25" s="704" t="s">
        <v>14</v>
      </c>
      <c r="U25" s="705">
        <f>H25</f>
        <v>100</v>
      </c>
      <c r="V25" s="704" t="s">
        <v>14</v>
      </c>
      <c r="W25" s="705">
        <f>J25</f>
        <v>100</v>
      </c>
      <c r="X25" s="1354"/>
      <c r="Y25" s="367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78"/>
      <c r="Q26" s="1351">
        <f t="shared" ref="Q26:Q40" si="11">B26</f>
        <v>111</v>
      </c>
      <c r="R26" s="704" t="s">
        <v>14</v>
      </c>
      <c r="S26" s="705">
        <f>F26</f>
        <v>100</v>
      </c>
      <c r="T26" s="704" t="s">
        <v>14</v>
      </c>
      <c r="U26" s="705">
        <f>H26</f>
        <v>100</v>
      </c>
      <c r="V26" s="704" t="s">
        <v>14</v>
      </c>
      <c r="W26" s="705">
        <f>J26</f>
        <v>100</v>
      </c>
      <c r="X26" s="1354"/>
      <c r="Y26" s="3678"/>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78"/>
      <c r="Q27" s="1342">
        <f t="shared" si="11"/>
        <v>111</v>
      </c>
      <c r="R27" s="700" t="s">
        <v>14</v>
      </c>
      <c r="S27" s="701">
        <f>F27</f>
        <v>100</v>
      </c>
      <c r="T27" s="700" t="s">
        <v>14</v>
      </c>
      <c r="U27" s="701">
        <f>H27</f>
        <v>100</v>
      </c>
      <c r="V27" s="700" t="s">
        <v>14</v>
      </c>
      <c r="W27" s="701">
        <f>J27</f>
        <v>100</v>
      </c>
      <c r="X27" s="702"/>
      <c r="Y27" s="3678"/>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78"/>
      <c r="Q28" s="1351">
        <f t="shared" si="11"/>
        <v>111</v>
      </c>
      <c r="R28" s="704" t="s">
        <v>14</v>
      </c>
      <c r="S28" s="705">
        <f t="shared" ref="S28:S40" si="12">F28</f>
        <v>100</v>
      </c>
      <c r="T28" s="704" t="s">
        <v>14</v>
      </c>
      <c r="U28" s="705">
        <f t="shared" ref="U28:U40" si="13">H28</f>
        <v>100</v>
      </c>
      <c r="V28" s="704" t="s">
        <v>14</v>
      </c>
      <c r="W28" s="705">
        <f t="shared" ref="W28:W40" si="14">J28</f>
        <v>100</v>
      </c>
      <c r="X28" s="1354"/>
      <c r="Y28" s="3678"/>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3" t="s">
        <v>1696</v>
      </c>
      <c r="Q29" s="1351" t="str">
        <f t="shared" si="11"/>
        <v>建筑类型</v>
      </c>
      <c r="R29" s="704" t="s">
        <v>14</v>
      </c>
      <c r="S29" s="705">
        <f t="shared" si="12"/>
        <v>100</v>
      </c>
      <c r="T29" s="704" t="s">
        <v>14</v>
      </c>
      <c r="U29" s="705">
        <f t="shared" si="13"/>
        <v>100</v>
      </c>
      <c r="V29" s="704" t="s">
        <v>14</v>
      </c>
      <c r="W29" s="705">
        <f t="shared" si="14"/>
        <v>100</v>
      </c>
      <c r="X29" s="1354"/>
      <c r="Y29" s="3682"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82"/>
      <c r="Q30" s="706" t="str">
        <f t="shared" si="11"/>
        <v>项目建筑规模</v>
      </c>
      <c r="R30" s="707" t="s">
        <v>14</v>
      </c>
      <c r="S30" s="708" t="e">
        <f t="shared" si="12"/>
        <v>#N/A</v>
      </c>
      <c r="T30" s="707" t="s">
        <v>14</v>
      </c>
      <c r="U30" s="708" t="e">
        <f t="shared" si="13"/>
        <v>#N/A</v>
      </c>
      <c r="V30" s="707" t="s">
        <v>14</v>
      </c>
      <c r="W30" s="708" t="e">
        <f t="shared" si="14"/>
        <v>#N/A</v>
      </c>
      <c r="X30" s="709"/>
      <c r="Y30" s="3682"/>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82"/>
      <c r="Q31" s="1351" t="str">
        <f t="shared" si="11"/>
        <v>建筑结构</v>
      </c>
      <c r="R31" s="704" t="s">
        <v>14</v>
      </c>
      <c r="S31" s="705">
        <f t="shared" si="12"/>
        <v>100</v>
      </c>
      <c r="T31" s="704" t="s">
        <v>14</v>
      </c>
      <c r="U31" s="705">
        <f t="shared" si="13"/>
        <v>100</v>
      </c>
      <c r="V31" s="704" t="s">
        <v>14</v>
      </c>
      <c r="W31" s="705">
        <f t="shared" si="14"/>
        <v>100</v>
      </c>
      <c r="X31" s="1354"/>
      <c r="Y31" s="3682"/>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2"/>
      <c r="Q32" s="1351" t="str">
        <f t="shared" si="11"/>
        <v>公共部分装修</v>
      </c>
      <c r="R32" s="704" t="s">
        <v>14</v>
      </c>
      <c r="S32" s="705">
        <f t="shared" si="12"/>
        <v>100</v>
      </c>
      <c r="T32" s="704" t="s">
        <v>14</v>
      </c>
      <c r="U32" s="705">
        <f t="shared" si="13"/>
        <v>100</v>
      </c>
      <c r="V32" s="704" t="s">
        <v>14</v>
      </c>
      <c r="W32" s="705">
        <f t="shared" si="14"/>
        <v>100</v>
      </c>
      <c r="X32" s="1354"/>
      <c r="Y32" s="3682"/>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82"/>
      <c r="Q33" s="1351" t="str">
        <f t="shared" si="11"/>
        <v>成新度</v>
      </c>
      <c r="R33" s="704" t="s">
        <v>14</v>
      </c>
      <c r="S33" s="705" t="e">
        <f t="shared" si="12"/>
        <v>#N/A</v>
      </c>
      <c r="T33" s="704" t="s">
        <v>14</v>
      </c>
      <c r="U33" s="705" t="e">
        <f t="shared" si="13"/>
        <v>#N/A</v>
      </c>
      <c r="V33" s="704" t="s">
        <v>14</v>
      </c>
      <c r="W33" s="705" t="e">
        <f t="shared" si="14"/>
        <v>#N/A</v>
      </c>
      <c r="X33" s="1354"/>
      <c r="Y33" s="3682"/>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82"/>
      <c r="Q34" s="1342" t="str">
        <f t="shared" si="11"/>
        <v>物业管理</v>
      </c>
      <c r="R34" s="700" t="s">
        <v>14</v>
      </c>
      <c r="S34" s="701">
        <f t="shared" si="12"/>
        <v>100</v>
      </c>
      <c r="T34" s="700" t="s">
        <v>14</v>
      </c>
      <c r="U34" s="701">
        <f t="shared" si="13"/>
        <v>100</v>
      </c>
      <c r="V34" s="700" t="s">
        <v>14</v>
      </c>
      <c r="W34" s="701">
        <f t="shared" si="14"/>
        <v>100</v>
      </c>
      <c r="X34" s="702"/>
      <c r="Y34" s="3682"/>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82" t="s">
        <v>1696</v>
      </c>
      <c r="Q35" s="1351" t="str">
        <f t="shared" si="11"/>
        <v>市政基础设施</v>
      </c>
      <c r="R35" s="704" t="s">
        <v>14</v>
      </c>
      <c r="S35" s="705">
        <f t="shared" si="12"/>
        <v>100</v>
      </c>
      <c r="T35" s="704" t="s">
        <v>14</v>
      </c>
      <c r="U35" s="705">
        <f t="shared" si="13"/>
        <v>100</v>
      </c>
      <c r="V35" s="704" t="s">
        <v>14</v>
      </c>
      <c r="W35" s="705">
        <f t="shared" si="14"/>
        <v>100</v>
      </c>
      <c r="X35" s="1354"/>
      <c r="Y35" s="3682"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82"/>
      <c r="Q36" s="1351" t="str">
        <f t="shared" si="11"/>
        <v>内部装修</v>
      </c>
      <c r="R36" s="704" t="s">
        <v>14</v>
      </c>
      <c r="S36" s="705">
        <f t="shared" si="12"/>
        <v>100</v>
      </c>
      <c r="T36" s="704" t="s">
        <v>14</v>
      </c>
      <c r="U36" s="705">
        <f t="shared" si="13"/>
        <v>100</v>
      </c>
      <c r="V36" s="704" t="s">
        <v>14</v>
      </c>
      <c r="W36" s="705">
        <f t="shared" si="14"/>
        <v>100</v>
      </c>
      <c r="X36" s="1354"/>
      <c r="Y36" s="3682"/>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82"/>
      <c r="Q37" s="1351" t="str">
        <f t="shared" si="11"/>
        <v>内部装修状况</v>
      </c>
      <c r="R37" s="704" t="s">
        <v>14</v>
      </c>
      <c r="S37" s="705">
        <f t="shared" si="12"/>
        <v>100</v>
      </c>
      <c r="T37" s="704" t="s">
        <v>14</v>
      </c>
      <c r="U37" s="705">
        <f t="shared" si="13"/>
        <v>100</v>
      </c>
      <c r="V37" s="704" t="s">
        <v>14</v>
      </c>
      <c r="W37" s="705">
        <f t="shared" si="14"/>
        <v>100</v>
      </c>
      <c r="X37" s="1354"/>
      <c r="Y37" s="3682"/>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82"/>
      <c r="Q38" s="706">
        <f t="shared" si="11"/>
        <v>111</v>
      </c>
      <c r="R38" s="707" t="s">
        <v>14</v>
      </c>
      <c r="S38" s="708">
        <f t="shared" si="12"/>
        <v>100</v>
      </c>
      <c r="T38" s="707" t="s">
        <v>14</v>
      </c>
      <c r="U38" s="708">
        <f t="shared" si="13"/>
        <v>100</v>
      </c>
      <c r="V38" s="707" t="s">
        <v>14</v>
      </c>
      <c r="W38" s="708">
        <f t="shared" si="14"/>
        <v>100</v>
      </c>
      <c r="X38" s="709"/>
      <c r="Y38" s="3682"/>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2"/>
      <c r="Q39" s="1351">
        <f t="shared" si="11"/>
        <v>111</v>
      </c>
      <c r="R39" s="704" t="s">
        <v>14</v>
      </c>
      <c r="S39" s="705">
        <f t="shared" si="12"/>
        <v>100</v>
      </c>
      <c r="T39" s="704" t="s">
        <v>14</v>
      </c>
      <c r="U39" s="705">
        <f t="shared" si="13"/>
        <v>100</v>
      </c>
      <c r="V39" s="704" t="s">
        <v>14</v>
      </c>
      <c r="W39" s="705">
        <f t="shared" si="14"/>
        <v>100</v>
      </c>
      <c r="X39" s="1354"/>
      <c r="Y39" s="3682"/>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3"/>
      <c r="Q40" s="1351">
        <f t="shared" si="11"/>
        <v>111</v>
      </c>
      <c r="R40" s="704" t="s">
        <v>14</v>
      </c>
      <c r="S40" s="705">
        <f t="shared" si="12"/>
        <v>100</v>
      </c>
      <c r="T40" s="704" t="s">
        <v>14</v>
      </c>
      <c r="U40" s="705">
        <f t="shared" si="13"/>
        <v>100</v>
      </c>
      <c r="V40" s="704" t="s">
        <v>14</v>
      </c>
      <c r="W40" s="705">
        <f t="shared" si="14"/>
        <v>100</v>
      </c>
      <c r="X40" s="1354"/>
      <c r="Y40" s="3683"/>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75" t="str">
        <f>A41</f>
        <v>成交单价（元/平方米）</v>
      </c>
      <c r="Q41" s="3675"/>
      <c r="R41" s="3676">
        <f>E41</f>
        <v>0</v>
      </c>
      <c r="S41" s="3676"/>
      <c r="T41" s="3676">
        <f>G41</f>
        <v>0</v>
      </c>
      <c r="U41" s="3676"/>
      <c r="V41" s="3676">
        <f>I41</f>
        <v>0</v>
      </c>
      <c r="W41" s="3676"/>
      <c r="X41" s="689"/>
      <c r="Y41" s="711"/>
      <c r="Z41" s="689"/>
      <c r="AA41" s="689"/>
      <c r="AB41" s="689"/>
      <c r="AC41" s="689"/>
    </row>
    <row r="42" spans="1:29" ht="15.75" thickBot="1">
      <c r="A42" s="436" t="s">
        <v>1793</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估价对象为北京市房地产，为所有。根据《国有土地使用证》[]，估价对象（分摊）出让国有建设用地使用权面积为0平方米，建筑面积为485.46平方米。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估价对象为北京市房地产,属开发建设的，该项目尚在开发建设中。根据《国有土地使用证》[]，估价对象（分摊）出让国有建设用地使用权面积为0平方米，规划建筑面积为485.46平方米。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2023年7月24日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0" t="s">
        <v>1770</v>
      </c>
      <c r="D4" s="3691"/>
      <c r="E4" s="3692" t="s">
        <v>1771</v>
      </c>
      <c r="F4" s="3693"/>
      <c r="G4" s="3690" t="s">
        <v>1772</v>
      </c>
      <c r="H4" s="3691"/>
      <c r="I4" s="3690" t="s">
        <v>1773</v>
      </c>
      <c r="J4" s="3691"/>
      <c r="K4" s="558"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7"/>
      <c r="B5" s="358"/>
      <c r="C5" s="3709" t="s">
        <v>1673</v>
      </c>
      <c r="D5" s="3710"/>
      <c r="E5" s="3716" t="s">
        <v>1674</v>
      </c>
      <c r="F5" s="3717"/>
      <c r="G5" s="3709" t="s">
        <v>1675</v>
      </c>
      <c r="H5" s="3710"/>
      <c r="I5" s="3709" t="s">
        <v>1676</v>
      </c>
      <c r="J5" s="3710"/>
      <c r="K5" s="558"/>
      <c r="L5" s="2714"/>
      <c r="M5" s="2715"/>
      <c r="N5" s="2715"/>
      <c r="O5" s="2715"/>
      <c r="P5" s="3696"/>
      <c r="Q5" s="3697"/>
      <c r="R5" s="3702"/>
      <c r="S5" s="3703"/>
      <c r="T5" s="3702"/>
      <c r="U5" s="3703"/>
      <c r="V5" s="3706"/>
      <c r="W5" s="3706"/>
      <c r="X5" s="1354"/>
      <c r="Y5" s="3702"/>
      <c r="Z5" s="3703"/>
      <c r="AA5" s="3688"/>
      <c r="AB5" s="3688"/>
      <c r="AC5" s="3688"/>
    </row>
    <row r="6" spans="1:29" ht="15.75" thickBot="1">
      <c r="A6" s="359"/>
      <c r="B6" s="360"/>
      <c r="C6" s="3707" t="s">
        <v>1677</v>
      </c>
      <c r="D6" s="3708"/>
      <c r="E6" s="3714" t="s">
        <v>1677</v>
      </c>
      <c r="F6" s="3715"/>
      <c r="G6" s="3707" t="s">
        <v>1677</v>
      </c>
      <c r="H6" s="3708"/>
      <c r="I6" s="3707" t="s">
        <v>1677</v>
      </c>
      <c r="J6" s="3708"/>
      <c r="K6" s="558" t="s">
        <v>1678</v>
      </c>
      <c r="L6" s="2714"/>
      <c r="M6" s="2715"/>
      <c r="N6" s="2715"/>
      <c r="O6" s="2715"/>
      <c r="P6" s="3698"/>
      <c r="Q6" s="3699"/>
      <c r="R6" s="3702"/>
      <c r="S6" s="3703"/>
      <c r="T6" s="3704"/>
      <c r="U6" s="3705"/>
      <c r="V6" s="3706"/>
      <c r="W6" s="3706"/>
      <c r="X6" s="1354"/>
      <c r="Y6" s="3704"/>
      <c r="Z6" s="3705"/>
      <c r="AA6" s="3689"/>
      <c r="AB6" s="3689"/>
      <c r="AC6" s="3689"/>
    </row>
    <row r="7" spans="1:29" s="107" customFormat="1" ht="15.75" thickBot="1">
      <c r="A7" s="361" t="s">
        <v>1679</v>
      </c>
      <c r="B7" s="362"/>
      <c r="C7" s="363">
        <f>'数据-取费表'!B2</f>
        <v>45131</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11" t="s">
        <v>1680</v>
      </c>
      <c r="Q7" s="3713"/>
      <c r="R7" s="700" t="s">
        <v>14</v>
      </c>
      <c r="S7" s="701">
        <f t="shared" ref="S7:S14" si="0">F7</f>
        <v>0</v>
      </c>
      <c r="T7" s="700" t="s">
        <v>14</v>
      </c>
      <c r="U7" s="701">
        <f t="shared" ref="U7:U14" si="1">H7</f>
        <v>0</v>
      </c>
      <c r="V7" s="700" t="s">
        <v>14</v>
      </c>
      <c r="W7" s="701">
        <f t="shared" ref="W7:W14" si="2">J7</f>
        <v>0</v>
      </c>
      <c r="X7" s="702"/>
      <c r="Y7" s="3711" t="s">
        <v>1680</v>
      </c>
      <c r="Z7" s="3712"/>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11" t="s">
        <v>1683</v>
      </c>
      <c r="Q8" s="3712"/>
      <c r="R8" s="700" t="s">
        <v>14</v>
      </c>
      <c r="S8" s="701">
        <f t="shared" si="0"/>
        <v>100</v>
      </c>
      <c r="T8" s="700" t="s">
        <v>14</v>
      </c>
      <c r="U8" s="701">
        <f t="shared" si="1"/>
        <v>100</v>
      </c>
      <c r="V8" s="700" t="s">
        <v>14</v>
      </c>
      <c r="W8" s="701">
        <f t="shared" si="2"/>
        <v>100</v>
      </c>
      <c r="X8" s="702"/>
      <c r="Y8" s="3711" t="s">
        <v>1683</v>
      </c>
      <c r="Z8" s="3712"/>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5"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5"/>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78"/>
      <c r="Q15" s="1351"/>
      <c r="R15" s="704"/>
      <c r="S15" s="705"/>
      <c r="T15" s="704"/>
      <c r="U15" s="705"/>
      <c r="V15" s="704"/>
      <c r="W15" s="705"/>
      <c r="X15" s="1354"/>
      <c r="Y15" s="3678"/>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78"/>
      <c r="Q17" s="1351"/>
      <c r="R17" s="704"/>
      <c r="S17" s="705"/>
      <c r="T17" s="704"/>
      <c r="U17" s="705"/>
      <c r="V17" s="704"/>
      <c r="W17" s="705"/>
      <c r="X17" s="1354"/>
      <c r="Y17" s="3678"/>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78"/>
      <c r="Q19" s="1351"/>
      <c r="R19" s="704"/>
      <c r="S19" s="705"/>
      <c r="T19" s="704"/>
      <c r="U19" s="705"/>
      <c r="V19" s="704"/>
      <c r="W19" s="705"/>
      <c r="X19" s="1354"/>
      <c r="Y19" s="3678"/>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78"/>
      <c r="Q21" s="1351"/>
      <c r="R21" s="704"/>
      <c r="S21" s="705"/>
      <c r="T21" s="704"/>
      <c r="U21" s="705"/>
      <c r="V21" s="704"/>
      <c r="W21" s="705"/>
      <c r="X21" s="1354"/>
      <c r="Y21" s="3678"/>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78"/>
      <c r="Q24" s="1351">
        <f t="shared" ref="Q24:Q36"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2"/>
      <c r="Q27" s="706" t="str">
        <f t="shared" si="11"/>
        <v>项目停车位配比</v>
      </c>
      <c r="R27" s="707" t="s">
        <v>14</v>
      </c>
      <c r="S27" s="708">
        <f t="shared" si="12"/>
        <v>100</v>
      </c>
      <c r="T27" s="707" t="s">
        <v>14</v>
      </c>
      <c r="U27" s="708">
        <f t="shared" si="13"/>
        <v>100</v>
      </c>
      <c r="V27" s="707" t="s">
        <v>14</v>
      </c>
      <c r="W27" s="708">
        <f t="shared" si="14"/>
        <v>100</v>
      </c>
      <c r="X27" s="709"/>
      <c r="Y27" s="3682"/>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2"/>
      <c r="Q28" s="1351" t="str">
        <f t="shared" si="11"/>
        <v>公共部分装修</v>
      </c>
      <c r="R28" s="704" t="s">
        <v>14</v>
      </c>
      <c r="S28" s="705">
        <f t="shared" si="12"/>
        <v>100</v>
      </c>
      <c r="T28" s="704" t="s">
        <v>14</v>
      </c>
      <c r="U28" s="705">
        <f t="shared" si="13"/>
        <v>100</v>
      </c>
      <c r="V28" s="704" t="s">
        <v>14</v>
      </c>
      <c r="W28" s="705">
        <f t="shared" si="14"/>
        <v>100</v>
      </c>
      <c r="X28" s="1354"/>
      <c r="Y28" s="3682"/>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2"/>
      <c r="Q29" s="1351" t="str">
        <f t="shared" si="11"/>
        <v>成新率</v>
      </c>
      <c r="R29" s="704" t="s">
        <v>14</v>
      </c>
      <c r="S29" s="705" t="e">
        <f t="shared" si="12"/>
        <v>#N/A</v>
      </c>
      <c r="T29" s="704" t="s">
        <v>14</v>
      </c>
      <c r="U29" s="705" t="e">
        <f t="shared" si="13"/>
        <v>#N/A</v>
      </c>
      <c r="V29" s="704" t="s">
        <v>14</v>
      </c>
      <c r="W29" s="705" t="e">
        <f t="shared" si="14"/>
        <v>#N/A</v>
      </c>
      <c r="X29" s="1354"/>
      <c r="Y29" s="3682"/>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2"/>
      <c r="Q30" s="1351" t="str">
        <f t="shared" si="11"/>
        <v>物业等级</v>
      </c>
      <c r="R30" s="704" t="s">
        <v>14</v>
      </c>
      <c r="S30" s="705">
        <f t="shared" si="12"/>
        <v>100</v>
      </c>
      <c r="T30" s="704" t="s">
        <v>14</v>
      </c>
      <c r="U30" s="705">
        <f t="shared" si="13"/>
        <v>100</v>
      </c>
      <c r="V30" s="704" t="s">
        <v>14</v>
      </c>
      <c r="W30" s="705">
        <f t="shared" si="14"/>
        <v>100</v>
      </c>
      <c r="X30" s="1354"/>
      <c r="Y30" s="3682"/>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2"/>
      <c r="Q31" s="1342" t="str">
        <f t="shared" si="11"/>
        <v>停车位面积</v>
      </c>
      <c r="R31" s="700" t="s">
        <v>14</v>
      </c>
      <c r="S31" s="701" t="e">
        <f t="shared" si="12"/>
        <v>#N/A</v>
      </c>
      <c r="T31" s="700" t="s">
        <v>14</v>
      </c>
      <c r="U31" s="701" t="e">
        <f t="shared" si="13"/>
        <v>#N/A</v>
      </c>
      <c r="V31" s="700" t="s">
        <v>14</v>
      </c>
      <c r="W31" s="701" t="e">
        <f t="shared" si="14"/>
        <v>#N/A</v>
      </c>
      <c r="X31" s="702"/>
      <c r="Y31" s="3682"/>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2" t="s">
        <v>1696</v>
      </c>
      <c r="Q32" s="1351" t="str">
        <f t="shared" si="11"/>
        <v>车位类型</v>
      </c>
      <c r="R32" s="704" t="s">
        <v>14</v>
      </c>
      <c r="S32" s="705">
        <f t="shared" si="12"/>
        <v>100</v>
      </c>
      <c r="T32" s="704" t="s">
        <v>14</v>
      </c>
      <c r="U32" s="705">
        <f t="shared" si="13"/>
        <v>100</v>
      </c>
      <c r="V32" s="704" t="s">
        <v>14</v>
      </c>
      <c r="W32" s="705">
        <f t="shared" si="14"/>
        <v>100</v>
      </c>
      <c r="X32" s="1354"/>
      <c r="Y32" s="3682"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2"/>
      <c r="Q33" s="1351" t="str">
        <f t="shared" si="11"/>
        <v>是否直接入户</v>
      </c>
      <c r="R33" s="704" t="s">
        <v>14</v>
      </c>
      <c r="S33" s="705">
        <f t="shared" si="12"/>
        <v>100</v>
      </c>
      <c r="T33" s="704" t="s">
        <v>14</v>
      </c>
      <c r="U33" s="705">
        <f t="shared" si="13"/>
        <v>100</v>
      </c>
      <c r="V33" s="704" t="s">
        <v>14</v>
      </c>
      <c r="W33" s="705">
        <f t="shared" si="14"/>
        <v>100</v>
      </c>
      <c r="X33" s="1354"/>
      <c r="Y33" s="3682"/>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2"/>
      <c r="Q35" s="706">
        <f t="shared" si="11"/>
        <v>111</v>
      </c>
      <c r="R35" s="707" t="s">
        <v>14</v>
      </c>
      <c r="S35" s="708">
        <f t="shared" si="12"/>
        <v>100</v>
      </c>
      <c r="T35" s="707" t="s">
        <v>14</v>
      </c>
      <c r="U35" s="708">
        <f t="shared" si="13"/>
        <v>100</v>
      </c>
      <c r="V35" s="707" t="s">
        <v>14</v>
      </c>
      <c r="W35" s="708">
        <f t="shared" si="14"/>
        <v>100</v>
      </c>
      <c r="X35" s="709"/>
      <c r="Y35" s="3682"/>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2"/>
      <c r="Q36" s="1351">
        <f t="shared" si="11"/>
        <v>111</v>
      </c>
      <c r="R36" s="704" t="s">
        <v>14</v>
      </c>
      <c r="S36" s="705">
        <f t="shared" si="12"/>
        <v>100</v>
      </c>
      <c r="T36" s="704" t="s">
        <v>14</v>
      </c>
      <c r="U36" s="705">
        <f t="shared" si="13"/>
        <v>100</v>
      </c>
      <c r="V36" s="704" t="s">
        <v>14</v>
      </c>
      <c r="W36" s="705">
        <f t="shared" si="14"/>
        <v>100</v>
      </c>
      <c r="X36" s="1354"/>
      <c r="Y36" s="3682"/>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675" t="str">
        <f>A37</f>
        <v>成交单价</v>
      </c>
      <c r="Q37" s="3675"/>
      <c r="R37" s="3676">
        <f>E37</f>
        <v>0</v>
      </c>
      <c r="S37" s="3676"/>
      <c r="T37" s="3676">
        <f>G37</f>
        <v>0</v>
      </c>
      <c r="U37" s="3676"/>
      <c r="V37" s="3676">
        <f>I37</f>
        <v>0</v>
      </c>
      <c r="W37" s="3676"/>
      <c r="X37" s="689"/>
      <c r="Y37" s="711"/>
      <c r="Z37" s="689"/>
      <c r="AA37" s="689"/>
      <c r="AB37" s="689"/>
      <c r="AC37" s="689"/>
    </row>
    <row r="38" spans="1:29" ht="15.75" thickBot="1">
      <c r="A38" s="436" t="s">
        <v>1845</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72" t="str">
        <f>A39</f>
        <v>估价对象XX用房的比较价值（楼面单价，元/平方米）</v>
      </c>
      <c r="Q39" s="3673"/>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0" t="s">
        <v>1770</v>
      </c>
      <c r="D4" s="3691"/>
      <c r="E4" s="3692" t="s">
        <v>1771</v>
      </c>
      <c r="F4" s="3693"/>
      <c r="G4" s="3690" t="s">
        <v>1772</v>
      </c>
      <c r="H4" s="3691"/>
      <c r="I4" s="3690" t="s">
        <v>1773</v>
      </c>
      <c r="J4" s="3691"/>
      <c r="K4" s="558"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7"/>
      <c r="B5" s="358"/>
      <c r="C5" s="3709" t="s">
        <v>1673</v>
      </c>
      <c r="D5" s="3710"/>
      <c r="E5" s="3716" t="s">
        <v>1674</v>
      </c>
      <c r="F5" s="3717"/>
      <c r="G5" s="3709" t="s">
        <v>1675</v>
      </c>
      <c r="H5" s="3710"/>
      <c r="I5" s="3709" t="s">
        <v>1676</v>
      </c>
      <c r="J5" s="3710"/>
      <c r="K5" s="558"/>
      <c r="L5" s="2714"/>
      <c r="M5" s="2715"/>
      <c r="N5" s="2715"/>
      <c r="O5" s="2715"/>
      <c r="P5" s="3696"/>
      <c r="Q5" s="3697"/>
      <c r="R5" s="3702"/>
      <c r="S5" s="3703"/>
      <c r="T5" s="3702"/>
      <c r="U5" s="3703"/>
      <c r="V5" s="3706"/>
      <c r="W5" s="3706"/>
      <c r="X5" s="1354"/>
      <c r="Y5" s="3702"/>
      <c r="Z5" s="3703"/>
      <c r="AA5" s="3688"/>
      <c r="AB5" s="3688"/>
      <c r="AC5" s="3688"/>
    </row>
    <row r="6" spans="1:29" ht="15.75" thickBot="1">
      <c r="A6" s="359"/>
      <c r="B6" s="360"/>
      <c r="C6" s="3707" t="s">
        <v>1677</v>
      </c>
      <c r="D6" s="3708"/>
      <c r="E6" s="3714" t="s">
        <v>1677</v>
      </c>
      <c r="F6" s="3715"/>
      <c r="G6" s="3707" t="s">
        <v>1677</v>
      </c>
      <c r="H6" s="3708"/>
      <c r="I6" s="3707" t="s">
        <v>1677</v>
      </c>
      <c r="J6" s="3708"/>
      <c r="K6" s="558" t="s">
        <v>1678</v>
      </c>
      <c r="L6" s="2714"/>
      <c r="M6" s="2715"/>
      <c r="N6" s="2715"/>
      <c r="O6" s="2715"/>
      <c r="P6" s="3698"/>
      <c r="Q6" s="3699"/>
      <c r="R6" s="3702"/>
      <c r="S6" s="3703"/>
      <c r="T6" s="3704"/>
      <c r="U6" s="3705"/>
      <c r="V6" s="3706"/>
      <c r="W6" s="3706"/>
      <c r="X6" s="1354"/>
      <c r="Y6" s="3704"/>
      <c r="Z6" s="3705"/>
      <c r="AA6" s="3689"/>
      <c r="AB6" s="3689"/>
      <c r="AC6" s="3689"/>
    </row>
    <row r="7" spans="1:29" s="107" customFormat="1" ht="15.75" thickBot="1">
      <c r="A7" s="361" t="s">
        <v>1679</v>
      </c>
      <c r="B7" s="362"/>
      <c r="C7" s="363">
        <f>'数据-取费表'!B2</f>
        <v>45131</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11" t="s">
        <v>1680</v>
      </c>
      <c r="Q7" s="3713"/>
      <c r="R7" s="700" t="s">
        <v>14</v>
      </c>
      <c r="S7" s="701">
        <f t="shared" ref="S7:S14" si="0">F7</f>
        <v>0</v>
      </c>
      <c r="T7" s="700" t="s">
        <v>14</v>
      </c>
      <c r="U7" s="701">
        <f t="shared" ref="U7:U14" si="1">H7</f>
        <v>0</v>
      </c>
      <c r="V7" s="700" t="s">
        <v>14</v>
      </c>
      <c r="W7" s="701">
        <f t="shared" ref="W7:W14" si="2">J7</f>
        <v>0</v>
      </c>
      <c r="X7" s="702"/>
      <c r="Y7" s="3711" t="s">
        <v>1680</v>
      </c>
      <c r="Z7" s="3712"/>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11" t="s">
        <v>1683</v>
      </c>
      <c r="Q8" s="3712"/>
      <c r="R8" s="700" t="s">
        <v>14</v>
      </c>
      <c r="S8" s="701">
        <f t="shared" si="0"/>
        <v>100</v>
      </c>
      <c r="T8" s="700" t="s">
        <v>14</v>
      </c>
      <c r="U8" s="701">
        <f t="shared" si="1"/>
        <v>100</v>
      </c>
      <c r="V8" s="700" t="s">
        <v>14</v>
      </c>
      <c r="W8" s="701">
        <f t="shared" si="2"/>
        <v>100</v>
      </c>
      <c r="X8" s="702"/>
      <c r="Y8" s="3711" t="s">
        <v>1683</v>
      </c>
      <c r="Z8" s="3712"/>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5" t="s">
        <v>1686</v>
      </c>
      <c r="Q9" s="1342" t="str">
        <f t="shared" ref="Q9:Q14" si="6">B9</f>
        <v>用途</v>
      </c>
      <c r="R9" s="700" t="s">
        <v>14</v>
      </c>
      <c r="S9" s="701">
        <f t="shared" si="0"/>
        <v>100</v>
      </c>
      <c r="T9" s="700" t="s">
        <v>14</v>
      </c>
      <c r="U9" s="701">
        <f t="shared" si="1"/>
        <v>100</v>
      </c>
      <c r="V9" s="700" t="s">
        <v>14</v>
      </c>
      <c r="W9" s="701">
        <f t="shared" si="2"/>
        <v>100</v>
      </c>
      <c r="X9" s="702"/>
      <c r="Y9" s="3550"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5"/>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78"/>
      <c r="Q15" s="1351"/>
      <c r="R15" s="704"/>
      <c r="S15" s="705"/>
      <c r="T15" s="704"/>
      <c r="U15" s="705"/>
      <c r="V15" s="704"/>
      <c r="W15" s="705"/>
      <c r="X15" s="1354"/>
      <c r="Y15" s="3678"/>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78"/>
      <c r="Q17" s="1351"/>
      <c r="R17" s="704"/>
      <c r="S17" s="705"/>
      <c r="T17" s="704"/>
      <c r="U17" s="705"/>
      <c r="V17" s="704"/>
      <c r="W17" s="705"/>
      <c r="X17" s="1354"/>
      <c r="Y17" s="3678"/>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78"/>
      <c r="Q19" s="1351"/>
      <c r="R19" s="704"/>
      <c r="S19" s="705"/>
      <c r="T19" s="704"/>
      <c r="U19" s="705"/>
      <c r="V19" s="704"/>
      <c r="W19" s="705"/>
      <c r="X19" s="1354"/>
      <c r="Y19" s="3678"/>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78"/>
      <c r="Q21" s="1351"/>
      <c r="R21" s="704"/>
      <c r="S21" s="705"/>
      <c r="T21" s="704"/>
      <c r="U21" s="705"/>
      <c r="V21" s="704"/>
      <c r="W21" s="705"/>
      <c r="X21" s="1354"/>
      <c r="Y21" s="3678"/>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78"/>
      <c r="Q24" s="1351">
        <f t="shared" ref="Q24:Q34"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2"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2"/>
      <c r="Q27" s="706" t="str">
        <f t="shared" si="11"/>
        <v>成新率</v>
      </c>
      <c r="R27" s="707" t="s">
        <v>14</v>
      </c>
      <c r="S27" s="708" t="e">
        <f t="shared" si="12"/>
        <v>#N/A</v>
      </c>
      <c r="T27" s="707" t="s">
        <v>14</v>
      </c>
      <c r="U27" s="708" t="e">
        <f t="shared" si="13"/>
        <v>#N/A</v>
      </c>
      <c r="V27" s="707" t="s">
        <v>14</v>
      </c>
      <c r="W27" s="708" t="e">
        <f t="shared" si="14"/>
        <v>#N/A</v>
      </c>
      <c r="X27" s="709"/>
      <c r="Y27" s="3682"/>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2"/>
      <c r="Q28" s="1351" t="str">
        <f t="shared" si="11"/>
        <v>物业等级</v>
      </c>
      <c r="R28" s="704" t="s">
        <v>14</v>
      </c>
      <c r="S28" s="705">
        <f t="shared" si="12"/>
        <v>100</v>
      </c>
      <c r="T28" s="704" t="s">
        <v>14</v>
      </c>
      <c r="U28" s="705">
        <f t="shared" si="13"/>
        <v>100</v>
      </c>
      <c r="V28" s="704" t="s">
        <v>14</v>
      </c>
      <c r="W28" s="705">
        <f t="shared" si="14"/>
        <v>100</v>
      </c>
      <c r="X28" s="1354"/>
      <c r="Y28" s="3682"/>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2"/>
      <c r="Q29" s="1351" t="str">
        <f t="shared" si="11"/>
        <v>有无电梯</v>
      </c>
      <c r="R29" s="704" t="s">
        <v>14</v>
      </c>
      <c r="S29" s="705">
        <f t="shared" si="12"/>
        <v>100</v>
      </c>
      <c r="T29" s="704" t="s">
        <v>14</v>
      </c>
      <c r="U29" s="705">
        <f t="shared" si="13"/>
        <v>100</v>
      </c>
      <c r="V29" s="704" t="s">
        <v>14</v>
      </c>
      <c r="W29" s="705">
        <f t="shared" si="14"/>
        <v>100</v>
      </c>
      <c r="X29" s="1354"/>
      <c r="Y29" s="3682"/>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2"/>
      <c r="Q30" s="1351" t="str">
        <f t="shared" si="11"/>
        <v>建筑面积</v>
      </c>
      <c r="R30" s="704" t="s">
        <v>14</v>
      </c>
      <c r="S30" s="705" t="e">
        <f t="shared" si="12"/>
        <v>#N/A</v>
      </c>
      <c r="T30" s="704" t="s">
        <v>14</v>
      </c>
      <c r="U30" s="705" t="e">
        <f t="shared" si="13"/>
        <v>#N/A</v>
      </c>
      <c r="V30" s="704" t="s">
        <v>14</v>
      </c>
      <c r="W30" s="705" t="e">
        <f t="shared" si="14"/>
        <v>#N/A</v>
      </c>
      <c r="X30" s="1354"/>
      <c r="Y30" s="3682"/>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2"/>
      <c r="Q31" s="1342" t="str">
        <f t="shared" si="11"/>
        <v>是否封闭</v>
      </c>
      <c r="R31" s="700" t="s">
        <v>14</v>
      </c>
      <c r="S31" s="701">
        <f t="shared" si="12"/>
        <v>100</v>
      </c>
      <c r="T31" s="700" t="s">
        <v>14</v>
      </c>
      <c r="U31" s="701">
        <f t="shared" si="13"/>
        <v>100</v>
      </c>
      <c r="V31" s="700" t="s">
        <v>14</v>
      </c>
      <c r="W31" s="701">
        <f t="shared" si="14"/>
        <v>100</v>
      </c>
      <c r="X31" s="702"/>
      <c r="Y31" s="3682"/>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2" t="s">
        <v>1696</v>
      </c>
      <c r="Q32" s="1351">
        <f t="shared" si="11"/>
        <v>111</v>
      </c>
      <c r="R32" s="704" t="s">
        <v>14</v>
      </c>
      <c r="S32" s="705">
        <f t="shared" si="12"/>
        <v>100</v>
      </c>
      <c r="T32" s="704" t="s">
        <v>14</v>
      </c>
      <c r="U32" s="705">
        <f t="shared" si="13"/>
        <v>100</v>
      </c>
      <c r="V32" s="704" t="s">
        <v>14</v>
      </c>
      <c r="W32" s="705">
        <f t="shared" si="14"/>
        <v>100</v>
      </c>
      <c r="X32" s="1354"/>
      <c r="Y32" s="3682"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2"/>
      <c r="Q33" s="1351">
        <f t="shared" si="11"/>
        <v>111</v>
      </c>
      <c r="R33" s="704" t="s">
        <v>14</v>
      </c>
      <c r="S33" s="705">
        <f t="shared" si="12"/>
        <v>100</v>
      </c>
      <c r="T33" s="704" t="s">
        <v>14</v>
      </c>
      <c r="U33" s="705">
        <f t="shared" si="13"/>
        <v>100</v>
      </c>
      <c r="V33" s="704" t="s">
        <v>14</v>
      </c>
      <c r="W33" s="705">
        <f t="shared" si="14"/>
        <v>100</v>
      </c>
      <c r="X33" s="1354"/>
      <c r="Y33" s="3682"/>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5" t="str">
        <f>A35</f>
        <v>成交单价（元/平方米）</v>
      </c>
      <c r="Q35" s="3675"/>
      <c r="R35" s="3676">
        <f>E35</f>
        <v>0</v>
      </c>
      <c r="S35" s="3676"/>
      <c r="T35" s="3676">
        <f>G35</f>
        <v>0</v>
      </c>
      <c r="U35" s="3676"/>
      <c r="V35" s="3676">
        <f>I35</f>
        <v>0</v>
      </c>
      <c r="W35" s="3676"/>
      <c r="X35" s="689"/>
      <c r="Y35" s="711"/>
      <c r="Z35" s="689"/>
      <c r="AA35" s="689"/>
      <c r="AB35" s="689"/>
      <c r="AC35" s="689"/>
    </row>
    <row r="36" spans="1:30" ht="15.75" thickBot="1">
      <c r="A36" s="436" t="s">
        <v>1793</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72" t="str">
        <f>A37</f>
        <v>估价对象XX用房的比较价值（楼面单价，元/平方米）</v>
      </c>
      <c r="Q37" s="3673"/>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0" t="s">
        <v>1770</v>
      </c>
      <c r="D4" s="3691"/>
      <c r="E4" s="3692" t="s">
        <v>1771</v>
      </c>
      <c r="F4" s="3693"/>
      <c r="G4" s="3690" t="s">
        <v>1772</v>
      </c>
      <c r="H4" s="3691"/>
      <c r="I4" s="3690" t="s">
        <v>1773</v>
      </c>
      <c r="J4" s="3691"/>
      <c r="K4" s="558"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30" ht="15">
      <c r="A5" s="357"/>
      <c r="B5" s="358"/>
      <c r="C5" s="3709" t="s">
        <v>1673</v>
      </c>
      <c r="D5" s="3710"/>
      <c r="E5" s="3716" t="s">
        <v>1674</v>
      </c>
      <c r="F5" s="3717"/>
      <c r="G5" s="3709" t="s">
        <v>1675</v>
      </c>
      <c r="H5" s="3710"/>
      <c r="I5" s="3709" t="s">
        <v>1676</v>
      </c>
      <c r="J5" s="3710"/>
      <c r="K5" s="558"/>
      <c r="L5" s="2714"/>
      <c r="M5" s="2715"/>
      <c r="N5" s="2715"/>
      <c r="O5" s="2715"/>
      <c r="P5" s="3696"/>
      <c r="Q5" s="3697"/>
      <c r="R5" s="3702"/>
      <c r="S5" s="3703"/>
      <c r="T5" s="3702"/>
      <c r="U5" s="3703"/>
      <c r="V5" s="3706"/>
      <c r="W5" s="3706"/>
      <c r="X5" s="1354"/>
      <c r="Y5" s="3702"/>
      <c r="Z5" s="3703"/>
      <c r="AA5" s="3688"/>
      <c r="AB5" s="3688"/>
      <c r="AC5" s="3688"/>
    </row>
    <row r="6" spans="1:30" ht="15.75" thickBot="1">
      <c r="A6" s="359"/>
      <c r="B6" s="360"/>
      <c r="C6" s="3707" t="s">
        <v>1677</v>
      </c>
      <c r="D6" s="3708"/>
      <c r="E6" s="3714" t="s">
        <v>1677</v>
      </c>
      <c r="F6" s="3715"/>
      <c r="G6" s="3707" t="s">
        <v>1677</v>
      </c>
      <c r="H6" s="3708"/>
      <c r="I6" s="3707" t="s">
        <v>1677</v>
      </c>
      <c r="J6" s="3708"/>
      <c r="K6" s="558" t="s">
        <v>1678</v>
      </c>
      <c r="L6" s="2714"/>
      <c r="M6" s="2715"/>
      <c r="N6" s="2715"/>
      <c r="O6" s="2715"/>
      <c r="P6" s="3698"/>
      <c r="Q6" s="3699"/>
      <c r="R6" s="3702"/>
      <c r="S6" s="3703"/>
      <c r="T6" s="3704"/>
      <c r="U6" s="3705"/>
      <c r="V6" s="3706"/>
      <c r="W6" s="3706"/>
      <c r="X6" s="1354"/>
      <c r="Y6" s="3704"/>
      <c r="Z6" s="3705"/>
      <c r="AA6" s="3689"/>
      <c r="AB6" s="3689"/>
      <c r="AC6" s="3689"/>
    </row>
    <row r="7" spans="1:30" s="107" customFormat="1" ht="15.75" thickBot="1">
      <c r="A7" s="361" t="s">
        <v>1679</v>
      </c>
      <c r="B7" s="362"/>
      <c r="C7" s="363">
        <f>'数据-取费表'!B2</f>
        <v>45131</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11" t="s">
        <v>1683</v>
      </c>
      <c r="Q8" s="3712"/>
      <c r="R8" s="700" t="s">
        <v>14</v>
      </c>
      <c r="S8" s="701">
        <f t="shared" si="0"/>
        <v>0</v>
      </c>
      <c r="T8" s="700" t="s">
        <v>14</v>
      </c>
      <c r="U8" s="701">
        <f t="shared" si="1"/>
        <v>0</v>
      </c>
      <c r="V8" s="700" t="s">
        <v>14</v>
      </c>
      <c r="W8" s="701">
        <f t="shared" si="2"/>
        <v>0</v>
      </c>
      <c r="X8" s="702"/>
      <c r="Y8" s="3711" t="s">
        <v>1683</v>
      </c>
      <c r="Z8" s="3712"/>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165</v>
      </c>
      <c r="G10" s="413"/>
      <c r="H10" s="126">
        <f>ROUND(100/'数据-取费表'!G16,0)</f>
        <v>165</v>
      </c>
      <c r="I10" s="413"/>
      <c r="J10" s="126">
        <f>ROUND(100/'数据-取费表'!G16,0)</f>
        <v>165</v>
      </c>
      <c r="K10" s="619"/>
      <c r="L10" s="2718"/>
      <c r="M10" s="2719"/>
      <c r="N10" s="2719"/>
      <c r="O10" s="2772"/>
      <c r="P10" s="3675"/>
      <c r="Q10" s="1342" t="str">
        <f t="shared" si="6"/>
        <v>土地使用年限（年）</v>
      </c>
      <c r="R10" s="700" t="s">
        <v>14</v>
      </c>
      <c r="S10" s="701">
        <f t="shared" si="0"/>
        <v>165</v>
      </c>
      <c r="T10" s="700" t="s">
        <v>14</v>
      </c>
      <c r="U10" s="701">
        <f t="shared" si="1"/>
        <v>165</v>
      </c>
      <c r="V10" s="700" t="s">
        <v>14</v>
      </c>
      <c r="W10" s="701">
        <f t="shared" si="2"/>
        <v>165</v>
      </c>
      <c r="X10" s="702"/>
      <c r="Y10" s="3550"/>
      <c r="Z10" s="52" t="str">
        <f t="shared" si="7"/>
        <v>土地使用年限（年）</v>
      </c>
      <c r="AA10" s="703">
        <f t="shared" si="3"/>
        <v>0.60606060606060608</v>
      </c>
      <c r="AB10" s="703">
        <f t="shared" si="4"/>
        <v>0.60606060606060608</v>
      </c>
      <c r="AC10" s="703">
        <f t="shared" si="5"/>
        <v>0.60606060606060608</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5"/>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5"/>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77" t="s">
        <v>1691</v>
      </c>
      <c r="Q15" s="1351" t="str">
        <f t="shared" si="6"/>
        <v>居住社区成熟度</v>
      </c>
      <c r="R15" s="704" t="s">
        <v>14</v>
      </c>
      <c r="S15" s="705">
        <f t="shared" si="0"/>
        <v>100</v>
      </c>
      <c r="T15" s="704" t="s">
        <v>14</v>
      </c>
      <c r="U15" s="705">
        <f t="shared" si="1"/>
        <v>100</v>
      </c>
      <c r="V15" s="704" t="s">
        <v>14</v>
      </c>
      <c r="W15" s="705">
        <f t="shared" si="2"/>
        <v>100</v>
      </c>
      <c r="X15" s="1354"/>
      <c r="Y15" s="3677"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78"/>
      <c r="Q16" s="1351"/>
      <c r="R16" s="704"/>
      <c r="S16" s="705"/>
      <c r="T16" s="704"/>
      <c r="U16" s="705"/>
      <c r="V16" s="704"/>
      <c r="W16" s="705"/>
      <c r="X16" s="1354"/>
      <c r="Y16" s="3678"/>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78"/>
      <c r="Q17" s="1351" t="str">
        <f>B17</f>
        <v>商业繁华度</v>
      </c>
      <c r="R17" s="704" t="s">
        <v>14</v>
      </c>
      <c r="S17" s="705">
        <f>F17</f>
        <v>100</v>
      </c>
      <c r="T17" s="704" t="s">
        <v>14</v>
      </c>
      <c r="U17" s="705">
        <f>H17</f>
        <v>100</v>
      </c>
      <c r="V17" s="704" t="s">
        <v>14</v>
      </c>
      <c r="W17" s="705">
        <f>J17</f>
        <v>100</v>
      </c>
      <c r="X17" s="1354"/>
      <c r="Y17" s="367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78"/>
      <c r="Q18" s="1351"/>
      <c r="R18" s="704"/>
      <c r="S18" s="705"/>
      <c r="T18" s="704"/>
      <c r="U18" s="705"/>
      <c r="V18" s="704"/>
      <c r="W18" s="705"/>
      <c r="X18" s="1354"/>
      <c r="Y18" s="3678"/>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78"/>
      <c r="Q19" s="1351" t="str">
        <f>B19</f>
        <v>办公集聚程度</v>
      </c>
      <c r="R19" s="704" t="s">
        <v>14</v>
      </c>
      <c r="S19" s="705">
        <f>F19</f>
        <v>100</v>
      </c>
      <c r="T19" s="704" t="s">
        <v>14</v>
      </c>
      <c r="U19" s="705">
        <f>H19</f>
        <v>100</v>
      </c>
      <c r="V19" s="704" t="s">
        <v>14</v>
      </c>
      <c r="W19" s="705">
        <f>J19</f>
        <v>100</v>
      </c>
      <c r="X19" s="1354"/>
      <c r="Y19" s="367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78"/>
      <c r="Q20" s="1351"/>
      <c r="R20" s="704"/>
      <c r="S20" s="705"/>
      <c r="T20" s="704"/>
      <c r="U20" s="705"/>
      <c r="V20" s="704"/>
      <c r="W20" s="705"/>
      <c r="X20" s="1354"/>
      <c r="Y20" s="3678"/>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78"/>
      <c r="Q21" s="1351" t="str">
        <f>B21</f>
        <v>交通便捷度</v>
      </c>
      <c r="R21" s="704" t="s">
        <v>14</v>
      </c>
      <c r="S21" s="705">
        <f>F21</f>
        <v>100</v>
      </c>
      <c r="T21" s="704" t="s">
        <v>14</v>
      </c>
      <c r="U21" s="705">
        <f>H21</f>
        <v>100</v>
      </c>
      <c r="V21" s="704" t="s">
        <v>14</v>
      </c>
      <c r="W21" s="705">
        <f>J21</f>
        <v>100</v>
      </c>
      <c r="X21" s="1354"/>
      <c r="Y21" s="367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78"/>
      <c r="Q22" s="1351"/>
      <c r="R22" s="704"/>
      <c r="S22" s="705"/>
      <c r="T22" s="704"/>
      <c r="U22" s="705"/>
      <c r="V22" s="704"/>
      <c r="W22" s="705"/>
      <c r="X22" s="1354"/>
      <c r="Y22" s="3678"/>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78"/>
      <c r="Q23" s="1351" t="str">
        <f t="shared" ref="Q23:Q37" si="8">B23</f>
        <v>区域土地利用方向</v>
      </c>
      <c r="R23" s="704" t="s">
        <v>14</v>
      </c>
      <c r="S23" s="705">
        <f>F23</f>
        <v>100</v>
      </c>
      <c r="T23" s="704" t="s">
        <v>14</v>
      </c>
      <c r="U23" s="705">
        <f>H23</f>
        <v>100</v>
      </c>
      <c r="V23" s="704" t="s">
        <v>14</v>
      </c>
      <c r="W23" s="705">
        <f>J23</f>
        <v>100</v>
      </c>
      <c r="X23" s="1354"/>
      <c r="Y23" s="367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78"/>
      <c r="Q24" s="1351"/>
      <c r="R24" s="704"/>
      <c r="S24" s="705"/>
      <c r="T24" s="704"/>
      <c r="U24" s="705"/>
      <c r="V24" s="704"/>
      <c r="W24" s="705"/>
      <c r="X24" s="1354"/>
      <c r="Y24" s="3678"/>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78"/>
      <c r="Q25" s="1351" t="str">
        <f t="shared" si="8"/>
        <v>自然及人文环境状况</v>
      </c>
      <c r="R25" s="704" t="s">
        <v>14</v>
      </c>
      <c r="S25" s="705">
        <f>F25</f>
        <v>100</v>
      </c>
      <c r="T25" s="704" t="s">
        <v>14</v>
      </c>
      <c r="U25" s="705">
        <f>H25</f>
        <v>100</v>
      </c>
      <c r="V25" s="704" t="s">
        <v>14</v>
      </c>
      <c r="W25" s="705">
        <f>J25</f>
        <v>100</v>
      </c>
      <c r="X25" s="1354"/>
      <c r="Y25" s="367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78"/>
      <c r="Q26" s="1351"/>
      <c r="R26" s="704"/>
      <c r="S26" s="705"/>
      <c r="T26" s="704"/>
      <c r="U26" s="705"/>
      <c r="V26" s="704"/>
      <c r="W26" s="705"/>
      <c r="X26" s="1354"/>
      <c r="Y26" s="3678"/>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78"/>
      <c r="Q27" s="1342" t="str">
        <f t="shared" si="8"/>
        <v>公共配套设施</v>
      </c>
      <c r="R27" s="700" t="s">
        <v>14</v>
      </c>
      <c r="S27" s="701">
        <f>F27</f>
        <v>100</v>
      </c>
      <c r="T27" s="700" t="s">
        <v>14</v>
      </c>
      <c r="U27" s="701">
        <f>H27</f>
        <v>100</v>
      </c>
      <c r="V27" s="700" t="s">
        <v>14</v>
      </c>
      <c r="W27" s="701">
        <f>J27</f>
        <v>100</v>
      </c>
      <c r="X27" s="702"/>
      <c r="Y27" s="3678"/>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678"/>
      <c r="Q28" s="1342"/>
      <c r="R28" s="700"/>
      <c r="S28" s="701"/>
      <c r="T28" s="700"/>
      <c r="U28" s="701"/>
      <c r="V28" s="700"/>
      <c r="W28" s="701"/>
      <c r="X28" s="702"/>
      <c r="Y28" s="3678"/>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78"/>
      <c r="Q29" s="1342" t="str">
        <f t="shared" ref="Q29" si="9">B29</f>
        <v>基础设施水平</v>
      </c>
      <c r="R29" s="700" t="s">
        <v>14</v>
      </c>
      <c r="S29" s="701">
        <f>F29</f>
        <v>100</v>
      </c>
      <c r="T29" s="700" t="s">
        <v>14</v>
      </c>
      <c r="U29" s="701">
        <f>H29</f>
        <v>100</v>
      </c>
      <c r="V29" s="700" t="s">
        <v>14</v>
      </c>
      <c r="W29" s="701">
        <f>J29</f>
        <v>100</v>
      </c>
      <c r="X29" s="702"/>
      <c r="Y29" s="3678"/>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678"/>
      <c r="Q30" s="1342"/>
      <c r="R30" s="700"/>
      <c r="S30" s="701"/>
      <c r="T30" s="700"/>
      <c r="U30" s="701"/>
      <c r="V30" s="700"/>
      <c r="W30" s="701"/>
      <c r="X30" s="702"/>
      <c r="Y30" s="3678"/>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7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8"/>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78"/>
      <c r="Q32" s="1351" t="str">
        <f t="shared" si="8"/>
        <v>毗邻道路的类型与等级</v>
      </c>
      <c r="R32" s="704" t="s">
        <v>14</v>
      </c>
      <c r="S32" s="705">
        <f t="shared" si="10"/>
        <v>100</v>
      </c>
      <c r="T32" s="704" t="s">
        <v>14</v>
      </c>
      <c r="U32" s="705">
        <f t="shared" si="11"/>
        <v>100</v>
      </c>
      <c r="V32" s="704" t="s">
        <v>14</v>
      </c>
      <c r="W32" s="705">
        <f t="shared" si="12"/>
        <v>100</v>
      </c>
      <c r="X32" s="1354"/>
      <c r="Y32" s="367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78"/>
      <c r="Q33" s="1351"/>
      <c r="R33" s="704"/>
      <c r="S33" s="705"/>
      <c r="T33" s="704"/>
      <c r="U33" s="705"/>
      <c r="V33" s="704"/>
      <c r="W33" s="705"/>
      <c r="X33" s="1354"/>
      <c r="Y33" s="3678"/>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78"/>
      <c r="Q34" s="1351" t="str">
        <f t="shared" si="8"/>
        <v>土地级别</v>
      </c>
      <c r="R34" s="704" t="s">
        <v>14</v>
      </c>
      <c r="S34" s="705">
        <f t="shared" si="10"/>
        <v>100</v>
      </c>
      <c r="T34" s="704" t="s">
        <v>14</v>
      </c>
      <c r="U34" s="705">
        <f t="shared" si="11"/>
        <v>100</v>
      </c>
      <c r="V34" s="704" t="s">
        <v>14</v>
      </c>
      <c r="W34" s="705">
        <f t="shared" si="12"/>
        <v>100</v>
      </c>
      <c r="X34" s="1354"/>
      <c r="Y34" s="367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78"/>
      <c r="Q35" s="1351">
        <f t="shared" si="8"/>
        <v>111</v>
      </c>
      <c r="R35" s="704" t="s">
        <v>14</v>
      </c>
      <c r="S35" s="705">
        <f t="shared" si="10"/>
        <v>100</v>
      </c>
      <c r="T35" s="704" t="s">
        <v>14</v>
      </c>
      <c r="U35" s="705">
        <f t="shared" si="11"/>
        <v>100</v>
      </c>
      <c r="V35" s="704" t="s">
        <v>14</v>
      </c>
      <c r="W35" s="705">
        <f t="shared" si="12"/>
        <v>100</v>
      </c>
      <c r="X35" s="1354"/>
      <c r="Y35" s="367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3" t="s">
        <v>1696</v>
      </c>
      <c r="Q36" s="1351">
        <f t="shared" si="8"/>
        <v>111</v>
      </c>
      <c r="R36" s="704" t="s">
        <v>14</v>
      </c>
      <c r="S36" s="705">
        <f t="shared" si="10"/>
        <v>100</v>
      </c>
      <c r="T36" s="704" t="s">
        <v>14</v>
      </c>
      <c r="U36" s="705">
        <f t="shared" si="11"/>
        <v>100</v>
      </c>
      <c r="V36" s="704" t="s">
        <v>14</v>
      </c>
      <c r="W36" s="705">
        <f t="shared" si="12"/>
        <v>100</v>
      </c>
      <c r="X36" s="1354"/>
      <c r="Y36" s="3682"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2"/>
      <c r="Q37" s="1351">
        <f t="shared" si="8"/>
        <v>111</v>
      </c>
      <c r="R37" s="707" t="s">
        <v>14</v>
      </c>
      <c r="S37" s="708">
        <f t="shared" si="10"/>
        <v>100</v>
      </c>
      <c r="T37" s="707" t="s">
        <v>14</v>
      </c>
      <c r="U37" s="708">
        <f t="shared" si="11"/>
        <v>100</v>
      </c>
      <c r="V37" s="707" t="s">
        <v>14</v>
      </c>
      <c r="W37" s="708">
        <f t="shared" si="12"/>
        <v>100</v>
      </c>
      <c r="X37" s="709"/>
      <c r="Y37" s="3682"/>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2"/>
      <c r="Q38" s="1351" t="str">
        <f>B38</f>
        <v>宗地面积</v>
      </c>
      <c r="R38" s="704" t="s">
        <v>14</v>
      </c>
      <c r="S38" s="705" t="e">
        <f t="shared" si="10"/>
        <v>#N/A</v>
      </c>
      <c r="T38" s="704" t="s">
        <v>14</v>
      </c>
      <c r="U38" s="705" t="e">
        <f t="shared" si="11"/>
        <v>#N/A</v>
      </c>
      <c r="V38" s="704" t="s">
        <v>14</v>
      </c>
      <c r="W38" s="705" t="e">
        <f t="shared" si="12"/>
        <v>#N/A</v>
      </c>
      <c r="X38" s="1354"/>
      <c r="Y38" s="3682"/>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2"/>
      <c r="Q39" s="1351" t="str">
        <f t="shared" ref="Q39:Q45" si="14">B39</f>
        <v>宗地形状</v>
      </c>
      <c r="R39" s="704" t="s">
        <v>14</v>
      </c>
      <c r="S39" s="705">
        <f t="shared" si="10"/>
        <v>100</v>
      </c>
      <c r="T39" s="704" t="s">
        <v>14</v>
      </c>
      <c r="U39" s="705">
        <f t="shared" si="11"/>
        <v>100</v>
      </c>
      <c r="V39" s="704" t="s">
        <v>14</v>
      </c>
      <c r="W39" s="705">
        <f t="shared" si="12"/>
        <v>100</v>
      </c>
      <c r="X39" s="1354"/>
      <c r="Y39" s="3682"/>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2"/>
      <c r="Q40" s="1351" t="str">
        <f t="shared" si="14"/>
        <v>临街宽度及深度</v>
      </c>
      <c r="R40" s="704" t="s">
        <v>14</v>
      </c>
      <c r="S40" s="705">
        <f t="shared" si="10"/>
        <v>100</v>
      </c>
      <c r="T40" s="704" t="s">
        <v>14</v>
      </c>
      <c r="U40" s="705">
        <f t="shared" si="11"/>
        <v>100</v>
      </c>
      <c r="V40" s="704" t="s">
        <v>14</v>
      </c>
      <c r="W40" s="705">
        <f t="shared" si="12"/>
        <v>100</v>
      </c>
      <c r="X40" s="1354"/>
      <c r="Y40" s="3682"/>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2"/>
      <c r="Q41" s="1351" t="str">
        <f t="shared" si="14"/>
        <v>宗地开发程度</v>
      </c>
      <c r="R41" s="700" t="s">
        <v>14</v>
      </c>
      <c r="S41" s="701">
        <f t="shared" si="10"/>
        <v>100</v>
      </c>
      <c r="T41" s="700" t="s">
        <v>14</v>
      </c>
      <c r="U41" s="701">
        <f t="shared" si="11"/>
        <v>100</v>
      </c>
      <c r="V41" s="700" t="s">
        <v>14</v>
      </c>
      <c r="W41" s="701">
        <f t="shared" si="12"/>
        <v>100</v>
      </c>
      <c r="X41" s="702"/>
      <c r="Y41" s="3682"/>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2" t="s">
        <v>1696</v>
      </c>
      <c r="Q42" s="1351" t="str">
        <f t="shared" si="14"/>
        <v>工程地质条件</v>
      </c>
      <c r="R42" s="704" t="s">
        <v>14</v>
      </c>
      <c r="S42" s="705">
        <f t="shared" si="10"/>
        <v>100</v>
      </c>
      <c r="T42" s="704" t="s">
        <v>14</v>
      </c>
      <c r="U42" s="705">
        <f t="shared" si="11"/>
        <v>100</v>
      </c>
      <c r="V42" s="704" t="s">
        <v>14</v>
      </c>
      <c r="W42" s="705">
        <f t="shared" si="12"/>
        <v>100</v>
      </c>
      <c r="X42" s="1354"/>
      <c r="Y42" s="3682"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2"/>
      <c r="Q43" s="1351">
        <f t="shared" si="14"/>
        <v>111</v>
      </c>
      <c r="R43" s="704" t="s">
        <v>14</v>
      </c>
      <c r="S43" s="705">
        <f t="shared" si="10"/>
        <v>100</v>
      </c>
      <c r="T43" s="704" t="s">
        <v>14</v>
      </c>
      <c r="U43" s="705">
        <f t="shared" si="11"/>
        <v>100</v>
      </c>
      <c r="V43" s="704" t="s">
        <v>14</v>
      </c>
      <c r="W43" s="705">
        <f t="shared" si="12"/>
        <v>100</v>
      </c>
      <c r="X43" s="1354"/>
      <c r="Y43" s="3682"/>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2"/>
      <c r="Q44" s="1351">
        <f t="shared" si="14"/>
        <v>111</v>
      </c>
      <c r="R44" s="704" t="s">
        <v>14</v>
      </c>
      <c r="S44" s="705">
        <f t="shared" si="10"/>
        <v>100</v>
      </c>
      <c r="T44" s="704" t="s">
        <v>14</v>
      </c>
      <c r="U44" s="705">
        <f t="shared" si="11"/>
        <v>100</v>
      </c>
      <c r="V44" s="704" t="s">
        <v>14</v>
      </c>
      <c r="W44" s="705">
        <f t="shared" si="12"/>
        <v>100</v>
      </c>
      <c r="X44" s="1354"/>
      <c r="Y44" s="3682"/>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2"/>
      <c r="Q45" s="1351">
        <f t="shared" si="14"/>
        <v>111</v>
      </c>
      <c r="R45" s="707" t="s">
        <v>14</v>
      </c>
      <c r="S45" s="708">
        <f t="shared" si="10"/>
        <v>100</v>
      </c>
      <c r="T45" s="707" t="s">
        <v>14</v>
      </c>
      <c r="U45" s="708">
        <f t="shared" si="11"/>
        <v>100</v>
      </c>
      <c r="V45" s="707" t="s">
        <v>14</v>
      </c>
      <c r="W45" s="708">
        <f t="shared" si="12"/>
        <v>100</v>
      </c>
      <c r="X45" s="709"/>
      <c r="Y45" s="3682"/>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5" t="str">
        <f>A46</f>
        <v>成交单价</v>
      </c>
      <c r="Q46" s="3675"/>
      <c r="R46" s="3706">
        <f>E46</f>
        <v>0</v>
      </c>
      <c r="S46" s="3706"/>
      <c r="T46" s="3706">
        <f>G46</f>
        <v>0</v>
      </c>
      <c r="U46" s="3706"/>
      <c r="V46" s="3706">
        <f>I46</f>
        <v>0</v>
      </c>
      <c r="W46" s="3706"/>
      <c r="X46" s="689"/>
      <c r="Y46" s="711"/>
      <c r="Z46" s="689"/>
      <c r="AA46" s="689"/>
      <c r="AB46" s="689"/>
      <c r="AC46" s="689"/>
    </row>
    <row r="47" spans="1:29" ht="15.75" thickBot="1">
      <c r="A47" s="436" t="s">
        <v>1793</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675" t="str">
        <f>A47</f>
        <v>比较价值（元/平方米）</v>
      </c>
      <c r="Q47" s="3675"/>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72" t="str">
        <f>A48</f>
        <v>估价对象XX用房的比较价值（楼面单价，元/平方米）</v>
      </c>
      <c r="Q48" s="3673"/>
      <c r="R48" s="3736" t="e">
        <f>ROUND(IF(D47="简单平均",AVERAGE(R47:W47),R47*F47+T47*H47+V47*J47),0)</f>
        <v>#DIV/0!</v>
      </c>
      <c r="S48" s="3736"/>
      <c r="T48" s="3736"/>
      <c r="U48" s="3736"/>
      <c r="V48" s="3736"/>
      <c r="W48" s="373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0" t="s">
        <v>1887</v>
      </c>
      <c r="H55" s="3737"/>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485.45999999999992</v>
      </c>
      <c r="F56" s="885" t="e">
        <f t="shared" ref="F56:F64" si="15">ROUND(B56*E56/10000,0)</f>
        <v>#DIV/0!</v>
      </c>
      <c r="G56" s="3686"/>
      <c r="H56" s="367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0.5</v>
      </c>
      <c r="D57" s="944">
        <v>0.25</v>
      </c>
      <c r="E57" s="641"/>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0.2</v>
      </c>
      <c r="D58" s="944">
        <v>0.25</v>
      </c>
      <c r="E58" s="641"/>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v>
      </c>
      <c r="D59" s="944">
        <v>0.25</v>
      </c>
      <c r="E59" s="641"/>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v>
      </c>
      <c r="D63" s="944">
        <v>0.25</v>
      </c>
      <c r="E63" s="216">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485.45999999999992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0" t="s">
        <v>1770</v>
      </c>
      <c r="D4" s="3691"/>
      <c r="E4" s="3692" t="s">
        <v>1771</v>
      </c>
      <c r="F4" s="3693"/>
      <c r="G4" s="3690" t="s">
        <v>1772</v>
      </c>
      <c r="H4" s="3691"/>
      <c r="I4" s="3690" t="s">
        <v>1773</v>
      </c>
      <c r="J4" s="3691"/>
      <c r="K4" s="558"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ht="15">
      <c r="A5" s="357"/>
      <c r="B5" s="358"/>
      <c r="C5" s="3709" t="s">
        <v>1673</v>
      </c>
      <c r="D5" s="3710"/>
      <c r="E5" s="3716" t="s">
        <v>1674</v>
      </c>
      <c r="F5" s="3717"/>
      <c r="G5" s="3709" t="s">
        <v>1675</v>
      </c>
      <c r="H5" s="3710"/>
      <c r="I5" s="3709" t="s">
        <v>1676</v>
      </c>
      <c r="J5" s="3710"/>
      <c r="K5" s="558"/>
      <c r="L5" s="2714"/>
      <c r="M5" s="2715"/>
      <c r="N5" s="2715"/>
      <c r="O5" s="2715"/>
      <c r="P5" s="3696"/>
      <c r="Q5" s="3697"/>
      <c r="R5" s="3702"/>
      <c r="S5" s="3703"/>
      <c r="T5" s="3702"/>
      <c r="U5" s="3703"/>
      <c r="V5" s="3706"/>
      <c r="W5" s="3706"/>
      <c r="X5" s="1354"/>
      <c r="Y5" s="3702"/>
      <c r="Z5" s="3703"/>
      <c r="AA5" s="3688"/>
      <c r="AB5" s="3688"/>
      <c r="AC5" s="3688"/>
    </row>
    <row r="6" spans="1:29" ht="15.75" thickBot="1">
      <c r="A6" s="359"/>
      <c r="B6" s="360"/>
      <c r="C6" s="3738" t="s">
        <v>1919</v>
      </c>
      <c r="D6" s="3739"/>
      <c r="E6" s="3740" t="s">
        <v>1919</v>
      </c>
      <c r="F6" s="3741"/>
      <c r="G6" s="3738" t="s">
        <v>1919</v>
      </c>
      <c r="H6" s="3739"/>
      <c r="I6" s="3738" t="s">
        <v>1919</v>
      </c>
      <c r="J6" s="3739"/>
      <c r="K6" s="558" t="s">
        <v>1678</v>
      </c>
      <c r="L6" s="2714"/>
      <c r="M6" s="2715"/>
      <c r="N6" s="2715"/>
      <c r="O6" s="2715"/>
      <c r="P6" s="3698"/>
      <c r="Q6" s="3699"/>
      <c r="R6" s="3702"/>
      <c r="S6" s="3703"/>
      <c r="T6" s="3704"/>
      <c r="U6" s="3705"/>
      <c r="V6" s="3706"/>
      <c r="W6" s="3706"/>
      <c r="X6" s="1354"/>
      <c r="Y6" s="3704"/>
      <c r="Z6" s="3705"/>
      <c r="AA6" s="3689"/>
      <c r="AB6" s="3689"/>
      <c r="AC6" s="3689"/>
    </row>
    <row r="7" spans="1:29" s="107" customFormat="1" ht="15.75" thickBot="1">
      <c r="A7" s="361" t="s">
        <v>1679</v>
      </c>
      <c r="B7" s="362"/>
      <c r="C7" s="363">
        <f>'数据-取费表'!B2</f>
        <v>45131</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11" t="s">
        <v>1680</v>
      </c>
      <c r="Q7" s="3713"/>
      <c r="R7" s="700" t="s">
        <v>14</v>
      </c>
      <c r="S7" s="701">
        <f t="shared" ref="S7:S15" si="0">F7</f>
        <v>0</v>
      </c>
      <c r="T7" s="700" t="s">
        <v>14</v>
      </c>
      <c r="U7" s="701">
        <f t="shared" ref="U7:U15" si="1">H7</f>
        <v>0</v>
      </c>
      <c r="V7" s="700" t="s">
        <v>14</v>
      </c>
      <c r="W7" s="701">
        <f t="shared" ref="W7:W15" si="2">J7</f>
        <v>0</v>
      </c>
      <c r="X7" s="702"/>
      <c r="Y7" s="3711" t="s">
        <v>1680</v>
      </c>
      <c r="Z7" s="3712"/>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11" t="s">
        <v>1683</v>
      </c>
      <c r="Q8" s="3712"/>
      <c r="R8" s="700" t="s">
        <v>14</v>
      </c>
      <c r="S8" s="701">
        <f t="shared" si="0"/>
        <v>0</v>
      </c>
      <c r="T8" s="700" t="s">
        <v>14</v>
      </c>
      <c r="U8" s="701">
        <f t="shared" si="1"/>
        <v>0</v>
      </c>
      <c r="V8" s="700" t="s">
        <v>14</v>
      </c>
      <c r="W8" s="701">
        <f t="shared" si="2"/>
        <v>0</v>
      </c>
      <c r="X8" s="702"/>
      <c r="Y8" s="3711" t="s">
        <v>1683</v>
      </c>
      <c r="Z8" s="3712"/>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5" t="s">
        <v>1686</v>
      </c>
      <c r="Q9" s="1342" t="str">
        <f t="shared" ref="Q9:Q15" si="6">B9</f>
        <v>用途</v>
      </c>
      <c r="R9" s="700" t="s">
        <v>14</v>
      </c>
      <c r="S9" s="701">
        <f t="shared" si="0"/>
        <v>100</v>
      </c>
      <c r="T9" s="700" t="s">
        <v>14</v>
      </c>
      <c r="U9" s="701">
        <f t="shared" si="1"/>
        <v>100</v>
      </c>
      <c r="V9" s="700" t="s">
        <v>14</v>
      </c>
      <c r="W9" s="701">
        <f t="shared" si="2"/>
        <v>100</v>
      </c>
      <c r="X9" s="702"/>
      <c r="Y9" s="3550"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165</v>
      </c>
      <c r="G10" s="382"/>
      <c r="H10" s="126">
        <f>ROUND(100/'数据-取费表'!G16,0)</f>
        <v>165</v>
      </c>
      <c r="I10" s="382"/>
      <c r="J10" s="126">
        <f>ROUND(100/'数据-取费表'!G16,0)</f>
        <v>165</v>
      </c>
      <c r="K10" s="619"/>
      <c r="L10" s="2718"/>
      <c r="M10" s="2719"/>
      <c r="N10" s="2719"/>
      <c r="O10" s="2772"/>
      <c r="P10" s="3675"/>
      <c r="Q10" s="1342" t="str">
        <f t="shared" si="6"/>
        <v>土地使用年限（年）</v>
      </c>
      <c r="R10" s="700" t="s">
        <v>14</v>
      </c>
      <c r="S10" s="701">
        <f t="shared" si="0"/>
        <v>165</v>
      </c>
      <c r="T10" s="700" t="s">
        <v>14</v>
      </c>
      <c r="U10" s="701">
        <f t="shared" si="1"/>
        <v>165</v>
      </c>
      <c r="V10" s="700" t="s">
        <v>14</v>
      </c>
      <c r="W10" s="701">
        <f t="shared" si="2"/>
        <v>165</v>
      </c>
      <c r="X10" s="702"/>
      <c r="Y10" s="3550"/>
      <c r="Z10" s="52" t="str">
        <f t="shared" si="7"/>
        <v>土地使用年限（年）</v>
      </c>
      <c r="AA10" s="703">
        <f t="shared" si="3"/>
        <v>0.60606060606060608</v>
      </c>
      <c r="AB10" s="703">
        <f t="shared" si="4"/>
        <v>0.60606060606060608</v>
      </c>
      <c r="AC10" s="703">
        <f t="shared" si="5"/>
        <v>0.60606060606060608</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5"/>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78"/>
      <c r="Q16" s="1351"/>
      <c r="R16" s="704"/>
      <c r="S16" s="705"/>
      <c r="T16" s="704"/>
      <c r="U16" s="705"/>
      <c r="V16" s="704"/>
      <c r="W16" s="705"/>
      <c r="X16" s="1354"/>
      <c r="Y16" s="3678"/>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78"/>
      <c r="Q18" s="1351"/>
      <c r="R18" s="704"/>
      <c r="S18" s="705"/>
      <c r="T18" s="704"/>
      <c r="U18" s="705"/>
      <c r="V18" s="704"/>
      <c r="W18" s="705"/>
      <c r="X18" s="1354"/>
      <c r="Y18" s="3678"/>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78"/>
      <c r="Q19" s="1351" t="str">
        <f t="shared" ref="Q19:Q33" si="8">B19</f>
        <v>区域土地利用方向</v>
      </c>
      <c r="R19" s="704" t="s">
        <v>14</v>
      </c>
      <c r="S19" s="705">
        <f>F19</f>
        <v>100</v>
      </c>
      <c r="T19" s="704" t="s">
        <v>14</v>
      </c>
      <c r="U19" s="705">
        <f>H19</f>
        <v>100</v>
      </c>
      <c r="V19" s="704" t="s">
        <v>14</v>
      </c>
      <c r="W19" s="705">
        <f>J19</f>
        <v>100</v>
      </c>
      <c r="X19" s="1354"/>
      <c r="Y19" s="367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78"/>
      <c r="Q20" s="1351"/>
      <c r="R20" s="704"/>
      <c r="S20" s="705"/>
      <c r="T20" s="704"/>
      <c r="U20" s="705"/>
      <c r="V20" s="704"/>
      <c r="W20" s="705"/>
      <c r="X20" s="1354"/>
      <c r="Y20" s="3678"/>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78"/>
      <c r="Q21" s="1351" t="str">
        <f t="shared" si="8"/>
        <v>环境状况</v>
      </c>
      <c r="R21" s="704" t="s">
        <v>14</v>
      </c>
      <c r="S21" s="705">
        <f>F21</f>
        <v>100</v>
      </c>
      <c r="T21" s="704" t="s">
        <v>14</v>
      </c>
      <c r="U21" s="705">
        <f>H21</f>
        <v>100</v>
      </c>
      <c r="V21" s="704" t="s">
        <v>14</v>
      </c>
      <c r="W21" s="705">
        <f>J21</f>
        <v>100</v>
      </c>
      <c r="X21" s="1354"/>
      <c r="Y21" s="367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78"/>
      <c r="Q22" s="1351"/>
      <c r="R22" s="704"/>
      <c r="S22" s="705"/>
      <c r="T22" s="704"/>
      <c r="U22" s="705"/>
      <c r="V22" s="704"/>
      <c r="W22" s="705"/>
      <c r="X22" s="1354"/>
      <c r="Y22" s="3678"/>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78"/>
      <c r="Q23" s="1342" t="str">
        <f t="shared" si="8"/>
        <v>公共配套设施</v>
      </c>
      <c r="R23" s="700" t="s">
        <v>14</v>
      </c>
      <c r="S23" s="701">
        <f>F23</f>
        <v>100</v>
      </c>
      <c r="T23" s="700" t="s">
        <v>14</v>
      </c>
      <c r="U23" s="701">
        <f>H23</f>
        <v>100</v>
      </c>
      <c r="V23" s="700" t="s">
        <v>14</v>
      </c>
      <c r="W23" s="701">
        <f>J23</f>
        <v>100</v>
      </c>
      <c r="X23" s="702"/>
      <c r="Y23" s="3678"/>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678"/>
      <c r="Q24" s="1342"/>
      <c r="R24" s="700"/>
      <c r="S24" s="701"/>
      <c r="T24" s="700"/>
      <c r="U24" s="701"/>
      <c r="V24" s="700"/>
      <c r="W24" s="701"/>
      <c r="X24" s="702"/>
      <c r="Y24" s="3678"/>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78"/>
      <c r="Q25" s="1342" t="str">
        <f t="shared" ref="Q25" si="9">B25</f>
        <v>基础设施水平</v>
      </c>
      <c r="R25" s="700" t="s">
        <v>14</v>
      </c>
      <c r="S25" s="701">
        <f>F25</f>
        <v>100</v>
      </c>
      <c r="T25" s="700" t="s">
        <v>14</v>
      </c>
      <c r="U25" s="701">
        <f>H25</f>
        <v>100</v>
      </c>
      <c r="V25" s="700" t="s">
        <v>14</v>
      </c>
      <c r="W25" s="701">
        <f>J25</f>
        <v>100</v>
      </c>
      <c r="X25" s="702"/>
      <c r="Y25" s="3678"/>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678"/>
      <c r="Q26" s="1342"/>
      <c r="R26" s="700"/>
      <c r="S26" s="701"/>
      <c r="T26" s="700"/>
      <c r="U26" s="701"/>
      <c r="V26" s="700"/>
      <c r="W26" s="701"/>
      <c r="X26" s="702"/>
      <c r="Y26" s="3678"/>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7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8"/>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78"/>
      <c r="Q28" s="1351" t="str">
        <f t="shared" si="8"/>
        <v>毗邻道路的类型与等级</v>
      </c>
      <c r="R28" s="704" t="s">
        <v>14</v>
      </c>
      <c r="S28" s="705">
        <f t="shared" si="10"/>
        <v>100</v>
      </c>
      <c r="T28" s="704" t="s">
        <v>14</v>
      </c>
      <c r="U28" s="705">
        <f t="shared" si="11"/>
        <v>100</v>
      </c>
      <c r="V28" s="704" t="s">
        <v>14</v>
      </c>
      <c r="W28" s="705">
        <f t="shared" si="12"/>
        <v>100</v>
      </c>
      <c r="X28" s="1354"/>
      <c r="Y28" s="367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78"/>
      <c r="Q29" s="1351"/>
      <c r="R29" s="704"/>
      <c r="S29" s="705"/>
      <c r="T29" s="704"/>
      <c r="U29" s="705"/>
      <c r="V29" s="704"/>
      <c r="W29" s="705"/>
      <c r="X29" s="1354"/>
      <c r="Y29" s="3678"/>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78"/>
      <c r="Q30" s="1351" t="str">
        <f t="shared" si="8"/>
        <v>土地级别</v>
      </c>
      <c r="R30" s="704" t="s">
        <v>14</v>
      </c>
      <c r="S30" s="705">
        <f t="shared" si="10"/>
        <v>100</v>
      </c>
      <c r="T30" s="704" t="s">
        <v>14</v>
      </c>
      <c r="U30" s="705">
        <f t="shared" si="11"/>
        <v>100</v>
      </c>
      <c r="V30" s="704" t="s">
        <v>14</v>
      </c>
      <c r="W30" s="705">
        <f t="shared" si="12"/>
        <v>100</v>
      </c>
      <c r="X30" s="1354"/>
      <c r="Y30" s="367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78"/>
      <c r="Q31" s="1351">
        <f t="shared" si="8"/>
        <v>111</v>
      </c>
      <c r="R31" s="704" t="s">
        <v>14</v>
      </c>
      <c r="S31" s="705">
        <f t="shared" si="10"/>
        <v>100</v>
      </c>
      <c r="T31" s="704" t="s">
        <v>14</v>
      </c>
      <c r="U31" s="705">
        <f t="shared" si="11"/>
        <v>100</v>
      </c>
      <c r="V31" s="704" t="s">
        <v>14</v>
      </c>
      <c r="W31" s="705">
        <f t="shared" si="12"/>
        <v>100</v>
      </c>
      <c r="X31" s="1354"/>
      <c r="Y31" s="367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3" t="s">
        <v>1696</v>
      </c>
      <c r="Q32" s="1351">
        <f t="shared" si="8"/>
        <v>111</v>
      </c>
      <c r="R32" s="704" t="s">
        <v>14</v>
      </c>
      <c r="S32" s="705">
        <f t="shared" si="10"/>
        <v>100</v>
      </c>
      <c r="T32" s="704" t="s">
        <v>14</v>
      </c>
      <c r="U32" s="705">
        <f t="shared" si="11"/>
        <v>100</v>
      </c>
      <c r="V32" s="704" t="s">
        <v>14</v>
      </c>
      <c r="W32" s="705">
        <f t="shared" si="12"/>
        <v>100</v>
      </c>
      <c r="X32" s="1354"/>
      <c r="Y32" s="3682"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2"/>
      <c r="Q33" s="1351">
        <f t="shared" si="8"/>
        <v>111</v>
      </c>
      <c r="R33" s="707" t="s">
        <v>14</v>
      </c>
      <c r="S33" s="708">
        <f t="shared" si="10"/>
        <v>100</v>
      </c>
      <c r="T33" s="707" t="s">
        <v>14</v>
      </c>
      <c r="U33" s="708">
        <f t="shared" si="11"/>
        <v>100</v>
      </c>
      <c r="V33" s="707" t="s">
        <v>14</v>
      </c>
      <c r="W33" s="708">
        <f t="shared" si="12"/>
        <v>100</v>
      </c>
      <c r="X33" s="709"/>
      <c r="Y33" s="3682"/>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82"/>
      <c r="Q34" s="1351" t="str">
        <f>B34</f>
        <v>宗地面积</v>
      </c>
      <c r="R34" s="704" t="s">
        <v>14</v>
      </c>
      <c r="S34" s="705" t="e">
        <f t="shared" si="10"/>
        <v>#N/A</v>
      </c>
      <c r="T34" s="704" t="s">
        <v>14</v>
      </c>
      <c r="U34" s="705" t="e">
        <f t="shared" si="11"/>
        <v>#N/A</v>
      </c>
      <c r="V34" s="704" t="s">
        <v>14</v>
      </c>
      <c r="W34" s="705" t="e">
        <f t="shared" si="12"/>
        <v>#N/A</v>
      </c>
      <c r="X34" s="1354"/>
      <c r="Y34" s="3682"/>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2"/>
      <c r="Q35" s="1351" t="str">
        <f t="shared" ref="Q35:Q40" si="14">B35</f>
        <v>宗地形状</v>
      </c>
      <c r="R35" s="704" t="s">
        <v>14</v>
      </c>
      <c r="S35" s="705">
        <f t="shared" si="10"/>
        <v>100</v>
      </c>
      <c r="T35" s="704" t="s">
        <v>14</v>
      </c>
      <c r="U35" s="705">
        <f t="shared" si="11"/>
        <v>100</v>
      </c>
      <c r="V35" s="704" t="s">
        <v>14</v>
      </c>
      <c r="W35" s="705">
        <f t="shared" si="12"/>
        <v>100</v>
      </c>
      <c r="X35" s="1354"/>
      <c r="Y35" s="3682"/>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82"/>
      <c r="Q36" s="1351" t="str">
        <f t="shared" si="14"/>
        <v>宗地开发程度</v>
      </c>
      <c r="R36" s="700" t="s">
        <v>14</v>
      </c>
      <c r="S36" s="701">
        <f t="shared" si="10"/>
        <v>100</v>
      </c>
      <c r="T36" s="700" t="s">
        <v>14</v>
      </c>
      <c r="U36" s="701">
        <f t="shared" si="11"/>
        <v>100</v>
      </c>
      <c r="V36" s="700" t="s">
        <v>14</v>
      </c>
      <c r="W36" s="701">
        <f t="shared" si="12"/>
        <v>100</v>
      </c>
      <c r="X36" s="702"/>
      <c r="Y36" s="3682"/>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2" t="s">
        <v>1696</v>
      </c>
      <c r="Q37" s="1351" t="str">
        <f t="shared" si="14"/>
        <v>工程地质条件</v>
      </c>
      <c r="R37" s="704" t="s">
        <v>14</v>
      </c>
      <c r="S37" s="705">
        <f t="shared" si="10"/>
        <v>100</v>
      </c>
      <c r="T37" s="704" t="s">
        <v>14</v>
      </c>
      <c r="U37" s="705">
        <f t="shared" si="11"/>
        <v>100</v>
      </c>
      <c r="V37" s="704" t="s">
        <v>14</v>
      </c>
      <c r="W37" s="705">
        <f t="shared" si="12"/>
        <v>100</v>
      </c>
      <c r="X37" s="1354"/>
      <c r="Y37" s="3682"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2"/>
      <c r="Q38" s="1351">
        <f t="shared" si="14"/>
        <v>111</v>
      </c>
      <c r="R38" s="704" t="s">
        <v>14</v>
      </c>
      <c r="S38" s="705">
        <f t="shared" si="10"/>
        <v>100</v>
      </c>
      <c r="T38" s="704" t="s">
        <v>14</v>
      </c>
      <c r="U38" s="705">
        <f t="shared" si="11"/>
        <v>100</v>
      </c>
      <c r="V38" s="704" t="s">
        <v>14</v>
      </c>
      <c r="W38" s="705">
        <f t="shared" si="12"/>
        <v>100</v>
      </c>
      <c r="X38" s="1354"/>
      <c r="Y38" s="3682"/>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2"/>
      <c r="Q39" s="1351">
        <f t="shared" si="14"/>
        <v>111</v>
      </c>
      <c r="R39" s="704" t="s">
        <v>14</v>
      </c>
      <c r="S39" s="705">
        <f t="shared" si="10"/>
        <v>100</v>
      </c>
      <c r="T39" s="704" t="s">
        <v>14</v>
      </c>
      <c r="U39" s="705">
        <f t="shared" si="11"/>
        <v>100</v>
      </c>
      <c r="V39" s="704" t="s">
        <v>14</v>
      </c>
      <c r="W39" s="705">
        <f t="shared" si="12"/>
        <v>100</v>
      </c>
      <c r="X39" s="1354"/>
      <c r="Y39" s="3682"/>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2"/>
      <c r="Q40" s="1351">
        <f t="shared" si="14"/>
        <v>111</v>
      </c>
      <c r="R40" s="707" t="s">
        <v>14</v>
      </c>
      <c r="S40" s="708">
        <f t="shared" si="10"/>
        <v>100</v>
      </c>
      <c r="T40" s="707" t="s">
        <v>14</v>
      </c>
      <c r="U40" s="708">
        <f t="shared" si="11"/>
        <v>100</v>
      </c>
      <c r="V40" s="707" t="s">
        <v>14</v>
      </c>
      <c r="W40" s="708">
        <f t="shared" si="12"/>
        <v>100</v>
      </c>
      <c r="X40" s="709"/>
      <c r="Y40" s="3682"/>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5" t="str">
        <f>A41</f>
        <v>成交单价</v>
      </c>
      <c r="Q41" s="3675"/>
      <c r="R41" s="3706">
        <f>E41</f>
        <v>0</v>
      </c>
      <c r="S41" s="3706"/>
      <c r="T41" s="3706">
        <f>G41</f>
        <v>0</v>
      </c>
      <c r="U41" s="3706"/>
      <c r="V41" s="3706">
        <f>I41</f>
        <v>0</v>
      </c>
      <c r="W41" s="3706"/>
      <c r="X41" s="689"/>
      <c r="Y41" s="711"/>
      <c r="Z41" s="689"/>
      <c r="AA41" s="689"/>
      <c r="AB41" s="689"/>
      <c r="AC41" s="689"/>
    </row>
    <row r="42" spans="1:31" ht="15.75" thickBot="1">
      <c r="A42" s="436" t="s">
        <v>1793</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675" t="str">
        <f>A42</f>
        <v>比较价值（元/平方米）</v>
      </c>
      <c r="Q42" s="3675"/>
      <c r="R42" s="3735" t="e">
        <f>ROUND(PRODUCT(R41,AA7:AA40),0)</f>
        <v>#DIV/0!</v>
      </c>
      <c r="S42" s="3735"/>
      <c r="T42" s="3735" t="e">
        <f>ROUND(PRODUCT(T41,AB7:AB40),0)</f>
        <v>#DIV/0!</v>
      </c>
      <c r="U42" s="3735"/>
      <c r="V42" s="3735" t="e">
        <f>ROUND(PRODUCT(V41,AC7:AC40),0)</f>
        <v>#DIV/0!</v>
      </c>
      <c r="W42" s="3735"/>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72" t="str">
        <f>A43</f>
        <v>估价对象XX用房的比较价值（楼面单价，元/平方米）</v>
      </c>
      <c r="Q43" s="3673"/>
      <c r="R43" s="3736" t="e">
        <f>ROUND(IF(D42="简单平均",AVERAGE(R42:W42),R42*F42+T42*H42+V42*J42),0)</f>
        <v>#DIV/0!</v>
      </c>
      <c r="S43" s="3736"/>
      <c r="T43" s="3736"/>
      <c r="U43" s="3736"/>
      <c r="V43" s="3736"/>
      <c r="W43" s="373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0" t="s">
        <v>1887</v>
      </c>
      <c r="H50" s="373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485.45999999999992</v>
      </c>
      <c r="F51" s="638" t="e">
        <f t="shared" ref="F51:F60" si="15">ROUND(B51*E51/10000,0)</f>
        <v>#DIV/0!</v>
      </c>
      <c r="G51" s="3686"/>
      <c r="H51" s="367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0.5</v>
      </c>
      <c r="D52" s="944">
        <v>0.25</v>
      </c>
      <c r="E52" s="641"/>
      <c r="F52" s="638"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0.2</v>
      </c>
      <c r="D53" s="944">
        <v>0.25</v>
      </c>
      <c r="E53" s="641"/>
      <c r="F53" s="638"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v>
      </c>
      <c r="D54" s="944">
        <v>0.25</v>
      </c>
      <c r="E54" s="641"/>
      <c r="F54" s="638"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v>
      </c>
      <c r="D59" s="944">
        <v>0.25</v>
      </c>
      <c r="E59" s="216">
        <f>'数据-汇总表'!E14</f>
        <v>0</v>
      </c>
      <c r="F59" s="638"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Q80" sqref="Q80"/>
      <selection pane="bottomLeft" activeCell="X26" sqref="X26"/>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5" t="s">
        <v>2084</v>
      </c>
      <c r="D1" s="3746"/>
      <c r="E1" s="3746"/>
      <c r="F1" s="3746"/>
      <c r="G1" s="3746"/>
      <c r="H1" s="3746"/>
      <c r="I1" s="3746"/>
      <c r="J1" s="3746"/>
      <c r="K1" s="3746"/>
      <c r="L1" s="3746"/>
      <c r="M1" s="3746"/>
      <c r="N1" s="3746"/>
      <c r="O1" s="3746"/>
      <c r="P1" s="3746"/>
      <c r="Q1" s="3746"/>
      <c r="R1" s="3746"/>
      <c r="S1" s="3747"/>
      <c r="T1" s="982" t="s">
        <v>2085</v>
      </c>
    </row>
    <row r="2" spans="1:45" s="654" customFormat="1">
      <c r="A2" s="983"/>
      <c r="B2" s="650" t="s">
        <v>2086</v>
      </c>
      <c r="C2" s="651" t="str">
        <f t="shared" ref="C2:L2" si="0">C3&amp;"(含)"&amp;"-"&amp;D3</f>
        <v>0(含)-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t="s">
        <v>3425</v>
      </c>
      <c r="D17" s="1010" t="s">
        <v>3426</v>
      </c>
      <c r="E17" s="1010" t="s">
        <v>3427</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65</v>
      </c>
      <c r="E18" s="1022">
        <v>55</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f ca="1">IF(D20="——",S22,S22-F20)</f>
        <v>532</v>
      </c>
      <c r="C20" s="158"/>
      <c r="D20" s="2150" t="s">
        <v>43</v>
      </c>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f ca="1">ROUND(B20*10000/B22,0)</f>
        <v>10959</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485.46</v>
      </c>
      <c r="C22" s="3742" t="s">
        <v>27</v>
      </c>
      <c r="D22" s="3743"/>
      <c r="E22" s="3743"/>
      <c r="F22" s="3743"/>
      <c r="G22" s="3743"/>
      <c r="H22" s="3743"/>
      <c r="I22" s="3743"/>
      <c r="J22" s="3743"/>
      <c r="K22" s="3743"/>
      <c r="L22" s="3743"/>
      <c r="M22" s="3743"/>
      <c r="N22" s="3743"/>
      <c r="O22" s="3743"/>
      <c r="P22" s="3743"/>
      <c r="Q22" s="3744"/>
      <c r="R22" s="662">
        <f ca="1">ROUND(S22*10000/B22,0)</f>
        <v>10959</v>
      </c>
      <c r="S22" s="21">
        <f ca="1">SUM(S24:S10000)</f>
        <v>532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'数据-取费表'!U19</f>
        <v>1层</v>
      </c>
      <c r="B24" s="664">
        <f>'数据-取费表'!V19</f>
        <v>92.07</v>
      </c>
      <c r="C24" s="2809">
        <v>1</v>
      </c>
      <c r="D24" s="2810"/>
      <c r="E24" s="2809">
        <v>1</v>
      </c>
      <c r="F24" s="2810"/>
      <c r="G24" s="2809">
        <v>1</v>
      </c>
      <c r="H24" s="2810"/>
      <c r="I24" s="2809">
        <v>1</v>
      </c>
      <c r="J24" s="2810"/>
      <c r="K24" s="2809">
        <v>1</v>
      </c>
      <c r="L24" s="2810"/>
      <c r="M24" s="2809">
        <v>1</v>
      </c>
      <c r="N24" s="2810"/>
      <c r="O24" s="2809">
        <v>1</v>
      </c>
      <c r="P24" s="2810" t="s">
        <v>3421</v>
      </c>
      <c r="Q24" s="2809">
        <v>1</v>
      </c>
      <c r="R24" s="667">
        <f ca="1">结果表!G20</f>
        <v>16751</v>
      </c>
      <c r="S24" s="665">
        <f t="shared" ref="S24:S54" ca="1" si="11">ROUND(R24*B24/10000,0)</f>
        <v>154</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'数据-取费表'!U20</f>
        <v>2层</v>
      </c>
      <c r="B25" s="664">
        <f>'数据-取费表'!V20</f>
        <v>92.07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3428</v>
      </c>
      <c r="Q25" s="21">
        <f>(SUMIF($17:$17,P25,$18:$18)-SUMIF($17:$17,$P$24,$18:$18)+100)/100</f>
        <v>0.65</v>
      </c>
      <c r="R25" s="662">
        <f ca="1">IF(B25="",0,ROUND($R$24*C25*E25*G25*I25*K25*M25*O25*Q25,0))</f>
        <v>10888</v>
      </c>
      <c r="S25" s="315">
        <f t="shared" ca="1" si="11"/>
        <v>100</v>
      </c>
    </row>
    <row r="26" spans="1:45">
      <c r="A26" s="664" t="str">
        <f>'数据-取费表'!U21</f>
        <v>3层</v>
      </c>
      <c r="B26" s="664">
        <f>'数据-取费表'!V21</f>
        <v>301.32</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3429</v>
      </c>
      <c r="Q26" s="21">
        <f t="shared" ref="Q26:Q89" si="19">(SUMIF($17:$17,P26,$18:$18)-SUMIF($17:$17,$P$24,$18:$18)+100)/100</f>
        <v>0.55000000000000004</v>
      </c>
      <c r="R26" s="662">
        <f t="shared" ref="R26:R89" ca="1" si="20">IF(B26="",0,ROUND($R$24*C26*E26*G26*I26*K26*M26*O26*Q26,0))</f>
        <v>9213</v>
      </c>
      <c r="S26" s="315">
        <f t="shared" ca="1" si="11"/>
        <v>278</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195</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195</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Normal="80" zoomScaleSheetLayoutView="100" workbookViewId="0">
      <selection activeCell="D50" sqref="D5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195</v>
      </c>
      <c r="C2" s="1998" t="s">
        <v>1935</v>
      </c>
      <c r="D2" s="1999" t="s">
        <v>1936</v>
      </c>
      <c r="E2" s="3421"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Ⅸ-密1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5541</v>
      </c>
      <c r="U2" s="1212">
        <f>'数据-基础表'!I13/2</f>
        <v>92.07</v>
      </c>
      <c r="V2" s="3360">
        <f>ROUND(T2*U2/10000,0)</f>
        <v>51</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2442</v>
      </c>
      <c r="F3" s="2003" t="s">
        <v>3395</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4271</v>
      </c>
      <c r="U3" s="1212">
        <f>U2</f>
        <v>92.07</v>
      </c>
      <c r="V3" s="3360">
        <f t="shared" ref="V3:V16" si="1">ROUND(T3*U3/10000,0)</f>
        <v>39</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3484</v>
      </c>
      <c r="U4" s="1212">
        <f>'数据-基础表'!I14+'数据-基础表'!I15+'数据-基础表'!I16+'数据-基础表'!I17+'数据-基础表'!I18</f>
        <v>301.32</v>
      </c>
      <c r="V4" s="3360">
        <f t="shared" si="1"/>
        <v>105</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5527</v>
      </c>
      <c r="D5" s="1338">
        <f>ROUND(C6*C17+C20,0)</f>
        <v>5527</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2958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2695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69" t="s">
        <v>1957</v>
      </c>
      <c r="C8" s="2025" t="s">
        <v>3396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2" t="s">
        <v>1960</v>
      </c>
      <c r="X8" s="375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5620</v>
      </c>
      <c r="N9" s="865">
        <f>SUMPRODUCT((因素修正幅度!B277:B326=I2)*(因素修正幅度!C3:G3=E2)*(因素修正幅度!C277:G326))</f>
        <v>0.15</v>
      </c>
      <c r="O9" s="1118"/>
      <c r="P9" s="1118"/>
      <c r="Q9" s="1118"/>
      <c r="R9" s="1211">
        <v>8</v>
      </c>
      <c r="S9" s="1212"/>
      <c r="T9" s="3360">
        <f t="shared" si="0"/>
        <v>0</v>
      </c>
      <c r="U9" s="1212"/>
      <c r="V9" s="3360">
        <f t="shared" si="1"/>
        <v>0</v>
      </c>
      <c r="W9" s="3754"/>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9" t="s">
        <v>3259</v>
      </c>
      <c r="B20" s="166" t="s">
        <v>1994</v>
      </c>
      <c r="C20" s="3324">
        <f>ROUND(IF(F21="与级别开发程度一致",0,(G21-E21)/C21),0)</f>
        <v>-93</v>
      </c>
      <c r="D20" s="3340" t="s">
        <v>1998</v>
      </c>
      <c r="E20" s="3341"/>
      <c r="F20" s="3765" t="s">
        <v>1995</v>
      </c>
      <c r="G20" s="376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0"/>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45131</v>
      </c>
      <c r="H23" s="3342" t="s">
        <v>3261</v>
      </c>
      <c r="I23" s="3343" t="str">
        <f>IF(H23="季度增幅（自定义）",SUMIF(N25:N28,E2,O25:O28),"")</f>
        <v/>
      </c>
      <c r="J23" s="3445" t="s">
        <v>3260</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0.62549999999999994</v>
      </c>
      <c r="D24" s="2059" t="s">
        <v>2007</v>
      </c>
      <c r="E24" s="1334">
        <f>存贷款利率!E23/100</f>
        <v>4.3499999999999997E-2</v>
      </c>
      <c r="F24" s="2059" t="s">
        <v>1999</v>
      </c>
      <c r="G24" s="767">
        <f>SUMIF(M30:Q30,E2,M33:Q33)</f>
        <v>5.5E-2</v>
      </c>
      <c r="H24" s="2059" t="s">
        <v>2008</v>
      </c>
      <c r="I24" s="768">
        <f>SUMIF('数据-取费表'!C6:C15,E2,'数据-取费表'!F6:F15)/COUNTIF('数据-取费表'!C6:C15,E2)</f>
        <v>15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3397</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1.2333000000000001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195</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0</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3"/>
      <c r="B37" s="2112" t="s">
        <v>2036</v>
      </c>
      <c r="C37" s="174">
        <f>ROUND(D5*C22*C23*C24*C28*F37,0)</f>
        <v>1797</v>
      </c>
      <c r="D37" s="2097"/>
      <c r="E37" s="170">
        <f>ROUND(C37*D37/10000,0)</f>
        <v>0</v>
      </c>
      <c r="F37" s="170">
        <f>SUMIF(修正!A57:A68,G2,修正!B57:B68)</f>
        <v>0.5</v>
      </c>
      <c r="G37" s="170">
        <f>ROUND(IF(E2="工业",C37*$M$42,C37*$M$41),0)</f>
        <v>449</v>
      </c>
      <c r="H37" s="170">
        <f>D37</f>
        <v>0</v>
      </c>
      <c r="I37" s="170">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4"/>
      <c r="B38" s="2040" t="s">
        <v>2037</v>
      </c>
      <c r="C38" s="174">
        <f>ROUND(D5*C22*C23*C24*C28*F38,0)</f>
        <v>719</v>
      </c>
      <c r="D38" s="2097"/>
      <c r="E38" s="170">
        <f t="shared" ref="E38:E42" si="4">ROUND(C38*D38/10000,0)</f>
        <v>0</v>
      </c>
      <c r="F38" s="170">
        <f>SUMIF(修正!A57:A68,G2,修正!C57:C68)</f>
        <v>0.2</v>
      </c>
      <c r="G38" s="170">
        <f>ROUND(IF(E2="工业",C38*$M$42,C38*$M$41),0)</f>
        <v>180</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4"/>
      <c r="B39" s="2040" t="s">
        <v>3264</v>
      </c>
      <c r="C39" s="174">
        <f>ROUND(D5*C22*C23*C24*C28*F39,0)</f>
        <v>719</v>
      </c>
      <c r="D39" s="2097"/>
      <c r="E39" s="170">
        <f t="shared" si="4"/>
        <v>0</v>
      </c>
      <c r="F39" s="170">
        <f>SUMIF(修正!A57:A68,G2,修正!D57:D68)</f>
        <v>0.2</v>
      </c>
      <c r="G39" s="170">
        <f>ROUND(IF(E2="工业",C39*$M$42,C39*$M$41),0)</f>
        <v>180</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719</v>
      </c>
      <c r="D40" s="2097"/>
      <c r="E40" s="170">
        <f t="shared" si="4"/>
        <v>0</v>
      </c>
      <c r="F40" s="174">
        <f>SUMIF(修正!A57:A68,G2,修正!E57:E68)</f>
        <v>0.2</v>
      </c>
      <c r="G40" s="170">
        <f>ROUND(IF(E2="工业",C40*$M$42,C40*$M$41),0)</f>
        <v>180</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v>
      </c>
      <c r="G41" s="170">
        <f>ROUND(IF(E2="工业",C41*$M$42,C41*$M$41),0)</f>
        <v>0</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3398</v>
      </c>
      <c r="D50" s="1064">
        <f t="shared" ref="D50:D58" si="7">SUMIF($J$49:$N$49,C50,J50:N50)</f>
        <v>0</v>
      </c>
      <c r="E50" s="743">
        <f>ROUND(SUM(D50:D58),4)</f>
        <v>0</v>
      </c>
      <c r="F50" s="1813">
        <f>IF(E2="商业",SUMIF(L1:L12,G2,N1:N12),"——")</f>
        <v>0.15</v>
      </c>
      <c r="G50" s="1062"/>
      <c r="H50" s="1065">
        <f t="shared" ref="H50:H58" si="8">IFERROR(ROUNDDOWN($F$50*I50/2,4),"——")</f>
        <v>2.2499999999999999E-2</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f t="shared" si="8"/>
        <v>1.6500000000000001E-2</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c r="D52" s="1064">
        <f t="shared" si="7"/>
        <v>0</v>
      </c>
      <c r="E52" s="744"/>
      <c r="F52" s="1813"/>
      <c r="G52" s="1062"/>
      <c r="H52" s="1065">
        <f t="shared" si="8"/>
        <v>8.9999999999999993E-3</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f t="shared" si="8"/>
        <v>3.7000000000000002E-3</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f t="shared" si="8"/>
        <v>6.0000000000000001E-3</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f t="shared" si="8"/>
        <v>3.7000000000000002E-3</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f t="shared" si="8"/>
        <v>3.7000000000000002E-3</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f t="shared" si="8"/>
        <v>6.0000000000000001E-3</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f t="shared" si="8"/>
        <v>3.7000000000000002E-3</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3275</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3299</v>
      </c>
      <c r="B103" s="3761"/>
      <c r="C103" s="3761"/>
      <c r="D103" s="3761"/>
      <c r="E103" s="3761"/>
      <c r="F103" s="3761"/>
      <c r="G103" s="3761"/>
      <c r="H103" s="3761"/>
      <c r="I103" s="3761"/>
      <c r="J103" s="3761"/>
      <c r="K103" s="3389"/>
      <c r="L103" s="3389"/>
      <c r="M103" s="3389"/>
      <c r="N103" s="3389"/>
    </row>
    <row r="104" spans="1:14">
      <c r="A104" s="3762" t="s">
        <v>3300</v>
      </c>
      <c r="B104" s="3762" t="s">
        <v>3301</v>
      </c>
      <c r="C104" s="3390" t="s">
        <v>3302</v>
      </c>
      <c r="D104" s="3391"/>
      <c r="E104" s="3391"/>
      <c r="F104" s="3391"/>
      <c r="G104" s="3391"/>
      <c r="H104" s="3391"/>
      <c r="I104" s="3391"/>
      <c r="J104" s="3392"/>
      <c r="K104" s="3393"/>
      <c r="L104" s="3393"/>
      <c r="M104" s="3393"/>
      <c r="N104" s="3393"/>
    </row>
    <row r="105" spans="1:14">
      <c r="A105" s="3762"/>
      <c r="B105" s="3762"/>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8"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3316</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1</v>
      </c>
      <c r="C116" s="3399" t="s">
        <v>3318</v>
      </c>
      <c r="D116" s="3400">
        <f>SUMPRODUCT((A118:A122=F116)*(B117:M117=H116)*B118:M122)</f>
        <v>0.8306</v>
      </c>
      <c r="E116" s="1999" t="s">
        <v>3319</v>
      </c>
      <c r="F116" s="3401" t="str">
        <f>E2</f>
        <v>商业</v>
      </c>
      <c r="G116" s="1999" t="s">
        <v>3320</v>
      </c>
      <c r="H116" s="3401" t="str">
        <f>G2</f>
        <v>九级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3334</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3335</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3336</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6" t="s">
        <v>2610</v>
      </c>
      <c r="B20" s="3771" t="s">
        <v>2631</v>
      </c>
      <c r="C20" s="3102" t="s">
        <v>2442</v>
      </c>
      <c r="D20" s="3103"/>
      <c r="E20" s="3104">
        <v>1</v>
      </c>
      <c r="F20" s="3105" t="s">
        <v>2443</v>
      </c>
      <c r="G20" s="3105"/>
    </row>
    <row r="21" spans="1:13" ht="19.5" customHeight="1">
      <c r="A21" s="3777"/>
      <c r="B21" s="3770"/>
      <c r="C21" s="3106" t="s">
        <v>2444</v>
      </c>
      <c r="D21" s="3107"/>
      <c r="E21" s="3108">
        <v>1</v>
      </c>
      <c r="F21" s="3105" t="s">
        <v>2445</v>
      </c>
      <c r="G21" s="3105"/>
    </row>
    <row r="22" spans="1:13" ht="19.5" customHeight="1">
      <c r="A22" s="3777"/>
      <c r="B22" s="3770"/>
      <c r="C22" s="3106" t="s">
        <v>2446</v>
      </c>
      <c r="D22" s="3107"/>
      <c r="E22" s="3108">
        <v>0.9</v>
      </c>
      <c r="F22" s="3105" t="s">
        <v>2447</v>
      </c>
      <c r="G22" s="3105"/>
    </row>
    <row r="23" spans="1:13" ht="19.5" customHeight="1">
      <c r="A23" s="3777"/>
      <c r="B23" s="3770"/>
      <c r="C23" s="3106" t="s">
        <v>2448</v>
      </c>
      <c r="D23" s="3107"/>
      <c r="E23" s="3108">
        <v>0.9</v>
      </c>
      <c r="F23" s="3105" t="s">
        <v>2449</v>
      </c>
      <c r="G23" s="3105"/>
    </row>
    <row r="24" spans="1:13" ht="19.5" customHeight="1">
      <c r="A24" s="3777"/>
      <c r="B24" s="3770"/>
      <c r="C24" s="3106" t="s">
        <v>2450</v>
      </c>
      <c r="D24" s="3107"/>
      <c r="E24" s="3108">
        <v>0.8</v>
      </c>
      <c r="F24" s="3105" t="s">
        <v>2451</v>
      </c>
      <c r="G24" s="3105"/>
    </row>
    <row r="25" spans="1:13" ht="19.5" customHeight="1" thickBot="1">
      <c r="A25" s="3778"/>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1" t="s">
        <v>2615</v>
      </c>
      <c r="C27" s="3102" t="s">
        <v>2455</v>
      </c>
      <c r="D27" s="3103"/>
      <c r="E27" s="3104">
        <v>1</v>
      </c>
      <c r="F27" s="3105" t="s">
        <v>2456</v>
      </c>
      <c r="G27" s="3105"/>
    </row>
    <row r="28" spans="1:13" ht="19.5" customHeight="1">
      <c r="A28" s="3774"/>
      <c r="B28" s="3770"/>
      <c r="C28" s="3106" t="s">
        <v>2457</v>
      </c>
      <c r="D28" s="3107"/>
      <c r="E28" s="3108">
        <v>1</v>
      </c>
      <c r="F28" s="3105" t="s">
        <v>2458</v>
      </c>
      <c r="G28" s="3105"/>
    </row>
    <row r="29" spans="1:13" ht="19.5" customHeight="1">
      <c r="A29" s="3774"/>
      <c r="B29" s="3770"/>
      <c r="C29" s="3106" t="s">
        <v>2459</v>
      </c>
      <c r="D29" s="3107"/>
      <c r="E29" s="3108">
        <v>0.8</v>
      </c>
      <c r="F29" s="3105" t="s">
        <v>2460</v>
      </c>
      <c r="G29" s="3105"/>
    </row>
    <row r="30" spans="1:13" ht="19.5" customHeight="1">
      <c r="A30" s="3774"/>
      <c r="B30" s="3770"/>
      <c r="C30" s="3106" t="s">
        <v>2461</v>
      </c>
      <c r="D30" s="3107"/>
      <c r="E30" s="3108">
        <v>0.8</v>
      </c>
      <c r="F30" s="3105" t="s">
        <v>2462</v>
      </c>
      <c r="G30" s="3105"/>
    </row>
    <row r="31" spans="1:13" ht="19.5" customHeight="1">
      <c r="A31" s="3774"/>
      <c r="B31" s="3770"/>
      <c r="C31" s="3106" t="s">
        <v>2463</v>
      </c>
      <c r="D31" s="3107"/>
      <c r="E31" s="3108">
        <v>0.8</v>
      </c>
      <c r="F31" s="3105" t="s">
        <v>2464</v>
      </c>
      <c r="G31" s="3105"/>
    </row>
    <row r="32" spans="1:13" ht="19.5" customHeight="1">
      <c r="A32" s="3774"/>
      <c r="B32" s="3770"/>
      <c r="C32" s="3106" t="s">
        <v>2465</v>
      </c>
      <c r="D32" s="3107"/>
      <c r="E32" s="3108">
        <v>0.7</v>
      </c>
      <c r="F32" s="3105" t="s">
        <v>2466</v>
      </c>
      <c r="G32" s="3105"/>
    </row>
    <row r="33" spans="1:7" ht="19.5" customHeight="1">
      <c r="A33" s="3774"/>
      <c r="B33" s="3770"/>
      <c r="C33" s="3106" t="s">
        <v>2467</v>
      </c>
      <c r="D33" s="3107"/>
      <c r="E33" s="3108">
        <v>0.8</v>
      </c>
      <c r="F33" s="3105" t="s">
        <v>2468</v>
      </c>
      <c r="G33" s="3105"/>
    </row>
    <row r="34" spans="1:7" ht="19.5" customHeight="1">
      <c r="A34" s="3774"/>
      <c r="B34" s="3770"/>
      <c r="C34" s="3106" t="s">
        <v>2469</v>
      </c>
      <c r="D34" s="3107"/>
      <c r="E34" s="3108">
        <v>0.6</v>
      </c>
      <c r="F34" s="3105" t="s">
        <v>2470</v>
      </c>
      <c r="G34" s="3105"/>
    </row>
    <row r="35" spans="1:7" ht="19.5" customHeight="1">
      <c r="A35" s="3774"/>
      <c r="B35" s="3770"/>
      <c r="C35" s="3106" t="s">
        <v>2471</v>
      </c>
      <c r="D35" s="3107"/>
      <c r="E35" s="3108">
        <v>0.2</v>
      </c>
      <c r="F35" s="3105" t="s">
        <v>2472</v>
      </c>
      <c r="G35" s="3105"/>
    </row>
    <row r="36" spans="1:7" ht="19.5" customHeight="1">
      <c r="A36" s="3774"/>
      <c r="B36" s="3770"/>
      <c r="C36" s="3106" t="s">
        <v>2473</v>
      </c>
      <c r="D36" s="3107"/>
      <c r="E36" s="3108">
        <v>0.2</v>
      </c>
      <c r="F36" s="3105" t="s">
        <v>2474</v>
      </c>
      <c r="G36" s="3105"/>
    </row>
    <row r="37" spans="1:7" ht="19.5" customHeight="1">
      <c r="A37" s="3774"/>
      <c r="B37" s="3768" t="s">
        <v>2635</v>
      </c>
      <c r="C37" s="3106" t="s">
        <v>2475</v>
      </c>
      <c r="D37" s="3107"/>
      <c r="E37" s="3108">
        <v>0.6</v>
      </c>
      <c r="F37" s="3105" t="s">
        <v>2476</v>
      </c>
      <c r="G37" s="3105"/>
    </row>
    <row r="38" spans="1:7" ht="19.5" customHeight="1">
      <c r="A38" s="3774"/>
      <c r="B38" s="3770"/>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6" t="s">
        <v>2613</v>
      </c>
      <c r="B41" s="3771" t="s">
        <v>2637</v>
      </c>
      <c r="C41" s="3102" t="s">
        <v>2482</v>
      </c>
      <c r="D41" s="3103"/>
      <c r="E41" s="3104">
        <v>1</v>
      </c>
      <c r="F41" s="3105" t="s">
        <v>2483</v>
      </c>
      <c r="G41" s="3105"/>
    </row>
    <row r="42" spans="1:7" ht="19.5" customHeight="1">
      <c r="A42" s="3777"/>
      <c r="B42" s="3770"/>
      <c r="C42" s="3106" t="s">
        <v>2484</v>
      </c>
      <c r="D42" s="3107"/>
      <c r="E42" s="3108">
        <v>1</v>
      </c>
      <c r="F42" s="3105" t="s">
        <v>2485</v>
      </c>
      <c r="G42" s="3105"/>
    </row>
    <row r="43" spans="1:7" ht="19.5" customHeight="1">
      <c r="A43" s="3777"/>
      <c r="B43" s="3769"/>
      <c r="C43" s="3106" t="s">
        <v>2486</v>
      </c>
      <c r="D43" s="3107"/>
      <c r="E43" s="3108">
        <v>1.5</v>
      </c>
      <c r="F43" s="3105" t="s">
        <v>2487</v>
      </c>
      <c r="G43" s="3105"/>
    </row>
    <row r="44" spans="1:7" ht="19.5" customHeight="1">
      <c r="A44" s="3777"/>
      <c r="B44" s="3117" t="s">
        <v>2638</v>
      </c>
      <c r="C44" s="3106" t="s">
        <v>2639</v>
      </c>
      <c r="D44" s="3107"/>
      <c r="E44" s="3108">
        <v>2</v>
      </c>
      <c r="F44" s="3105" t="s">
        <v>2488</v>
      </c>
      <c r="G44" s="3105"/>
    </row>
    <row r="45" spans="1:7" ht="19.5" customHeight="1">
      <c r="A45" s="3777"/>
      <c r="B45" s="3768" t="s">
        <v>2640</v>
      </c>
      <c r="C45" s="3106" t="s">
        <v>2489</v>
      </c>
      <c r="D45" s="3107"/>
      <c r="E45" s="3108">
        <v>1</v>
      </c>
      <c r="F45" s="3105" t="s">
        <v>2490</v>
      </c>
      <c r="G45" s="3105"/>
    </row>
    <row r="46" spans="1:7" ht="19.5" customHeight="1">
      <c r="A46" s="3777"/>
      <c r="B46" s="3770"/>
      <c r="C46" s="3106" t="s">
        <v>2491</v>
      </c>
      <c r="D46" s="3107"/>
      <c r="E46" s="3108">
        <v>1</v>
      </c>
      <c r="F46" s="3105" t="s">
        <v>2492</v>
      </c>
      <c r="G46" s="3105"/>
    </row>
    <row r="47" spans="1:7" ht="19.5" customHeight="1">
      <c r="A47" s="3777"/>
      <c r="B47" s="3770"/>
      <c r="C47" s="3106" t="s">
        <v>2493</v>
      </c>
      <c r="D47" s="3107"/>
      <c r="E47" s="3108">
        <v>1</v>
      </c>
      <c r="F47" s="3105" t="s">
        <v>2494</v>
      </c>
      <c r="G47" s="3105"/>
    </row>
    <row r="48" spans="1:7" ht="19.5" customHeight="1">
      <c r="A48" s="3777"/>
      <c r="B48" s="3770"/>
      <c r="C48" s="3106" t="s">
        <v>2495</v>
      </c>
      <c r="D48" s="3107"/>
      <c r="E48" s="3108">
        <v>1</v>
      </c>
      <c r="F48" s="3105" t="s">
        <v>2496</v>
      </c>
      <c r="G48" s="3105"/>
    </row>
    <row r="49" spans="1:7" ht="19.5" customHeight="1">
      <c r="A49" s="3777"/>
      <c r="B49" s="3770"/>
      <c r="C49" s="3106" t="s">
        <v>2497</v>
      </c>
      <c r="D49" s="3107"/>
      <c r="E49" s="3108">
        <v>1</v>
      </c>
      <c r="F49" s="3105" t="s">
        <v>2498</v>
      </c>
      <c r="G49" s="3105"/>
    </row>
    <row r="50" spans="1:7" ht="19.5" customHeight="1">
      <c r="A50" s="3777"/>
      <c r="B50" s="3770"/>
      <c r="C50" s="3106" t="s">
        <v>2499</v>
      </c>
      <c r="D50" s="3107"/>
      <c r="E50" s="3108">
        <v>1</v>
      </c>
      <c r="F50" s="3105" t="s">
        <v>2500</v>
      </c>
      <c r="G50" s="3105"/>
    </row>
    <row r="51" spans="1:7" ht="19.5" customHeight="1" thickBot="1">
      <c r="A51" s="3778"/>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8" t="s">
        <v>2654</v>
      </c>
      <c r="C73" s="3091" t="s">
        <v>2655</v>
      </c>
      <c r="D73" s="3091" t="s">
        <v>2656</v>
      </c>
      <c r="E73" s="3117">
        <v>0.2</v>
      </c>
      <c r="F73" s="3117">
        <v>25</v>
      </c>
    </row>
    <row r="74" spans="1:7" ht="24">
      <c r="A74" s="3117">
        <v>2</v>
      </c>
      <c r="B74" s="3770"/>
      <c r="C74" s="3091" t="s">
        <v>2657</v>
      </c>
      <c r="D74" s="3091" t="s">
        <v>2658</v>
      </c>
      <c r="E74" s="3117">
        <v>0.2</v>
      </c>
      <c r="F74" s="3117">
        <v>25</v>
      </c>
    </row>
    <row r="75" spans="1:7" ht="24">
      <c r="A75" s="3117">
        <v>3</v>
      </c>
      <c r="B75" s="3770"/>
      <c r="C75" s="3091" t="s">
        <v>2659</v>
      </c>
      <c r="D75" s="3091" t="s">
        <v>2660</v>
      </c>
      <c r="E75" s="3117">
        <v>0.2</v>
      </c>
      <c r="F75" s="3117">
        <v>25</v>
      </c>
    </row>
    <row r="76" spans="1:7" ht="13.5">
      <c r="A76" s="3117">
        <v>4</v>
      </c>
      <c r="B76" s="3770"/>
      <c r="C76" s="3091" t="s">
        <v>2661</v>
      </c>
      <c r="D76" s="3091" t="s">
        <v>2662</v>
      </c>
      <c r="E76" s="3117">
        <v>0.15</v>
      </c>
      <c r="F76" s="3117">
        <v>20</v>
      </c>
    </row>
    <row r="77" spans="1:7" ht="24">
      <c r="A77" s="3117">
        <v>5</v>
      </c>
      <c r="B77" s="3770"/>
      <c r="C77" s="3091" t="s">
        <v>2663</v>
      </c>
      <c r="D77" s="3091" t="s">
        <v>2664</v>
      </c>
      <c r="E77" s="3117">
        <v>0.15</v>
      </c>
      <c r="F77" s="3117">
        <v>20</v>
      </c>
    </row>
    <row r="78" spans="1:7" ht="24">
      <c r="A78" s="3117">
        <v>6</v>
      </c>
      <c r="B78" s="3770"/>
      <c r="C78" s="3091" t="s">
        <v>2665</v>
      </c>
      <c r="D78" s="3091" t="s">
        <v>2666</v>
      </c>
      <c r="E78" s="3117">
        <v>0.15</v>
      </c>
      <c r="F78" s="3117">
        <v>20</v>
      </c>
    </row>
    <row r="79" spans="1:7" ht="24">
      <c r="A79" s="3117">
        <v>7</v>
      </c>
      <c r="B79" s="3770"/>
      <c r="C79" s="3091" t="s">
        <v>2667</v>
      </c>
      <c r="D79" s="3091" t="s">
        <v>2668</v>
      </c>
      <c r="E79" s="3117">
        <v>0.15</v>
      </c>
      <c r="F79" s="3117">
        <v>20</v>
      </c>
    </row>
    <row r="80" spans="1:7" ht="24">
      <c r="A80" s="3117">
        <v>8</v>
      </c>
      <c r="B80" s="3770"/>
      <c r="C80" s="3091" t="s">
        <v>2669</v>
      </c>
      <c r="D80" s="3091" t="s">
        <v>2670</v>
      </c>
      <c r="E80" s="3117">
        <v>0.1</v>
      </c>
      <c r="F80" s="3117">
        <v>15</v>
      </c>
    </row>
    <row r="81" spans="1:6" ht="24">
      <c r="A81" s="3117">
        <v>9</v>
      </c>
      <c r="B81" s="3770"/>
      <c r="C81" s="3091" t="s">
        <v>2671</v>
      </c>
      <c r="D81" s="3091" t="s">
        <v>2672</v>
      </c>
      <c r="E81" s="3117">
        <v>0.1</v>
      </c>
      <c r="F81" s="3117">
        <v>15</v>
      </c>
    </row>
    <row r="82" spans="1:6" ht="24">
      <c r="A82" s="3117">
        <v>10</v>
      </c>
      <c r="B82" s="3770"/>
      <c r="C82" s="3091" t="s">
        <v>2673</v>
      </c>
      <c r="D82" s="3091" t="s">
        <v>2674</v>
      </c>
      <c r="E82" s="3117">
        <v>0.1</v>
      </c>
      <c r="F82" s="3117">
        <v>15</v>
      </c>
    </row>
    <row r="83" spans="1:6" ht="24">
      <c r="A83" s="3117">
        <v>11</v>
      </c>
      <c r="B83" s="3770"/>
      <c r="C83" s="3091" t="s">
        <v>2675</v>
      </c>
      <c r="D83" s="3091" t="s">
        <v>2676</v>
      </c>
      <c r="E83" s="3117">
        <v>0.1</v>
      </c>
      <c r="F83" s="3117">
        <v>15</v>
      </c>
    </row>
    <row r="84" spans="1:6" ht="24">
      <c r="A84" s="3117">
        <v>12</v>
      </c>
      <c r="B84" s="3770"/>
      <c r="C84" s="3091" t="s">
        <v>2677</v>
      </c>
      <c r="D84" s="3091" t="s">
        <v>2678</v>
      </c>
      <c r="E84" s="3117">
        <v>0.1</v>
      </c>
      <c r="F84" s="3117">
        <v>15</v>
      </c>
    </row>
    <row r="85" spans="1:6" ht="13.5">
      <c r="A85" s="3117">
        <v>13</v>
      </c>
      <c r="B85" s="3770"/>
      <c r="C85" s="3091" t="s">
        <v>2679</v>
      </c>
      <c r="D85" s="3091" t="s">
        <v>2680</v>
      </c>
      <c r="E85" s="3117">
        <v>0.1</v>
      </c>
      <c r="F85" s="3117">
        <v>15</v>
      </c>
    </row>
    <row r="86" spans="1:6" ht="13.5">
      <c r="A86" s="3117">
        <v>14</v>
      </c>
      <c r="B86" s="3770"/>
      <c r="C86" s="3091" t="s">
        <v>2681</v>
      </c>
      <c r="D86" s="3091" t="s">
        <v>2682</v>
      </c>
      <c r="E86" s="3117">
        <v>0.1</v>
      </c>
      <c r="F86" s="3117">
        <v>15</v>
      </c>
    </row>
    <row r="87" spans="1:6" ht="13.5">
      <c r="A87" s="3117">
        <v>15</v>
      </c>
      <c r="B87" s="3770"/>
      <c r="C87" s="3091" t="s">
        <v>2683</v>
      </c>
      <c r="D87" s="3091" t="s">
        <v>2684</v>
      </c>
      <c r="E87" s="3117">
        <v>0.1</v>
      </c>
      <c r="F87" s="3117">
        <v>15</v>
      </c>
    </row>
    <row r="88" spans="1:6" ht="24">
      <c r="A88" s="3117">
        <v>16</v>
      </c>
      <c r="B88" s="3770"/>
      <c r="C88" s="3091" t="s">
        <v>2685</v>
      </c>
      <c r="D88" s="3091" t="s">
        <v>2686</v>
      </c>
      <c r="E88" s="3117">
        <v>0.1</v>
      </c>
      <c r="F88" s="3117">
        <v>15</v>
      </c>
    </row>
    <row r="89" spans="1:6" ht="24">
      <c r="A89" s="3117">
        <v>17</v>
      </c>
      <c r="B89" s="3769"/>
      <c r="C89" s="3091" t="s">
        <v>2687</v>
      </c>
      <c r="D89" s="3091" t="s">
        <v>2688</v>
      </c>
      <c r="E89" s="3117">
        <v>0.1</v>
      </c>
      <c r="F89" s="3117">
        <v>15</v>
      </c>
    </row>
    <row r="90" spans="1:6" ht="13.5">
      <c r="A90" s="3117">
        <v>18</v>
      </c>
      <c r="B90" s="3768" t="s">
        <v>2689</v>
      </c>
      <c r="C90" s="3091" t="s">
        <v>2690</v>
      </c>
      <c r="D90" s="3091" t="s">
        <v>2691</v>
      </c>
      <c r="E90" s="3117">
        <v>0.2</v>
      </c>
      <c r="F90" s="3117">
        <v>25</v>
      </c>
    </row>
    <row r="91" spans="1:6" ht="24">
      <c r="A91" s="3117">
        <v>19</v>
      </c>
      <c r="B91" s="3770"/>
      <c r="C91" s="3091" t="s">
        <v>2692</v>
      </c>
      <c r="D91" s="3091" t="s">
        <v>2693</v>
      </c>
      <c r="E91" s="3117">
        <v>0.2</v>
      </c>
      <c r="F91" s="3117">
        <v>25</v>
      </c>
    </row>
    <row r="92" spans="1:6" ht="13.5">
      <c r="A92" s="3117">
        <v>20</v>
      </c>
      <c r="B92" s="3770"/>
      <c r="C92" s="3091" t="s">
        <v>2694</v>
      </c>
      <c r="D92" s="3091" t="s">
        <v>2695</v>
      </c>
      <c r="E92" s="3117">
        <v>0.15</v>
      </c>
      <c r="F92" s="3117">
        <v>20</v>
      </c>
    </row>
    <row r="93" spans="1:6" ht="13.5">
      <c r="A93" s="3117">
        <v>21</v>
      </c>
      <c r="B93" s="3770"/>
      <c r="C93" s="3091" t="s">
        <v>2696</v>
      </c>
      <c r="D93" s="3091" t="s">
        <v>2697</v>
      </c>
      <c r="E93" s="3117">
        <v>0.15</v>
      </c>
      <c r="F93" s="3117">
        <v>20</v>
      </c>
    </row>
    <row r="94" spans="1:6" ht="13.5">
      <c r="A94" s="3117">
        <v>22</v>
      </c>
      <c r="B94" s="3770"/>
      <c r="C94" s="3091" t="s">
        <v>2698</v>
      </c>
      <c r="D94" s="3091" t="s">
        <v>2699</v>
      </c>
      <c r="E94" s="3117">
        <v>0.15</v>
      </c>
      <c r="F94" s="3117">
        <v>20</v>
      </c>
    </row>
    <row r="95" spans="1:6" ht="36">
      <c r="A95" s="3117">
        <v>23</v>
      </c>
      <c r="B95" s="3770"/>
      <c r="C95" s="3091" t="s">
        <v>2700</v>
      </c>
      <c r="D95" s="3091" t="s">
        <v>2701</v>
      </c>
      <c r="E95" s="3117">
        <v>0.15</v>
      </c>
      <c r="F95" s="3117">
        <v>20</v>
      </c>
    </row>
    <row r="96" spans="1:6" ht="13.5">
      <c r="A96" s="3117">
        <v>24</v>
      </c>
      <c r="B96" s="3770"/>
      <c r="C96" s="3091" t="s">
        <v>2702</v>
      </c>
      <c r="D96" s="3091" t="s">
        <v>2703</v>
      </c>
      <c r="E96" s="3117">
        <v>0.1</v>
      </c>
      <c r="F96" s="3117">
        <v>15</v>
      </c>
    </row>
    <row r="97" spans="1:6" ht="13.5">
      <c r="A97" s="3117">
        <v>25</v>
      </c>
      <c r="B97" s="3770"/>
      <c r="C97" s="3091" t="s">
        <v>2704</v>
      </c>
      <c r="D97" s="3091" t="s">
        <v>2705</v>
      </c>
      <c r="E97" s="3117">
        <v>0.1</v>
      </c>
      <c r="F97" s="3117">
        <v>15</v>
      </c>
    </row>
    <row r="98" spans="1:6" ht="24">
      <c r="A98" s="3117">
        <v>26</v>
      </c>
      <c r="B98" s="3770"/>
      <c r="C98" s="3091" t="s">
        <v>2706</v>
      </c>
      <c r="D98" s="3091" t="s">
        <v>2707</v>
      </c>
      <c r="E98" s="3117">
        <v>0.1</v>
      </c>
      <c r="F98" s="3117">
        <v>15</v>
      </c>
    </row>
    <row r="99" spans="1:6" ht="24">
      <c r="A99" s="3117">
        <v>27</v>
      </c>
      <c r="B99" s="3770"/>
      <c r="C99" s="3091" t="s">
        <v>2708</v>
      </c>
      <c r="D99" s="3091" t="s">
        <v>2709</v>
      </c>
      <c r="E99" s="3117">
        <v>0.1</v>
      </c>
      <c r="F99" s="3117">
        <v>15</v>
      </c>
    </row>
    <row r="100" spans="1:6" ht="13.5">
      <c r="A100" s="3117">
        <v>28</v>
      </c>
      <c r="B100" s="3770"/>
      <c r="C100" s="3091" t="s">
        <v>2710</v>
      </c>
      <c r="D100" s="3091" t="s">
        <v>2711</v>
      </c>
      <c r="E100" s="3117">
        <v>0.1</v>
      </c>
      <c r="F100" s="3117">
        <v>15</v>
      </c>
    </row>
    <row r="101" spans="1:6" ht="13.5">
      <c r="A101" s="3117">
        <v>29</v>
      </c>
      <c r="B101" s="3770"/>
      <c r="C101" s="3091" t="s">
        <v>2712</v>
      </c>
      <c r="D101" s="3091" t="s">
        <v>2713</v>
      </c>
      <c r="E101" s="3117">
        <v>0.1</v>
      </c>
      <c r="F101" s="3117">
        <v>15</v>
      </c>
    </row>
    <row r="102" spans="1:6" ht="13.5">
      <c r="A102" s="3117">
        <v>30</v>
      </c>
      <c r="B102" s="3770"/>
      <c r="C102" s="3091" t="s">
        <v>2714</v>
      </c>
      <c r="D102" s="3091" t="s">
        <v>2715</v>
      </c>
      <c r="E102" s="3117">
        <v>0.1</v>
      </c>
      <c r="F102" s="3117">
        <v>15</v>
      </c>
    </row>
    <row r="103" spans="1:6" ht="24">
      <c r="A103" s="3117">
        <v>31</v>
      </c>
      <c r="B103" s="3770"/>
      <c r="C103" s="3091" t="s">
        <v>2716</v>
      </c>
      <c r="D103" s="3091" t="s">
        <v>2717</v>
      </c>
      <c r="E103" s="3117">
        <v>0.1</v>
      </c>
      <c r="F103" s="3117">
        <v>15</v>
      </c>
    </row>
    <row r="104" spans="1:6" ht="24">
      <c r="A104" s="3117">
        <v>32</v>
      </c>
      <c r="B104" s="3770"/>
      <c r="C104" s="3091" t="s">
        <v>2718</v>
      </c>
      <c r="D104" s="3091" t="s">
        <v>2719</v>
      </c>
      <c r="E104" s="3117">
        <v>0.1</v>
      </c>
      <c r="F104" s="3117">
        <v>15</v>
      </c>
    </row>
    <row r="105" spans="1:6" ht="24">
      <c r="A105" s="3117">
        <v>33</v>
      </c>
      <c r="B105" s="3770"/>
      <c r="C105" s="3091" t="s">
        <v>2720</v>
      </c>
      <c r="D105" s="3091" t="s">
        <v>2721</v>
      </c>
      <c r="E105" s="3117">
        <v>0.1</v>
      </c>
      <c r="F105" s="3117">
        <v>15</v>
      </c>
    </row>
    <row r="106" spans="1:6" ht="24">
      <c r="A106" s="3117">
        <v>34</v>
      </c>
      <c r="B106" s="3769"/>
      <c r="C106" s="3091" t="s">
        <v>2722</v>
      </c>
      <c r="D106" s="3091" t="s">
        <v>2723</v>
      </c>
      <c r="E106" s="3117">
        <v>0.1</v>
      </c>
      <c r="F106" s="3117">
        <v>15</v>
      </c>
    </row>
    <row r="107" spans="1:6" ht="24">
      <c r="A107" s="3117">
        <v>35</v>
      </c>
      <c r="B107" s="3768" t="s">
        <v>2724</v>
      </c>
      <c r="C107" s="3117" t="s">
        <v>2725</v>
      </c>
      <c r="D107" s="3091" t="s">
        <v>2726</v>
      </c>
      <c r="E107" s="3117">
        <v>0.15</v>
      </c>
      <c r="F107" s="3117">
        <v>20</v>
      </c>
    </row>
    <row r="108" spans="1:6" ht="13.5">
      <c r="A108" s="3117">
        <v>36</v>
      </c>
      <c r="B108" s="3770"/>
      <c r="C108" s="3117" t="s">
        <v>2727</v>
      </c>
      <c r="D108" s="3091" t="s">
        <v>2728</v>
      </c>
      <c r="E108" s="3117">
        <v>0.15</v>
      </c>
      <c r="F108" s="3117">
        <v>20</v>
      </c>
    </row>
    <row r="109" spans="1:6" ht="13.5">
      <c r="A109" s="3117">
        <v>37</v>
      </c>
      <c r="B109" s="3770"/>
      <c r="C109" s="3117" t="s">
        <v>2729</v>
      </c>
      <c r="D109" s="3091" t="s">
        <v>2730</v>
      </c>
      <c r="E109" s="3117">
        <v>0.15</v>
      </c>
      <c r="F109" s="3117">
        <v>20</v>
      </c>
    </row>
    <row r="110" spans="1:6" ht="13.5">
      <c r="A110" s="3117">
        <v>38</v>
      </c>
      <c r="B110" s="3770"/>
      <c r="C110" s="3117" t="s">
        <v>2731</v>
      </c>
      <c r="D110" s="3091" t="s">
        <v>2732</v>
      </c>
      <c r="E110" s="3117">
        <v>0.1</v>
      </c>
      <c r="F110" s="3117">
        <v>15</v>
      </c>
    </row>
    <row r="111" spans="1:6" ht="24">
      <c r="A111" s="3117">
        <v>39</v>
      </c>
      <c r="B111" s="3770"/>
      <c r="C111" s="3117" t="s">
        <v>2733</v>
      </c>
      <c r="D111" s="3091" t="s">
        <v>2734</v>
      </c>
      <c r="E111" s="3117">
        <v>0.1</v>
      </c>
      <c r="F111" s="3117">
        <v>15</v>
      </c>
    </row>
    <row r="112" spans="1:6" ht="24">
      <c r="A112" s="3117">
        <v>40</v>
      </c>
      <c r="B112" s="3769"/>
      <c r="C112" s="3117" t="s">
        <v>2735</v>
      </c>
      <c r="D112" s="3091" t="s">
        <v>2736</v>
      </c>
      <c r="E112" s="3117">
        <v>0.1</v>
      </c>
      <c r="F112" s="3117">
        <v>15</v>
      </c>
    </row>
    <row r="113" spans="1:6" ht="13.5">
      <c r="A113" s="3117">
        <v>41</v>
      </c>
      <c r="B113" s="3767" t="s">
        <v>2737</v>
      </c>
      <c r="C113" s="3117" t="s">
        <v>2738</v>
      </c>
      <c r="D113" s="3091" t="s">
        <v>2739</v>
      </c>
      <c r="E113" s="3117">
        <v>0.1</v>
      </c>
      <c r="F113" s="3117">
        <v>15</v>
      </c>
    </row>
    <row r="114" spans="1:6" ht="13.5">
      <c r="A114" s="3117">
        <v>42</v>
      </c>
      <c r="B114" s="3767"/>
      <c r="C114" s="3117" t="s">
        <v>2740</v>
      </c>
      <c r="D114" s="3091" t="s">
        <v>2741</v>
      </c>
      <c r="E114" s="3117">
        <v>0.1</v>
      </c>
      <c r="F114" s="3117">
        <v>15</v>
      </c>
    </row>
    <row r="115" spans="1:6" ht="24">
      <c r="A115" s="3117">
        <v>43</v>
      </c>
      <c r="B115" s="3767"/>
      <c r="C115" s="3117" t="s">
        <v>2742</v>
      </c>
      <c r="D115" s="3091" t="s">
        <v>2743</v>
      </c>
      <c r="E115" s="3117">
        <v>0.1</v>
      </c>
      <c r="F115" s="3117">
        <v>15</v>
      </c>
    </row>
    <row r="116" spans="1:6" ht="13.5">
      <c r="A116" s="3117">
        <v>44</v>
      </c>
      <c r="B116" s="3768" t="s">
        <v>2744</v>
      </c>
      <c r="C116" s="3117" t="s">
        <v>2745</v>
      </c>
      <c r="D116" s="3091" t="s">
        <v>2746</v>
      </c>
      <c r="E116" s="3117">
        <v>0.1</v>
      </c>
      <c r="F116" s="3117">
        <v>15</v>
      </c>
    </row>
    <row r="117" spans="1:6" ht="24">
      <c r="A117" s="3117">
        <v>45</v>
      </c>
      <c r="B117" s="3769"/>
      <c r="C117" s="3091" t="s">
        <v>2747</v>
      </c>
      <c r="D117" s="3091" t="s">
        <v>2748</v>
      </c>
      <c r="E117" s="3117">
        <v>0.1</v>
      </c>
      <c r="F117" s="3117">
        <v>15</v>
      </c>
    </row>
    <row r="118" spans="1:6" ht="24">
      <c r="A118" s="3117">
        <v>46</v>
      </c>
      <c r="B118" s="3768" t="s">
        <v>2749</v>
      </c>
      <c r="C118" s="3117" t="s">
        <v>2750</v>
      </c>
      <c r="D118" s="3091" t="s">
        <v>2751</v>
      </c>
      <c r="E118" s="3117">
        <v>0.1</v>
      </c>
      <c r="F118" s="3117">
        <v>15</v>
      </c>
    </row>
    <row r="119" spans="1:6" ht="24">
      <c r="A119" s="3117">
        <v>47</v>
      </c>
      <c r="B119" s="3769"/>
      <c r="C119" s="3117" t="s">
        <v>2752</v>
      </c>
      <c r="D119" s="3091" t="s">
        <v>2753</v>
      </c>
      <c r="E119" s="3117">
        <v>0.1</v>
      </c>
      <c r="F119" s="3117">
        <v>15</v>
      </c>
    </row>
    <row r="120" spans="1:6" ht="13.5">
      <c r="A120" s="3117">
        <v>48</v>
      </c>
      <c r="B120" s="3768" t="s">
        <v>2754</v>
      </c>
      <c r="C120" s="3117" t="s">
        <v>2755</v>
      </c>
      <c r="D120" s="3091" t="s">
        <v>2756</v>
      </c>
      <c r="E120" s="3117">
        <v>0.1</v>
      </c>
      <c r="F120" s="3117">
        <v>15</v>
      </c>
    </row>
    <row r="121" spans="1:6" ht="13.5">
      <c r="A121" s="3117">
        <v>49</v>
      </c>
      <c r="B121" s="3769"/>
      <c r="C121" s="3117" t="s">
        <v>2757</v>
      </c>
      <c r="D121" s="3091" t="s">
        <v>2758</v>
      </c>
      <c r="E121" s="3117">
        <v>0.1</v>
      </c>
      <c r="F121" s="3117">
        <v>15</v>
      </c>
    </row>
    <row r="122" spans="1:6" ht="24">
      <c r="A122" s="3117">
        <v>50</v>
      </c>
      <c r="B122" s="3767" t="s">
        <v>2759</v>
      </c>
      <c r="C122" s="3117" t="s">
        <v>2760</v>
      </c>
      <c r="D122" s="3091" t="s">
        <v>2761</v>
      </c>
      <c r="E122" s="3117">
        <v>0.1</v>
      </c>
      <c r="F122" s="3117">
        <v>15</v>
      </c>
    </row>
    <row r="123" spans="1:6" ht="24">
      <c r="A123" s="3117">
        <v>51</v>
      </c>
      <c r="B123" s="3767"/>
      <c r="C123" s="3117" t="s">
        <v>2762</v>
      </c>
      <c r="D123" s="3091" t="s">
        <v>2763</v>
      </c>
      <c r="E123" s="3117">
        <v>0.1</v>
      </c>
      <c r="F123" s="3117">
        <v>15</v>
      </c>
    </row>
    <row r="124" spans="1:6" ht="24">
      <c r="A124" s="3117">
        <v>52</v>
      </c>
      <c r="B124" s="3767" t="s">
        <v>2764</v>
      </c>
      <c r="C124" s="3117" t="s">
        <v>2765</v>
      </c>
      <c r="D124" s="3091" t="s">
        <v>2766</v>
      </c>
      <c r="E124" s="3117">
        <v>0.1</v>
      </c>
      <c r="F124" s="3117">
        <v>15</v>
      </c>
    </row>
    <row r="125" spans="1:6" ht="24">
      <c r="A125" s="3117">
        <v>53</v>
      </c>
      <c r="B125" s="376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7" t="s">
        <v>2772</v>
      </c>
      <c r="C127" s="3117" t="s">
        <v>2773</v>
      </c>
      <c r="D127" s="3091" t="s">
        <v>2774</v>
      </c>
      <c r="E127" s="3117">
        <v>0.1</v>
      </c>
      <c r="F127" s="3117">
        <v>15</v>
      </c>
    </row>
    <row r="128" spans="1:6" ht="13.5">
      <c r="A128" s="3117">
        <v>56</v>
      </c>
      <c r="B128" s="3767"/>
      <c r="C128" s="3117" t="s">
        <v>2775</v>
      </c>
      <c r="D128" s="3091" t="s">
        <v>2776</v>
      </c>
      <c r="E128" s="3117">
        <v>0.1</v>
      </c>
      <c r="F128" s="3117">
        <v>15</v>
      </c>
    </row>
    <row r="129" spans="1:6" ht="24">
      <c r="A129" s="3117">
        <v>57</v>
      </c>
      <c r="B129" s="3767"/>
      <c r="C129" s="3117" t="s">
        <v>2777</v>
      </c>
      <c r="D129" s="3091" t="s">
        <v>2778</v>
      </c>
      <c r="E129" s="3117">
        <v>0.1</v>
      </c>
      <c r="F129" s="3117">
        <v>15</v>
      </c>
    </row>
    <row r="130" spans="1:6" ht="24">
      <c r="A130" s="3117">
        <v>58</v>
      </c>
      <c r="B130" s="3767" t="s">
        <v>2779</v>
      </c>
      <c r="C130" s="3117" t="s">
        <v>2780</v>
      </c>
      <c r="D130" s="3091" t="s">
        <v>2781</v>
      </c>
      <c r="E130" s="3117">
        <v>0.1</v>
      </c>
      <c r="F130" s="3117">
        <v>15</v>
      </c>
    </row>
    <row r="131" spans="1:6" ht="13.5">
      <c r="A131" s="3117">
        <v>59</v>
      </c>
      <c r="B131" s="3767"/>
      <c r="C131" s="3117" t="s">
        <v>2782</v>
      </c>
      <c r="D131" s="3091" t="s">
        <v>2783</v>
      </c>
      <c r="E131" s="3117">
        <v>0.1</v>
      </c>
      <c r="F131" s="3117">
        <v>15</v>
      </c>
    </row>
    <row r="132" spans="1:6" ht="13.5">
      <c r="A132" s="3117">
        <v>60</v>
      </c>
      <c r="B132" s="3768" t="s">
        <v>2784</v>
      </c>
      <c r="C132" s="3117" t="s">
        <v>2785</v>
      </c>
      <c r="D132" s="3091" t="s">
        <v>2786</v>
      </c>
      <c r="E132" s="3117">
        <v>0.1</v>
      </c>
      <c r="F132" s="3117">
        <v>15</v>
      </c>
    </row>
    <row r="133" spans="1:6" ht="13.5">
      <c r="A133" s="3117">
        <v>61</v>
      </c>
      <c r="B133" s="376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7" t="s">
        <v>2792</v>
      </c>
      <c r="C135" s="3117" t="s">
        <v>2793</v>
      </c>
      <c r="D135" s="3091" t="s">
        <v>2794</v>
      </c>
      <c r="E135" s="3117">
        <v>0.1</v>
      </c>
      <c r="F135" s="3117">
        <v>15</v>
      </c>
    </row>
    <row r="136" spans="1:6" ht="13.5">
      <c r="A136" s="3117">
        <v>64</v>
      </c>
      <c r="B136" s="376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29010</v>
      </c>
      <c r="C2" s="2" t="s">
        <v>106</v>
      </c>
      <c r="D2" s="198"/>
      <c r="E2" s="198"/>
      <c r="F2" s="198"/>
      <c r="G2" s="198"/>
    </row>
    <row r="3" spans="1:7" s="199" customFormat="1" ht="18" customHeight="1" thickBot="1">
      <c r="A3" s="202" t="s">
        <v>58</v>
      </c>
      <c r="B3" s="203">
        <f ca="1">ROUND(B2*10000/'数据-汇总表'!E3,0)</f>
        <v>597578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9</v>
      </c>
      <c r="D10" s="844">
        <f>'数据-汇总表'!E6</f>
        <v>485.45999999999992</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10</v>
      </c>
      <c r="D19" s="848">
        <f>'数据-汇总表'!E3</f>
        <v>485.45999999999992</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1505</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4206</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4206</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28</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10</v>
      </c>
      <c r="D37" s="216">
        <f>'数据-汇总表'!E3</f>
        <v>485.45999999999992</v>
      </c>
      <c r="E37" s="248">
        <f>'数据-取费表'!B35</f>
        <v>200</v>
      </c>
      <c r="F37" s="258"/>
      <c r="G37" s="260" t="s">
        <v>92</v>
      </c>
    </row>
    <row r="38" spans="1:7" ht="13.5" customHeight="1">
      <c r="A38" s="779" t="s">
        <v>354</v>
      </c>
      <c r="B38" s="214" t="s">
        <v>36</v>
      </c>
      <c r="C38" s="219">
        <f>ROUND(C34*F38,0)</f>
        <v>0</v>
      </c>
      <c r="D38" s="219"/>
      <c r="E38" s="219"/>
      <c r="F38" s="258">
        <f>'数据-取费表'!B36</f>
        <v>1.4999999999999999E-2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v>
      </c>
      <c r="D42" s="237"/>
      <c r="E42" s="237"/>
      <c r="F42" s="238"/>
      <c r="G42" s="3643" t="s">
        <v>94</v>
      </c>
    </row>
    <row r="43" spans="1:7" ht="13.5" customHeight="1">
      <c r="A43" s="779" t="s">
        <v>347</v>
      </c>
      <c r="B43" s="214" t="s">
        <v>426</v>
      </c>
      <c r="C43" s="237">
        <f ca="1">ROUND(IF('数据-取费表'!B22&lt;=1,C39*F22*'数据-取费表'!B21/2,C39*(POWER((1+F22),'数据-取费表'!B21/2)-1)),0)</f>
        <v>0</v>
      </c>
      <c r="D43" s="237"/>
      <c r="E43" s="237"/>
      <c r="F43" s="238"/>
      <c r="G43" s="3644"/>
    </row>
    <row r="44" spans="1:7" ht="13.5" customHeight="1">
      <c r="A44" s="779" t="s">
        <v>348</v>
      </c>
      <c r="B44" s="214" t="s">
        <v>428</v>
      </c>
      <c r="C44" s="237">
        <f ca="1">ROUND(IF('数据-取费表'!B22&lt;=1,C40*F22*'数据-取费表'!B21/2,C40*(POWER((1+F22),'数据-取费表'!B21/2)-1)),4)</f>
        <v>6.9999999999999999E-4</v>
      </c>
      <c r="D44" s="237"/>
      <c r="E44" s="237"/>
      <c r="F44" s="238"/>
      <c r="G44" s="3645"/>
    </row>
    <row r="45" spans="1:7" s="213" customFormat="1" ht="13.5" customHeight="1">
      <c r="A45" s="776" t="s">
        <v>341</v>
      </c>
      <c r="B45" s="243" t="s">
        <v>85</v>
      </c>
      <c r="C45" s="244">
        <f>C46</f>
        <v>8</v>
      </c>
      <c r="D45" s="234">
        <f>C47</f>
        <v>4.0000000000000001E-3</v>
      </c>
      <c r="E45" s="235" t="s">
        <v>102</v>
      </c>
      <c r="F45" s="245"/>
      <c r="G45" s="246" t="s">
        <v>434</v>
      </c>
    </row>
    <row r="46" spans="1:7" s="213" customFormat="1" ht="13.5" customHeight="1">
      <c r="A46" s="779" t="s">
        <v>349</v>
      </c>
      <c r="B46" s="247" t="s">
        <v>427</v>
      </c>
      <c r="C46" s="248">
        <f>ROUND((C33+C39)*F27,0)</f>
        <v>8</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53</v>
      </c>
      <c r="D49" s="231"/>
      <c r="E49" s="231"/>
      <c r="F49" s="263"/>
      <c r="G49" s="233" t="s">
        <v>435</v>
      </c>
    </row>
    <row r="50" spans="1:7" s="257" customFormat="1" ht="24">
      <c r="A50" s="776" t="s">
        <v>344</v>
      </c>
      <c r="B50" s="209" t="s">
        <v>97</v>
      </c>
      <c r="C50" s="231"/>
      <c r="D50" s="231"/>
      <c r="E50" s="231"/>
      <c r="F50" s="263">
        <f>IF('数据-取费表'!B24=0,'数据-取费表'!N16,1)</f>
        <v>0.61699999999999999</v>
      </c>
      <c r="G50" s="246" t="s">
        <v>98</v>
      </c>
    </row>
    <row r="51" spans="1:7" ht="16.5" customHeight="1">
      <c r="A51" s="776" t="s">
        <v>345</v>
      </c>
      <c r="B51" s="209" t="s">
        <v>105</v>
      </c>
      <c r="C51" s="231">
        <f ca="1">ROUND(C49*F50,0)</f>
        <v>33</v>
      </c>
      <c r="D51" s="231"/>
      <c r="E51" s="231"/>
      <c r="F51" s="263"/>
      <c r="G51" s="233" t="s">
        <v>37</v>
      </c>
    </row>
    <row r="52" spans="1:7" s="207" customFormat="1" ht="16.5" thickBot="1">
      <c r="A52" s="264" t="s">
        <v>38</v>
      </c>
      <c r="B52" s="265"/>
      <c r="C52" s="266">
        <f ca="1">C31+C51</f>
        <v>29010</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t="e">
        <f ca="1">结果表!H101</f>
        <v>#REF!</v>
      </c>
      <c r="E5" s="1490"/>
    </row>
    <row r="6" spans="1:5" ht="15.75">
      <c r="A6" s="1490"/>
      <c r="B6" s="3462"/>
      <c r="C6" s="1493" t="s">
        <v>911</v>
      </c>
      <c r="D6" s="849" t="e">
        <f ca="1">NUMBERSTRING(INT(D5*10000),2)&amp;"元整"</f>
        <v>#REF!</v>
      </c>
      <c r="E6" s="1490"/>
    </row>
    <row r="7" spans="1:5" ht="15.75">
      <c r="A7" s="1490"/>
      <c r="B7" s="3467"/>
      <c r="C7" s="1494" t="s">
        <v>912</v>
      </c>
      <c r="D7" s="850" t="e">
        <f ca="1">结果表!H102</f>
        <v>#REF!</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t="e">
        <f ca="1">结果表!H107</f>
        <v>#REF!</v>
      </c>
      <c r="E13" s="1490"/>
    </row>
    <row r="14" spans="1:5" ht="15.75">
      <c r="A14" s="1490"/>
      <c r="B14" s="3462"/>
      <c r="C14" s="1493" t="s">
        <v>911</v>
      </c>
      <c r="D14" s="849" t="e">
        <f ca="1">NUMBERSTRING(INT(D13*10000),2)&amp;"元整"</f>
        <v>#REF!</v>
      </c>
      <c r="E14" s="1490"/>
    </row>
    <row r="15" spans="1:5" ht="15">
      <c r="A15" s="1490"/>
      <c r="B15" s="3467"/>
      <c r="C15" s="1494" t="s">
        <v>921</v>
      </c>
      <c r="D15" s="858" t="e">
        <f ca="1">结果表!H108</f>
        <v>#REF!</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v>
      </c>
      <c r="C19" s="1498" t="s">
        <v>910</v>
      </c>
      <c r="D19" s="850" t="str">
        <f>结果表!H111</f>
        <v>——</v>
      </c>
      <c r="E19" s="1490"/>
    </row>
    <row r="20" spans="1:5" ht="15.75">
      <c r="A20" s="1490"/>
      <c r="B20" s="3462"/>
      <c r="C20" s="1493" t="s">
        <v>923</v>
      </c>
      <c r="D20" s="849" t="e">
        <f>NUMBERSTRING(INT(D19*10000),2)&amp;"元整"</f>
        <v>#VALUE!</v>
      </c>
      <c r="E20" s="1490"/>
    </row>
    <row r="21" spans="1:5" ht="15.75" thickBot="1">
      <c r="A21" s="1490"/>
      <c r="B21" s="346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2844</v>
      </c>
      <c r="B1" s="3781"/>
      <c r="C1" s="3781"/>
      <c r="D1" s="3781"/>
      <c r="E1" s="3781"/>
      <c r="F1" s="3781"/>
      <c r="G1" s="3782"/>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9"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0"/>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3186</v>
      </c>
      <c r="B1" s="3783"/>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4" t="s">
        <v>3237</v>
      </c>
      <c r="B1" s="3784"/>
      <c r="C1" s="3784"/>
      <c r="D1" s="3784"/>
      <c r="E1" s="3784"/>
      <c r="F1" s="3785"/>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45131</v>
      </c>
      <c r="B1" s="3209" t="s">
        <v>2843</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6" t="s">
        <v>2831</v>
      </c>
      <c r="S21" s="3787"/>
      <c r="T21" s="3787"/>
      <c r="U21" s="3787"/>
      <c r="V21" s="3787"/>
      <c r="W21" s="3787"/>
      <c r="X21" s="3164"/>
      <c r="Y21" s="3786" t="s">
        <v>2832</v>
      </c>
      <c r="Z21" s="3787"/>
      <c r="AA21" s="3787"/>
      <c r="AB21" s="3787"/>
      <c r="AC21" s="3787"/>
      <c r="AD21" s="3787"/>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45131</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3:G56"/>
  <sheetViews>
    <sheetView workbookViewId="0">
      <selection activeCell="L56" sqref="L56"/>
    </sheetView>
  </sheetViews>
  <sheetFormatPr defaultRowHeight="13.5"/>
  <sheetData>
    <row r="53" spans="1:7">
      <c r="A53" s="3459" t="s">
        <v>3430</v>
      </c>
      <c r="B53" s="3459" t="s">
        <v>3431</v>
      </c>
      <c r="C53" s="3459" t="s">
        <v>3432</v>
      </c>
      <c r="D53" s="3459" t="s">
        <v>3433</v>
      </c>
      <c r="F53" s="3459" t="s">
        <v>3434</v>
      </c>
    </row>
    <row r="54" spans="1:7">
      <c r="A54">
        <v>108</v>
      </c>
      <c r="B54">
        <v>195</v>
      </c>
      <c r="C54">
        <f>ROUND(B54/A54*10000,0)</f>
        <v>18056</v>
      </c>
      <c r="D54" s="3459" t="s">
        <v>3435</v>
      </c>
      <c r="E54" s="3459" t="s">
        <v>3436</v>
      </c>
      <c r="F54">
        <v>1.5</v>
      </c>
      <c r="G54" s="3459" t="s">
        <v>3437</v>
      </c>
    </row>
    <row r="55" spans="1:7">
      <c r="A55">
        <v>85.66</v>
      </c>
      <c r="B55">
        <v>185</v>
      </c>
      <c r="C55">
        <f>ROUND(B55/A55*10000,0)</f>
        <v>21597</v>
      </c>
      <c r="D55" s="3459" t="s">
        <v>3435</v>
      </c>
      <c r="E55" s="3459" t="s">
        <v>3438</v>
      </c>
      <c r="F55">
        <v>2.5</v>
      </c>
      <c r="G55" s="3459" t="s">
        <v>3439</v>
      </c>
    </row>
    <row r="56" spans="1:7">
      <c r="A56">
        <v>153</v>
      </c>
      <c r="B56">
        <v>280</v>
      </c>
      <c r="C56">
        <f>ROUND(B56/A56*10000,0)</f>
        <v>18301</v>
      </c>
      <c r="D56" s="3459" t="s">
        <v>3440</v>
      </c>
      <c r="E56" s="3459" t="s">
        <v>3441</v>
      </c>
      <c r="F56">
        <f>ROUND(7000*12/A56/365,2)</f>
        <v>1.5</v>
      </c>
      <c r="G56" s="3459" t="s">
        <v>3442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3" t="s">
        <v>925</v>
      </c>
      <c r="E3" s="853" t="s">
        <v>931</v>
      </c>
      <c r="F3" s="853" t="s">
        <v>925</v>
      </c>
      <c r="G3" s="853" t="s">
        <v>926</v>
      </c>
      <c r="H3" s="853" t="s">
        <v>925</v>
      </c>
      <c r="I3" s="853" t="s">
        <v>926</v>
      </c>
    </row>
    <row r="4" spans="1:9" ht="15">
      <c r="A4" s="1504" t="str">
        <f>项目基本情况!S2</f>
        <v>北京市房地产</v>
      </c>
      <c r="B4" s="853">
        <f>项目基本情况!C17</f>
        <v>485.45999999999992</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t="e">
        <f ca="1">结果表!D122</f>
        <v>#REF!</v>
      </c>
      <c r="E8" s="3473"/>
      <c r="F8" s="3473"/>
      <c r="G8" s="3473"/>
      <c r="H8" s="3473"/>
      <c r="I8" s="3473"/>
    </row>
    <row r="9" spans="1:9" ht="15">
      <c r="A9" s="3474" t="s">
        <v>927</v>
      </c>
      <c r="B9" s="3474"/>
      <c r="C9" s="3474"/>
      <c r="D9" s="3474" t="e">
        <f ca="1">结果表!D123</f>
        <v>#REF!</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45131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2"/>
      <c r="E18" s="3499" t="s">
        <v>2161</v>
      </c>
      <c r="F18" s="3498"/>
      <c r="G18" s="3498"/>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2023-07-24T07:21:51Z</dcterms:modified>
</cp:coreProperties>
</file>