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杨庄北区25号楼\"/>
    </mc:Choice>
  </mc:AlternateContent>
  <xr:revisionPtr revIDLastSave="0" documentId="13_ncr:1_{A69B467E-1E27-4424-A818-604499A18475}" xr6:coauthVersionLast="47" xr6:coauthVersionMax="47" xr10:uidLastSave="{00000000-0000-0000-0000-000000000000}"/>
  <bookViews>
    <workbookView xWindow="-120" yWindow="-120" windowWidth="21840" windowHeight="131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位置面积租金"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51" i="43"/>
  <c r="G52" i="43"/>
  <c r="G53" i="43"/>
  <c r="G54" i="43"/>
  <c r="G55" i="43"/>
  <c r="G56" i="43"/>
  <c r="G57" i="43"/>
  <c r="G58" i="43"/>
  <c r="G50" i="43"/>
  <c r="E24" i="80"/>
  <c r="E22" i="80"/>
  <c r="E25" i="80" s="1"/>
  <c r="D22" i="80"/>
  <c r="D24" i="80"/>
  <c r="D37" i="43"/>
  <c r="U3" i="43"/>
  <c r="U2" i="43"/>
  <c r="Y6" i="1"/>
  <c r="N6" i="1"/>
  <c r="G19" i="6"/>
  <c r="F19" i="6"/>
  <c r="C19" i="6"/>
  <c r="B25" i="80"/>
  <c r="B24" i="80"/>
  <c r="B23" i="80"/>
  <c r="B22" i="80"/>
  <c r="K13" i="3"/>
  <c r="I13" i="3"/>
  <c r="C60" i="78"/>
  <c r="D60" i="78" s="1"/>
  <c r="B55" i="78"/>
  <c r="D55" i="78" s="1"/>
  <c r="D53" i="78"/>
  <c r="D52" i="78"/>
  <c r="D51" i="78" s="1"/>
  <c r="B51" i="78"/>
  <c r="B56" i="78" s="1"/>
  <c r="D25" i="80" l="1"/>
  <c r="U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X31" i="71" s="1"/>
  <c r="Q37" i="71"/>
  <c r="P37" i="71"/>
  <c r="AA37" i="71" s="1"/>
  <c r="O37" i="71"/>
  <c r="C38" i="71" s="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C35" i="71"/>
  <c r="C36" i="71" s="1"/>
  <c r="X34" i="71"/>
  <c r="F51" i="71"/>
  <c r="F52" i="71" s="1"/>
  <c r="V52" i="71" s="1"/>
  <c r="Y27" i="71"/>
  <c r="Z27" i="71" s="1"/>
  <c r="B28" i="71"/>
  <c r="B27" i="71" s="1"/>
  <c r="B26" i="71"/>
  <c r="D30" i="71"/>
  <c r="C47" i="71"/>
  <c r="D47" i="71"/>
  <c r="D46" i="71"/>
  <c r="D50" i="71"/>
  <c r="P28" i="71"/>
  <c r="U68" i="71"/>
  <c r="E67" i="71"/>
  <c r="Q28" i="71"/>
  <c r="D58" i="71"/>
  <c r="C63" i="71"/>
  <c r="C64" i="71" s="1"/>
  <c r="D62" i="71"/>
  <c r="T68" i="71"/>
  <c r="O68" i="71"/>
  <c r="D68" i="71"/>
  <c r="C67" i="71"/>
  <c r="D67" i="71" s="1"/>
  <c r="Q68" i="71"/>
  <c r="E71" i="71"/>
  <c r="E70" i="71"/>
  <c r="D72" i="71"/>
  <c r="C75" i="71"/>
  <c r="D76" i="71"/>
  <c r="E79" i="71"/>
  <c r="E78" i="71"/>
  <c r="C87" i="71"/>
  <c r="C86" i="71" s="1"/>
  <c r="D86" i="71" s="1"/>
  <c r="F28" i="71"/>
  <c r="D63" i="71"/>
  <c r="D75" i="71"/>
  <c r="C74" i="71"/>
  <c r="D74" i="71" s="1"/>
  <c r="D87" i="71"/>
  <c r="D55" i="71"/>
  <c r="P67" i="71"/>
  <c r="E66" i="71"/>
  <c r="P65" i="71" s="1"/>
  <c r="D35" i="71"/>
  <c r="D52"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c r="R286" i="3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2" i="31"/>
  <c r="S348" i="31"/>
  <c r="S344" i="31"/>
  <c r="S340" i="31"/>
  <c r="S336" i="31"/>
  <c r="S332" i="31"/>
  <c r="S328" i="31"/>
  <c r="S324" i="31"/>
  <c r="S424" i="31"/>
  <c r="S320" i="31"/>
  <c r="S316" i="31"/>
  <c r="S314" i="31"/>
  <c r="S312" i="31"/>
  <c r="S308" i="31"/>
  <c r="S306" i="31"/>
  <c r="S304" i="31"/>
  <c r="S300" i="31"/>
  <c r="S298" i="31"/>
  <c r="S296" i="31"/>
  <c r="S292" i="31"/>
  <c r="S290" i="31"/>
  <c r="S288"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H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Q25" i="36"/>
  <c r="Z25" i="36" s="1"/>
  <c r="Q24" i="36"/>
  <c r="Z24" i="36"/>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W9" i="35" s="1"/>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AB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W41" i="33"/>
  <c r="Q41" i="33"/>
  <c r="Z41" i="33" s="1"/>
  <c r="Q40" i="33"/>
  <c r="Z40" i="33" s="1"/>
  <c r="J40" i="33"/>
  <c r="AC40" i="33" s="1"/>
  <c r="H40" i="33"/>
  <c r="AB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J45" i="21"/>
  <c r="W45" i="21" s="1"/>
  <c r="B126" i="21"/>
  <c r="B98" i="21"/>
  <c r="H31" i="21" s="1"/>
  <c r="B96" i="21"/>
  <c r="B94" i="21"/>
  <c r="J29" i="21"/>
  <c r="AC29" i="21" s="1"/>
  <c r="B92" i="21"/>
  <c r="B90" i="21"/>
  <c r="J27" i="21"/>
  <c r="B74" i="21"/>
  <c r="F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F26" i="21"/>
  <c r="S26" i="21" s="1"/>
  <c r="S41" i="21"/>
  <c r="AA41" i="21"/>
  <c r="F45" i="39"/>
  <c r="S45" i="39"/>
  <c r="J45" i="39"/>
  <c r="W45" i="39" s="1"/>
  <c r="J44" i="39"/>
  <c r="AC44" i="39" s="1"/>
  <c r="F36" i="39"/>
  <c r="S36" i="39" s="1"/>
  <c r="H36" i="39"/>
  <c r="AB36" i="39"/>
  <c r="F35" i="39"/>
  <c r="J36" i="39"/>
  <c r="AC36" i="39" s="1"/>
  <c r="W40" i="39"/>
  <c r="W25" i="37"/>
  <c r="U30" i="37"/>
  <c r="W31" i="37"/>
  <c r="E103" i="37"/>
  <c r="F103" i="37"/>
  <c r="G103" i="37" s="1"/>
  <c r="H103" i="37" s="1"/>
  <c r="I103" i="37" s="1"/>
  <c r="J103" i="37" s="1"/>
  <c r="K103" i="37" s="1"/>
  <c r="L103" i="37" s="1"/>
  <c r="M103" i="37" s="1"/>
  <c r="F29" i="36"/>
  <c r="AA29" i="36" s="1"/>
  <c r="F16" i="36"/>
  <c r="AA16" i="36" s="1"/>
  <c r="W28" i="36"/>
  <c r="U31" i="36"/>
  <c r="H22" i="35"/>
  <c r="AB22" i="35"/>
  <c r="AC27" i="35"/>
  <c r="W28" i="35"/>
  <c r="U31" i="35"/>
  <c r="W22" i="35"/>
  <c r="S31" i="35"/>
  <c r="U34" i="35"/>
  <c r="F36" i="34"/>
  <c r="J35" i="34"/>
  <c r="U34" i="34"/>
  <c r="H39" i="33"/>
  <c r="AB39" i="33"/>
  <c r="F26" i="33"/>
  <c r="U33" i="33"/>
  <c r="S40" i="33"/>
  <c r="W39" i="33"/>
  <c r="F11" i="40"/>
  <c r="AA11" i="40"/>
  <c r="H11" i="40"/>
  <c r="AB11" i="40" s="1"/>
  <c r="W8" i="40"/>
  <c r="AA9" i="40"/>
  <c r="S34" i="40"/>
  <c r="U38" i="40"/>
  <c r="W31" i="40"/>
  <c r="S38" i="40"/>
  <c r="F42" i="39"/>
  <c r="AA42" i="39" s="1"/>
  <c r="F41" i="39"/>
  <c r="S41" i="39" s="1"/>
  <c r="H40" i="39"/>
  <c r="AB40" i="39" s="1"/>
  <c r="H39" i="39"/>
  <c r="S38" i="39"/>
  <c r="S34" i="39"/>
  <c r="H34" i="39"/>
  <c r="U34" i="39" s="1"/>
  <c r="F31" i="39"/>
  <c r="AA31" i="39" s="1"/>
  <c r="E100" i="39"/>
  <c r="H19" i="39"/>
  <c r="AB19" i="39" s="1"/>
  <c r="F19" i="39"/>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F35" i="40"/>
  <c r="AA35" i="40" s="1"/>
  <c r="H23" i="40"/>
  <c r="AB23" i="40" s="1"/>
  <c r="H17" i="40"/>
  <c r="U17" i="40"/>
  <c r="J15" i="40"/>
  <c r="W15" i="40" s="1"/>
  <c r="J11" i="40"/>
  <c r="AC11" i="40" s="1"/>
  <c r="W11" i="40"/>
  <c r="AB8" i="39"/>
  <c r="AB12" i="35"/>
  <c r="AB12" i="36"/>
  <c r="F37" i="39"/>
  <c r="AA37" i="39" s="1"/>
  <c r="J34" i="36"/>
  <c r="W34" i="36" s="1"/>
  <c r="U30" i="36"/>
  <c r="J30" i="35"/>
  <c r="W30" i="35" s="1"/>
  <c r="H30" i="35"/>
  <c r="AB30" i="35" s="1"/>
  <c r="F22" i="35"/>
  <c r="AA22" i="35" s="1"/>
  <c r="H10" i="35"/>
  <c r="U10" i="35" s="1"/>
  <c r="F33" i="36"/>
  <c r="W30" i="36"/>
  <c r="H16" i="36"/>
  <c r="AB16" i="36"/>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W23" i="34" s="1"/>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s="1"/>
  <c r="F15" i="40"/>
  <c r="S15" i="40" s="1"/>
  <c r="H15" i="40"/>
  <c r="AB30" i="36"/>
  <c r="F29" i="35"/>
  <c r="S29" i="35" s="1"/>
  <c r="H29" i="35"/>
  <c r="AB29" i="35" s="1"/>
  <c r="H33" i="37"/>
  <c r="F33" i="37"/>
  <c r="AA33" i="37" s="1"/>
  <c r="U34" i="37"/>
  <c r="S34" i="37"/>
  <c r="AA34" i="37"/>
  <c r="J43" i="34"/>
  <c r="J40" i="34"/>
  <c r="W40" i="34" s="1"/>
  <c r="H38" i="34"/>
  <c r="AB38" i="34" s="1"/>
  <c r="J36" i="34"/>
  <c r="W36" i="34"/>
  <c r="H37" i="34"/>
  <c r="U37" i="34" s="1"/>
  <c r="H25" i="34"/>
  <c r="AB25" i="34" s="1"/>
  <c r="J25" i="34"/>
  <c r="AC25" i="34"/>
  <c r="AB23" i="34"/>
  <c r="F23" i="34"/>
  <c r="AA23" i="34" s="1"/>
  <c r="J19" i="34"/>
  <c r="F17" i="34"/>
  <c r="AA17" i="34" s="1"/>
  <c r="J17" i="34"/>
  <c r="W17" i="34" s="1"/>
  <c r="AB17" i="34"/>
  <c r="S41" i="33"/>
  <c r="F113" i="33"/>
  <c r="G113" i="33" s="1"/>
  <c r="H113" i="33"/>
  <c r="I113" i="33" s="1"/>
  <c r="J113" i="33" s="1"/>
  <c r="K113" i="33" s="1"/>
  <c r="L113" i="33"/>
  <c r="M113" i="33" s="1"/>
  <c r="H37" i="33"/>
  <c r="AB37" i="33" s="1"/>
  <c r="H15" i="33"/>
  <c r="AB15" i="33" s="1"/>
  <c r="H11" i="33"/>
  <c r="AB11" i="33" s="1"/>
  <c r="F28" i="40"/>
  <c r="AA29" i="35"/>
  <c r="AA42" i="34"/>
  <c r="S42" i="34"/>
  <c r="AC38" i="34"/>
  <c r="AA38" i="34"/>
  <c r="J37" i="34"/>
  <c r="AC37" i="34" s="1"/>
  <c r="J11" i="33"/>
  <c r="W11" i="33" s="1"/>
  <c r="I123" i="21"/>
  <c r="J123" i="21" s="1"/>
  <c r="K123" i="21" s="1"/>
  <c r="L123" i="21" s="1"/>
  <c r="M123" i="21" s="1"/>
  <c r="J42" i="21"/>
  <c r="AC42" i="21" s="1"/>
  <c r="H42" i="21"/>
  <c r="U42" i="21"/>
  <c r="J44" i="34"/>
  <c r="W44" i="34" s="1"/>
  <c r="F44" i="34"/>
  <c r="AA44" i="34"/>
  <c r="J10" i="35"/>
  <c r="AC10" i="35" s="1"/>
  <c r="J14" i="21"/>
  <c r="W14" i="21" s="1"/>
  <c r="H14" i="21"/>
  <c r="H28" i="21"/>
  <c r="AB28" i="21" s="1"/>
  <c r="F28" i="21"/>
  <c r="AA28" i="21"/>
  <c r="J28" i="21"/>
  <c r="W28" i="21" s="1"/>
  <c r="H30" i="21"/>
  <c r="U30" i="21"/>
  <c r="F30" i="2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U28" i="33"/>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F28" i="36"/>
  <c r="AA28" i="36" s="1"/>
  <c r="J13" i="21"/>
  <c r="AC13" i="21" s="1"/>
  <c r="H27" i="21"/>
  <c r="AB27" i="21"/>
  <c r="F27" i="21"/>
  <c r="AA27" i="21" s="1"/>
  <c r="H29" i="21"/>
  <c r="U29" i="21"/>
  <c r="J31" i="21"/>
  <c r="F31" i="21"/>
  <c r="S31" i="21" s="1"/>
  <c r="F45" i="21"/>
  <c r="AA45" i="21" s="1"/>
  <c r="F27" i="33"/>
  <c r="AA27" i="33" s="1"/>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J30" i="34"/>
  <c r="H32" i="34"/>
  <c r="F32" i="34"/>
  <c r="S32" i="34" s="1"/>
  <c r="J32" i="34"/>
  <c r="W32" i="34" s="1"/>
  <c r="H46" i="34"/>
  <c r="U46" i="34"/>
  <c r="F46" i="34"/>
  <c r="S46" i="34" s="1"/>
  <c r="J46" i="34"/>
  <c r="AC46" i="34" s="1"/>
  <c r="H11" i="35"/>
  <c r="AB11" i="35" s="1"/>
  <c r="J11" i="35"/>
  <c r="W11" i="35" s="1"/>
  <c r="AC11" i="35"/>
  <c r="F11" i="35"/>
  <c r="S11" i="35" s="1"/>
  <c r="J26" i="36"/>
  <c r="W26" i="36"/>
  <c r="H28" i="36"/>
  <c r="U28" i="36" s="1"/>
  <c r="H32" i="36"/>
  <c r="AB32" i="36" s="1"/>
  <c r="J32" i="36"/>
  <c r="W32" i="36" s="1"/>
  <c r="H11" i="36"/>
  <c r="U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J40" i="37"/>
  <c r="AC40" i="37" s="1"/>
  <c r="F40" i="37"/>
  <c r="AA40" i="37" s="1"/>
  <c r="AC12" i="40"/>
  <c r="W12" i="40"/>
  <c r="H30" i="33"/>
  <c r="AB30" i="33"/>
  <c r="F30" i="33"/>
  <c r="J30" i="33"/>
  <c r="AC30" i="33" s="1"/>
  <c r="J46" i="33"/>
  <c r="AC46" i="33"/>
  <c r="F46" i="33"/>
  <c r="H46" i="33"/>
  <c r="AB46" i="33" s="1"/>
  <c r="J13" i="34"/>
  <c r="W13" i="34" s="1"/>
  <c r="J29" i="34"/>
  <c r="F29" i="34"/>
  <c r="H29" i="34"/>
  <c r="AB29" i="34" s="1"/>
  <c r="H45" i="34"/>
  <c r="U45" i="34" s="1"/>
  <c r="J45" i="34"/>
  <c r="W45" i="34" s="1"/>
  <c r="F45" i="34"/>
  <c r="S45" i="34" s="1"/>
  <c r="H47" i="34"/>
  <c r="F13" i="35"/>
  <c r="J13" i="35"/>
  <c r="AC13" i="35"/>
  <c r="H13" i="35"/>
  <c r="H25" i="35"/>
  <c r="J35" i="35"/>
  <c r="AC35" i="35" s="1"/>
  <c r="F35" i="35"/>
  <c r="AA35" i="35"/>
  <c r="H35" i="35"/>
  <c r="J25" i="36"/>
  <c r="W25" i="36"/>
  <c r="F25" i="36"/>
  <c r="S25" i="36" s="1"/>
  <c r="H25" i="36"/>
  <c r="AB25" i="36" s="1"/>
  <c r="H13" i="37"/>
  <c r="AB13" i="37" s="1"/>
  <c r="F13" i="37"/>
  <c r="J13" i="37"/>
  <c r="W13" i="37" s="1"/>
  <c r="F28" i="37"/>
  <c r="AA28" i="37" s="1"/>
  <c r="J28" i="37"/>
  <c r="H28" i="37"/>
  <c r="H38" i="37"/>
  <c r="AB38" i="37"/>
  <c r="J38" i="37"/>
  <c r="AC38" i="37" s="1"/>
  <c r="F38" i="37"/>
  <c r="S38" i="37"/>
  <c r="F43" i="39"/>
  <c r="H43" i="39"/>
  <c r="U43" i="39" s="1"/>
  <c r="J14" i="39"/>
  <c r="AC14" i="39" s="1"/>
  <c r="F14" i="39"/>
  <c r="H14" i="39"/>
  <c r="F12" i="40"/>
  <c r="S12" i="40"/>
  <c r="H12" i="40"/>
  <c r="H30" i="40"/>
  <c r="AB30" i="40"/>
  <c r="F33" i="40"/>
  <c r="H33" i="40"/>
  <c r="U33" i="40"/>
  <c r="J35" i="40"/>
  <c r="J37" i="40"/>
  <c r="AC37" i="40" s="1"/>
  <c r="H13" i="40"/>
  <c r="F13" i="40"/>
  <c r="AA13" i="40" s="1"/>
  <c r="F14" i="37"/>
  <c r="S14" i="37" s="1"/>
  <c r="F27" i="37"/>
  <c r="H13" i="39"/>
  <c r="AB13" i="39" s="1"/>
  <c r="H14" i="40"/>
  <c r="AB14" i="40" s="1"/>
  <c r="J14" i="40"/>
  <c r="W14" i="40" s="1"/>
  <c r="F14" i="40"/>
  <c r="J14" i="37"/>
  <c r="J27" i="37"/>
  <c r="AC27" i="37"/>
  <c r="J36" i="37"/>
  <c r="J10" i="36"/>
  <c r="AC10" i="36" s="1"/>
  <c r="AB30" i="21"/>
  <c r="AA14" i="37"/>
  <c r="AB46" i="34"/>
  <c r="AB45" i="33"/>
  <c r="AC28" i="21"/>
  <c r="S44" i="34"/>
  <c r="F17" i="2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BL568" i="3"/>
  <c r="BL564" i="3"/>
  <c r="BL560" i="3"/>
  <c r="BL554" i="3"/>
  <c r="BL546" i="3"/>
  <c r="BL542" i="3"/>
  <c r="BL538" i="3"/>
  <c r="BL534" i="3"/>
  <c r="BL530" i="3"/>
  <c r="BL526" i="3"/>
  <c r="BL522" i="3"/>
  <c r="BL516" i="3"/>
  <c r="BL512" i="3"/>
  <c r="BL506" i="3"/>
  <c r="AZ506" i="3" s="1"/>
  <c r="BL502" i="3"/>
  <c r="BL498" i="3"/>
  <c r="BL494" i="3"/>
  <c r="AZ494" i="3" s="1"/>
  <c r="BL582"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78" i="3"/>
  <c r="BA570" i="3"/>
  <c r="AZ570" i="3" s="1"/>
  <c r="BA568"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AZ522" i="3" s="1"/>
  <c r="BA520" i="3"/>
  <c r="AZ520" i="3" s="1"/>
  <c r="BA518" i="3"/>
  <c r="BA516" i="3"/>
  <c r="AZ516" i="3" s="1"/>
  <c r="BA514" i="3"/>
  <c r="AZ514" i="3" s="1"/>
  <c r="BA512" i="3"/>
  <c r="AZ512" i="3" s="1"/>
  <c r="BA510" i="3"/>
  <c r="AZ510" i="3" s="1"/>
  <c r="BA508" i="3"/>
  <c r="BA506" i="3"/>
  <c r="BA504" i="3"/>
  <c r="AZ504" i="3" s="1"/>
  <c r="BA502" i="3"/>
  <c r="BA500" i="3"/>
  <c r="BA498" i="3"/>
  <c r="AZ498" i="3" s="1"/>
  <c r="BA496" i="3"/>
  <c r="BA494" i="3"/>
  <c r="BA587" i="3"/>
  <c r="BA583" i="3"/>
  <c r="BA579" i="3"/>
  <c r="BA571" i="3"/>
  <c r="AZ571" i="3" s="1"/>
  <c r="BA569"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AZ560" i="3"/>
  <c r="G583" i="3"/>
  <c r="G579" i="3"/>
  <c r="G577" i="3"/>
  <c r="G571" i="3"/>
  <c r="G569" i="3"/>
  <c r="G567" i="3"/>
  <c r="G565" i="3"/>
  <c r="G563" i="3"/>
  <c r="G561" i="3"/>
  <c r="BL558" i="3"/>
  <c r="BA557" i="3"/>
  <c r="AC557" i="3"/>
  <c r="G557" i="3" s="1"/>
  <c r="BQ557" i="3"/>
  <c r="BL557" i="3" s="1"/>
  <c r="BQ583" i="3"/>
  <c r="BL583" i="3" s="1"/>
  <c r="AZ583" i="3" s="1"/>
  <c r="BQ581" i="3"/>
  <c r="BQ579" i="3"/>
  <c r="BQ577" i="3"/>
  <c r="BQ575" i="3"/>
  <c r="BL575" i="3"/>
  <c r="BQ573" i="3"/>
  <c r="BQ571" i="3"/>
  <c r="BQ569" i="3"/>
  <c r="BL569" i="3" s="1"/>
  <c r="AZ569" i="3" s="1"/>
  <c r="BQ567" i="3"/>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Z509" i="3" s="1"/>
  <c r="AC509" i="3"/>
  <c r="BQ509" i="3"/>
  <c r="BL509" i="3" s="1"/>
  <c r="BL508" i="3"/>
  <c r="AZ508" i="3" s="1"/>
  <c r="G507" i="3"/>
  <c r="G505" i="3"/>
  <c r="G503" i="3"/>
  <c r="G501" i="3"/>
  <c r="G499" i="3"/>
  <c r="G497" i="3"/>
  <c r="G495" i="3"/>
  <c r="BQ507" i="3"/>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U32" i="33"/>
  <c r="F39" i="33"/>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c r="H24" i="35"/>
  <c r="H23" i="37"/>
  <c r="AB23" i="37" s="1"/>
  <c r="J32" i="37"/>
  <c r="F36" i="37"/>
  <c r="AA36" i="37" s="1"/>
  <c r="F37" i="37"/>
  <c r="F31" i="40"/>
  <c r="AA31" i="40" s="1"/>
  <c r="H31" i="40"/>
  <c r="J36" i="40"/>
  <c r="W36" i="40" s="1"/>
  <c r="H19" i="37"/>
  <c r="F123" i="33"/>
  <c r="G123" i="33" s="1"/>
  <c r="H123" i="33" s="1"/>
  <c r="I123" i="33" s="1"/>
  <c r="J123" i="33" s="1"/>
  <c r="K123" i="33" s="1"/>
  <c r="L123" i="33" s="1"/>
  <c r="M123" i="33" s="1"/>
  <c r="H42" i="33"/>
  <c r="AB42" i="33" s="1"/>
  <c r="J43" i="33"/>
  <c r="AC43" i="33"/>
  <c r="S28" i="31"/>
  <c r="S27" i="31"/>
  <c r="S26" i="31"/>
  <c r="U14" i="40"/>
  <c r="W23" i="35"/>
  <c r="U26" i="37"/>
  <c r="AC36" i="34"/>
  <c r="AC31" i="33"/>
  <c r="U11" i="33"/>
  <c r="U19" i="21"/>
  <c r="W44" i="21"/>
  <c r="AB38" i="21"/>
  <c r="F43" i="33"/>
  <c r="AA43" i="33" s="1"/>
  <c r="W15" i="34"/>
  <c r="AC15" i="34"/>
  <c r="W16" i="35"/>
  <c r="G107" i="37"/>
  <c r="H107" i="37" s="1"/>
  <c r="I107" i="37" s="1"/>
  <c r="J107" i="37" s="1"/>
  <c r="K107" i="37" s="1"/>
  <c r="L107" i="37" s="1"/>
  <c r="M107" i="37" s="1"/>
  <c r="H37" i="21"/>
  <c r="U37" i="21" s="1"/>
  <c r="S42" i="21"/>
  <c r="H19" i="34"/>
  <c r="F36" i="35"/>
  <c r="S36" i="35"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AB33"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AB34"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BA127" i="3"/>
  <c r="AZ127" i="3"/>
  <c r="BL128" i="3"/>
  <c r="G129" i="3"/>
  <c r="BA131" i="3"/>
  <c r="BL132" i="3"/>
  <c r="AZ132" i="3" s="1"/>
  <c r="G133" i="3"/>
  <c r="BA135" i="3"/>
  <c r="AZ135" i="3" s="1"/>
  <c r="BL136" i="3"/>
  <c r="G137" i="3"/>
  <c r="BA139" i="3"/>
  <c r="AZ139" i="3" s="1"/>
  <c r="BL140" i="3"/>
  <c r="G141" i="3"/>
  <c r="BA143" i="3"/>
  <c r="AZ143" i="3" s="1"/>
  <c r="BL144" i="3"/>
  <c r="G145" i="3"/>
  <c r="BA147" i="3"/>
  <c r="BL148"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33" i="3"/>
  <c r="AZ249" i="3"/>
  <c r="BA379" i="3"/>
  <c r="AZ379" i="3" s="1"/>
  <c r="BL380" i="3"/>
  <c r="G381" i="3"/>
  <c r="BA383" i="3"/>
  <c r="AZ383" i="3" s="1"/>
  <c r="BL384" i="3"/>
  <c r="AZ384" i="3" s="1"/>
  <c r="G385" i="3"/>
  <c r="BA387" i="3"/>
  <c r="BL388" i="3"/>
  <c r="G389" i="3"/>
  <c r="BA391" i="3"/>
  <c r="AZ391" i="3" s="1"/>
  <c r="BL392" i="3"/>
  <c r="G393" i="3"/>
  <c r="AZ275" i="3"/>
  <c r="AZ291" i="3"/>
  <c r="BH5" i="3"/>
  <c r="AZ341" i="3"/>
  <c r="AZ496" i="3"/>
  <c r="G548" i="3"/>
  <c r="G538" i="3"/>
  <c r="G520" i="3"/>
  <c r="G502" i="3"/>
  <c r="BS5" i="3"/>
  <c r="BI5" i="3"/>
  <c r="G17" i="3"/>
  <c r="BA17" i="3"/>
  <c r="AZ17" i="3" s="1"/>
  <c r="AZ356" i="3"/>
  <c r="BA15" i="3"/>
  <c r="AZ15" i="3" s="1"/>
  <c r="BR5" i="3"/>
  <c r="AZ380" i="3"/>
  <c r="G509" i="3"/>
  <c r="BL493" i="3"/>
  <c r="AZ493" i="3"/>
  <c r="F83" i="43"/>
  <c r="H85" i="43" s="1"/>
  <c r="F50" i="43"/>
  <c r="H54" i="43" s="1"/>
  <c r="F72" i="43"/>
  <c r="H75" i="43" s="1"/>
  <c r="U17" i="39"/>
  <c r="S14" i="35"/>
  <c r="U43" i="21"/>
  <c r="U35" i="21"/>
  <c r="AC35" i="21"/>
  <c r="AZ501" i="3"/>
  <c r="W37" i="37"/>
  <c r="S15" i="37"/>
  <c r="U13" i="37"/>
  <c r="AA12" i="40"/>
  <c r="J37" i="33"/>
  <c r="AC17" i="34"/>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AZ386" i="3"/>
  <c r="C40" i="11"/>
  <c r="AZ235" i="3"/>
  <c r="AZ251" i="3"/>
  <c r="AZ256" i="3"/>
  <c r="AZ130" i="3"/>
  <c r="F23" i="39"/>
  <c r="AA23" i="39" s="1"/>
  <c r="H27" i="36"/>
  <c r="U27" i="36" s="1"/>
  <c r="F27" i="36"/>
  <c r="AA27" i="36" s="1"/>
  <c r="H33" i="34"/>
  <c r="U33" i="34" s="1"/>
  <c r="F32" i="37"/>
  <c r="F20" i="36"/>
  <c r="J33" i="34"/>
  <c r="AC33" i="34" s="1"/>
  <c r="H23" i="39"/>
  <c r="U23" i="39" s="1"/>
  <c r="D48" i="9"/>
  <c r="M52" i="9" s="1"/>
  <c r="K9" i="1"/>
  <c r="M9" i="1" s="1"/>
  <c r="D93" i="9"/>
  <c r="K6" i="1"/>
  <c r="AP6" i="1" s="1"/>
  <c r="AC26" i="33"/>
  <c r="W26" i="33"/>
  <c r="W27" i="34"/>
  <c r="AC27" i="34"/>
  <c r="AB34" i="36"/>
  <c r="U34" i="36"/>
  <c r="AC12" i="39"/>
  <c r="W12" i="39"/>
  <c r="AZ412" i="3"/>
  <c r="AZ465" i="3"/>
  <c r="AA32" i="36"/>
  <c r="S32" i="36"/>
  <c r="BL14" i="3"/>
  <c r="U30" i="33"/>
  <c r="F12" i="33"/>
  <c r="S12" i="33" s="1"/>
  <c r="H12" i="39"/>
  <c r="AB12" i="39" s="1"/>
  <c r="BA14" i="3"/>
  <c r="AZ14" i="3" s="1"/>
  <c r="AZ254" i="3"/>
  <c r="AZ157" i="3"/>
  <c r="B12" i="1"/>
  <c r="E12" i="1" s="1"/>
  <c r="B10" i="1"/>
  <c r="E10" i="1" s="1"/>
  <c r="AZ88" i="3"/>
  <c r="K12" i="1"/>
  <c r="M12" i="1" s="1"/>
  <c r="S13" i="1"/>
  <c r="AR13" i="1" s="1"/>
  <c r="R13" i="1"/>
  <c r="J51" i="67"/>
  <c r="C42" i="1"/>
  <c r="C24" i="12" s="1"/>
  <c r="B41" i="1"/>
  <c r="F32" i="67" s="1"/>
  <c r="F60" i="67" s="1"/>
  <c r="AB37" i="40"/>
  <c r="U35" i="40"/>
  <c r="AC36" i="40"/>
  <c r="W38" i="40"/>
  <c r="S23" i="40"/>
  <c r="AC17" i="40"/>
  <c r="AC15" i="40"/>
  <c r="S30" i="40"/>
  <c r="U21" i="40"/>
  <c r="AB19" i="40"/>
  <c r="U35" i="39"/>
  <c r="F32" i="39"/>
  <c r="F106" i="39"/>
  <c r="G106" i="39" s="1"/>
  <c r="H106" i="39" s="1"/>
  <c r="I106" i="39" s="1"/>
  <c r="J106" i="39" s="1"/>
  <c r="K106" i="39" s="1"/>
  <c r="L106" i="39" s="1"/>
  <c r="M106" i="39" s="1"/>
  <c r="AB27" i="39"/>
  <c r="U31" i="39"/>
  <c r="J21" i="39"/>
  <c r="W21" i="39" s="1"/>
  <c r="F21" i="39"/>
  <c r="G94" i="39"/>
  <c r="H21" i="39"/>
  <c r="W19" i="39"/>
  <c r="U19" i="39"/>
  <c r="S17" i="39"/>
  <c r="S9" i="39"/>
  <c r="U13" i="36"/>
  <c r="AA26" i="36"/>
  <c r="AA34" i="36"/>
  <c r="AC26" i="36"/>
  <c r="AA22" i="36"/>
  <c r="W14" i="36"/>
  <c r="U22" i="36"/>
  <c r="S16" i="36"/>
  <c r="AA25" i="36"/>
  <c r="S24" i="36"/>
  <c r="AB20" i="36"/>
  <c r="U16" i="36"/>
  <c r="S23" i="35"/>
  <c r="W24" i="35"/>
  <c r="U29" i="35"/>
  <c r="U28" i="35"/>
  <c r="AB27" i="35"/>
  <c r="U32" i="35"/>
  <c r="AA33" i="35"/>
  <c r="AC30" i="35"/>
  <c r="S32" i="35"/>
  <c r="AB16" i="35"/>
  <c r="U22" i="35"/>
  <c r="S20" i="35"/>
  <c r="AC20" i="35"/>
  <c r="S22" i="35"/>
  <c r="U14" i="35"/>
  <c r="AC12" i="35"/>
  <c r="W13" i="35"/>
  <c r="F9" i="35"/>
  <c r="S9" i="35" s="1"/>
  <c r="H9" i="35"/>
  <c r="U9" i="35" s="1"/>
  <c r="S25" i="37"/>
  <c r="W27" i="37"/>
  <c r="AC29" i="37"/>
  <c r="U29" i="37"/>
  <c r="AB31" i="37"/>
  <c r="W30" i="37"/>
  <c r="S36" i="37"/>
  <c r="AA38" i="37"/>
  <c r="U32" i="37"/>
  <c r="W38" i="37"/>
  <c r="AC35" i="37"/>
  <c r="S30" i="37"/>
  <c r="J17" i="37"/>
  <c r="W17" i="37"/>
  <c r="G73" i="37"/>
  <c r="F17" i="37"/>
  <c r="AA17" i="37" s="1"/>
  <c r="F75" i="37"/>
  <c r="G75" i="37" s="1"/>
  <c r="F19" i="37"/>
  <c r="S19" i="37" s="1"/>
  <c r="F79" i="37"/>
  <c r="F23" i="37"/>
  <c r="S23" i="37" s="1"/>
  <c r="U23" i="37"/>
  <c r="AC13" i="37"/>
  <c r="H10" i="37"/>
  <c r="AB10" i="37" s="1"/>
  <c r="F63" i="37"/>
  <c r="F11" i="37"/>
  <c r="S11" i="37" s="1"/>
  <c r="W25" i="34"/>
  <c r="AB8" i="34"/>
  <c r="AA33" i="34"/>
  <c r="U43" i="34"/>
  <c r="W41" i="34"/>
  <c r="AC42" i="34"/>
  <c r="U39" i="34"/>
  <c r="S43" i="34"/>
  <c r="AB41" i="34"/>
  <c r="AA45" i="34"/>
  <c r="AA25" i="34"/>
  <c r="S17" i="34"/>
  <c r="S23" i="34"/>
  <c r="U15" i="34"/>
  <c r="H10" i="34"/>
  <c r="AB10" i="34" s="1"/>
  <c r="F11" i="34"/>
  <c r="S11" i="34" s="1"/>
  <c r="F70" i="34"/>
  <c r="G70" i="34" s="1"/>
  <c r="H70" i="34" s="1"/>
  <c r="I70" i="34" s="1"/>
  <c r="J70" i="34" s="1"/>
  <c r="AA35" i="33"/>
  <c r="S27" i="33"/>
  <c r="S32" i="33"/>
  <c r="AB29" i="33"/>
  <c r="W38" i="33"/>
  <c r="H41" i="33"/>
  <c r="U41" i="33" s="1"/>
  <c r="U42" i="33"/>
  <c r="S42" i="33"/>
  <c r="F36" i="33"/>
  <c r="AA36" i="33" s="1"/>
  <c r="G111" i="33"/>
  <c r="G108" i="33"/>
  <c r="H108" i="33" s="1"/>
  <c r="I108" i="33" s="1"/>
  <c r="J108" i="33" s="1"/>
  <c r="K108" i="33" s="1"/>
  <c r="L108" i="33" s="1"/>
  <c r="M108" i="33" s="1"/>
  <c r="J35" i="33"/>
  <c r="W35" i="33" s="1"/>
  <c r="S37" i="33"/>
  <c r="F101" i="33"/>
  <c r="G101" i="33" s="1"/>
  <c r="H101" i="33" s="1"/>
  <c r="I101" i="33" s="1"/>
  <c r="J101" i="33" s="1"/>
  <c r="K101" i="33" s="1"/>
  <c r="L101" i="33" s="1"/>
  <c r="M101" i="33" s="1"/>
  <c r="J32" i="33"/>
  <c r="W43" i="33"/>
  <c r="S43" i="33"/>
  <c r="F91" i="33"/>
  <c r="H27" i="33"/>
  <c r="F87" i="33"/>
  <c r="G87" i="33" s="1"/>
  <c r="H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W43" i="21"/>
  <c r="W41" i="21"/>
  <c r="AB39" i="21"/>
  <c r="AA43" i="21"/>
  <c r="S39" i="21"/>
  <c r="AA38" i="21"/>
  <c r="AC40" i="21"/>
  <c r="J15" i="21"/>
  <c r="AC15" i="21" s="1"/>
  <c r="W15" i="21"/>
  <c r="F77" i="21"/>
  <c r="G77" i="21" s="1"/>
  <c r="F23" i="21"/>
  <c r="AA23" i="21" s="1"/>
  <c r="S23" i="21"/>
  <c r="E85" i="21"/>
  <c r="F34" i="67"/>
  <c r="F62" i="67" s="1"/>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28" i="40"/>
  <c r="W28" i="40"/>
  <c r="W34" i="40"/>
  <c r="W19" i="40"/>
  <c r="W27" i="40"/>
  <c r="S36" i="40"/>
  <c r="W37" i="40"/>
  <c r="AC14" i="40"/>
  <c r="S13" i="40"/>
  <c r="AA15" i="40"/>
  <c r="U11" i="40"/>
  <c r="S31" i="40"/>
  <c r="AB17" i="40"/>
  <c r="U8" i="40"/>
  <c r="S8" i="40"/>
  <c r="AC41" i="39"/>
  <c r="U42" i="39"/>
  <c r="U41" i="39"/>
  <c r="W25" i="39"/>
  <c r="AC25" i="39"/>
  <c r="U13" i="39"/>
  <c r="S14" i="39"/>
  <c r="AA14" i="39"/>
  <c r="AB11" i="39"/>
  <c r="U11" i="39"/>
  <c r="AA27" i="39"/>
  <c r="S27" i="39"/>
  <c r="W17" i="39"/>
  <c r="AC17" i="39"/>
  <c r="W31" i="39"/>
  <c r="AC31" i="39"/>
  <c r="S23" i="39"/>
  <c r="AA45" i="39"/>
  <c r="W34" i="39"/>
  <c r="U38" i="39"/>
  <c r="S8" i="39"/>
  <c r="AC25" i="36"/>
  <c r="U32" i="36"/>
  <c r="W29" i="36"/>
  <c r="AB28" i="36"/>
  <c r="AA13" i="36"/>
  <c r="W9" i="36"/>
  <c r="S24" i="35"/>
  <c r="S35" i="35"/>
  <c r="W35" i="35"/>
  <c r="AA16" i="35"/>
  <c r="AA35" i="37"/>
  <c r="S28" i="37"/>
  <c r="U36" i="37"/>
  <c r="S40" i="37"/>
  <c r="U38" i="37"/>
  <c r="AB37" i="37"/>
  <c r="AC34" i="37"/>
  <c r="AB35" i="37"/>
  <c r="AA31" i="37"/>
  <c r="AA29" i="37"/>
  <c r="AA40" i="34"/>
  <c r="AB40" i="34"/>
  <c r="AB33" i="34"/>
  <c r="AC45" i="34"/>
  <c r="AB45" i="34"/>
  <c r="U25" i="34"/>
  <c r="AB36" i="34"/>
  <c r="W33" i="34"/>
  <c r="AC14" i="34"/>
  <c r="AC29" i="34"/>
  <c r="W29" i="34"/>
  <c r="W46" i="34"/>
  <c r="AA32" i="34"/>
  <c r="U30" i="34"/>
  <c r="AB30" i="34"/>
  <c r="S37" i="34"/>
  <c r="U38" i="34"/>
  <c r="AC40" i="34"/>
  <c r="AA19" i="34"/>
  <c r="S19" i="34"/>
  <c r="AA36" i="34"/>
  <c r="S36" i="34"/>
  <c r="AA8" i="34"/>
  <c r="S8" i="34"/>
  <c r="AB9" i="34"/>
  <c r="AA46" i="34"/>
  <c r="U32" i="34"/>
  <c r="AB32" i="34"/>
  <c r="U14" i="34"/>
  <c r="AB14" i="34"/>
  <c r="AC23" i="34"/>
  <c r="AC35" i="34"/>
  <c r="W35" i="34"/>
  <c r="W46" i="33"/>
  <c r="U39" i="33"/>
  <c r="S33" i="33"/>
  <c r="S31" i="33"/>
  <c r="AA31" i="33"/>
  <c r="W13" i="33"/>
  <c r="AC13" i="33"/>
  <c r="U15"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c r="J17" i="21"/>
  <c r="AC17" i="21" s="1"/>
  <c r="AC19" i="21"/>
  <c r="W39" i="21"/>
  <c r="AC14" i="21"/>
  <c r="S46" i="21"/>
  <c r="H45" i="21"/>
  <c r="F29" i="21"/>
  <c r="AA29" i="21" s="1"/>
  <c r="F13" i="21"/>
  <c r="AA13" i="21" s="1"/>
  <c r="AC38" i="21"/>
  <c r="H32" i="21"/>
  <c r="H9" i="21"/>
  <c r="AB9" i="21" s="1"/>
  <c r="J9" i="21"/>
  <c r="J32" i="21"/>
  <c r="W32" i="21" s="1"/>
  <c r="F32" i="21"/>
  <c r="AA31" i="21"/>
  <c r="W29" i="21"/>
  <c r="S19" i="21"/>
  <c r="S9" i="21"/>
  <c r="AA9" i="21"/>
  <c r="K141" i="21"/>
  <c r="K144" i="21"/>
  <c r="K143" i="21"/>
  <c r="U27" i="21"/>
  <c r="AB25" i="21"/>
  <c r="AB44" i="21"/>
  <c r="W13" i="21"/>
  <c r="W42" i="21"/>
  <c r="AC45" i="21"/>
  <c r="F10" i="21"/>
  <c r="AA10" i="21" s="1"/>
  <c r="K145" i="21"/>
  <c r="W25"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12" i="33"/>
  <c r="J32" i="39"/>
  <c r="W32" i="39" s="1"/>
  <c r="H32" i="39"/>
  <c r="AB32" i="39" s="1"/>
  <c r="AA32" i="39"/>
  <c r="S32" i="39"/>
  <c r="AB21" i="39"/>
  <c r="U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I87" i="33"/>
  <c r="J87" i="33" s="1"/>
  <c r="K87" i="33" s="1"/>
  <c r="L87" i="33" s="1"/>
  <c r="M87" i="33" s="1"/>
  <c r="J25" i="33"/>
  <c r="AC25" i="33" s="1"/>
  <c r="F23" i="33"/>
  <c r="H19" i="33"/>
  <c r="G81" i="33"/>
  <c r="H17" i="33"/>
  <c r="U17" i="33" s="1"/>
  <c r="F17" i="33"/>
  <c r="S17" i="33" s="1"/>
  <c r="AC17" i="33"/>
  <c r="S37" i="21"/>
  <c r="AB15" i="21"/>
  <c r="J23" i="21"/>
  <c r="W23" i="21" s="1"/>
  <c r="F85" i="21"/>
  <c r="G85" i="21" s="1"/>
  <c r="H23" i="21"/>
  <c r="S13" i="21"/>
  <c r="AP7" i="1"/>
  <c r="U9" i="21"/>
  <c r="W9" i="21"/>
  <c r="AC9" i="21"/>
  <c r="AC32" i="39"/>
  <c r="AC23" i="37"/>
  <c r="J11" i="37"/>
  <c r="AC11" i="37" s="1"/>
  <c r="K70" i="34"/>
  <c r="L70" i="34" s="1"/>
  <c r="M70" i="34" s="1"/>
  <c r="J11" i="34"/>
  <c r="W11" i="34" s="1"/>
  <c r="AC27" i="33"/>
  <c r="W25" i="33"/>
  <c r="AB19" i="33"/>
  <c r="U19" i="33"/>
  <c r="AA17" i="33"/>
  <c r="U23" i="21"/>
  <c r="AB23" i="21"/>
  <c r="H109" i="9"/>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E9" i="76"/>
  <c r="E2" i="69"/>
  <c r="B10" i="76"/>
  <c r="F20" i="31"/>
  <c r="F6" i="73"/>
  <c r="E12" i="76"/>
  <c r="AO13" i="1"/>
  <c r="E11" i="76"/>
  <c r="E13" i="76"/>
  <c r="E8" i="76"/>
  <c r="M28" i="67"/>
  <c r="B7" i="76"/>
  <c r="F40" i="67"/>
  <c r="F36" i="67"/>
  <c r="F16" i="67"/>
  <c r="F26" i="67"/>
  <c r="B9" i="76"/>
  <c r="M8" i="67"/>
  <c r="M9" i="67"/>
  <c r="M26" i="15"/>
  <c r="F38" i="67"/>
  <c r="C76" i="15"/>
  <c r="F16" i="15"/>
  <c r="F8" i="15"/>
  <c r="F7" i="67"/>
  <c r="L48" i="15"/>
  <c r="J15" i="15"/>
  <c r="M26" i="67"/>
  <c r="F26" i="15"/>
  <c r="F37" i="15"/>
  <c r="C76" i="67"/>
  <c r="F5" i="73"/>
  <c r="E2" i="68"/>
  <c r="L47" i="15"/>
  <c r="F40" i="15"/>
  <c r="L48" i="67"/>
  <c r="B13" i="76"/>
  <c r="B8" i="76"/>
  <c r="M24" i="67"/>
  <c r="F4" i="73"/>
  <c r="M23" i="67"/>
  <c r="F8" i="67"/>
  <c r="B11" i="76"/>
  <c r="F7" i="73"/>
  <c r="F43" i="15"/>
  <c r="D6" i="73"/>
  <c r="L47" i="67"/>
  <c r="M22" i="67"/>
  <c r="E7" i="76"/>
  <c r="J15" i="67"/>
  <c r="M23" i="15"/>
  <c r="M6" i="15"/>
  <c r="E10" i="76"/>
  <c r="F6" i="15"/>
  <c r="F3" i="73"/>
  <c r="F36" i="15"/>
  <c r="M22" i="15"/>
  <c r="M24" i="15"/>
  <c r="M6" i="67"/>
  <c r="F43" i="67"/>
  <c r="D56" i="43" l="1"/>
  <c r="D52" i="43"/>
  <c r="C18" i="9"/>
  <c r="D18" i="9" s="1"/>
  <c r="B88" i="43"/>
  <c r="B79" i="43"/>
  <c r="C29" i="39"/>
  <c r="B68" i="43"/>
  <c r="B57" i="43"/>
  <c r="AB32" i="40"/>
  <c r="U32" i="40"/>
  <c r="AA20" i="36"/>
  <c r="S20" i="36"/>
  <c r="AA15" i="39"/>
  <c r="S15" i="39"/>
  <c r="AB19" i="34"/>
  <c r="U19" i="34"/>
  <c r="AC45" i="33"/>
  <c r="AZ497" i="3"/>
  <c r="W35" i="40"/>
  <c r="AC35" i="40"/>
  <c r="W28" i="37"/>
  <c r="AC28" i="37"/>
  <c r="S14" i="34"/>
  <c r="AA14" i="34"/>
  <c r="AC31" i="21"/>
  <c r="W31" i="21"/>
  <c r="U14" i="36"/>
  <c r="AB14" i="36"/>
  <c r="S33" i="36"/>
  <c r="AA33" i="36"/>
  <c r="AA19" i="39"/>
  <c r="S19" i="39"/>
  <c r="U39" i="39"/>
  <c r="AB39" i="39"/>
  <c r="AA26" i="33"/>
  <c r="S26" i="33"/>
  <c r="S14" i="21"/>
  <c r="AA14" i="21"/>
  <c r="AC33" i="33"/>
  <c r="W33" i="33"/>
  <c r="AB38" i="33"/>
  <c r="U38" i="33"/>
  <c r="AC42" i="33"/>
  <c r="W42" i="33"/>
  <c r="AB26" i="36"/>
  <c r="U26" i="36"/>
  <c r="J11" i="36"/>
  <c r="AC11" i="36" s="1"/>
  <c r="F11" i="36"/>
  <c r="AA13" i="39"/>
  <c r="S13" i="39"/>
  <c r="AC13" i="40"/>
  <c r="W13" i="40"/>
  <c r="S34" i="33"/>
  <c r="AA34" i="33"/>
  <c r="AA37" i="37"/>
  <c r="S37" i="37"/>
  <c r="AB24" i="35"/>
  <c r="U24" i="35"/>
  <c r="AA17" i="21"/>
  <c r="S17" i="21"/>
  <c r="AA14" i="40"/>
  <c r="S14" i="40"/>
  <c r="AA33" i="40"/>
  <c r="S33" i="40"/>
  <c r="U47" i="34"/>
  <c r="AB47" i="34"/>
  <c r="AA28" i="40"/>
  <c r="S28" i="40"/>
  <c r="S12" i="36"/>
  <c r="AA12" i="36"/>
  <c r="J32" i="40"/>
  <c r="F32" i="40"/>
  <c r="S32" i="21"/>
  <c r="AA32" i="21"/>
  <c r="AC23" i="21"/>
  <c r="AC9" i="35"/>
  <c r="S21" i="39"/>
  <c r="AA21" i="39"/>
  <c r="U25" i="39"/>
  <c r="S37" i="39"/>
  <c r="S32" i="37"/>
  <c r="AA32" i="37"/>
  <c r="W34" i="33"/>
  <c r="AC34" i="33"/>
  <c r="AB31" i="40"/>
  <c r="U31" i="40"/>
  <c r="AC32" i="37"/>
  <c r="W32" i="37"/>
  <c r="U17" i="37"/>
  <c r="AB17" i="37"/>
  <c r="S25" i="21"/>
  <c r="AA25" i="21"/>
  <c r="AZ563" i="3"/>
  <c r="AB14" i="39"/>
  <c r="U14" i="39"/>
  <c r="AA43" i="39"/>
  <c r="S43" i="39"/>
  <c r="U25" i="35"/>
  <c r="AB25" i="35"/>
  <c r="AA29" i="34"/>
  <c r="S29" i="34"/>
  <c r="AA46" i="33"/>
  <c r="S46" i="33"/>
  <c r="AA30" i="34"/>
  <c r="S30" i="34"/>
  <c r="W43" i="34"/>
  <c r="AC43" i="34"/>
  <c r="W26" i="21"/>
  <c r="AC26" i="21"/>
  <c r="S36" i="21"/>
  <c r="AA36" i="21"/>
  <c r="W27" i="21"/>
  <c r="AC27" i="21"/>
  <c r="AC36" i="21"/>
  <c r="W36" i="21"/>
  <c r="AB33" i="36"/>
  <c r="U33" i="36"/>
  <c r="AB8" i="37"/>
  <c r="U8" i="37"/>
  <c r="H12" i="37"/>
  <c r="AB12" i="37" s="1"/>
  <c r="F12" i="37"/>
  <c r="S12" i="37" s="1"/>
  <c r="J12" i="37"/>
  <c r="AB15" i="37"/>
  <c r="U15" i="37"/>
  <c r="J39" i="37"/>
  <c r="F39" i="37"/>
  <c r="S39" i="37" s="1"/>
  <c r="H39" i="37"/>
  <c r="AB9" i="40"/>
  <c r="U9" i="40"/>
  <c r="U41" i="21"/>
  <c r="AB41" i="21"/>
  <c r="BL581" i="3"/>
  <c r="BA581" i="3"/>
  <c r="BL580" i="3"/>
  <c r="BA580" i="3"/>
  <c r="BL579" i="3"/>
  <c r="AZ579" i="3" s="1"/>
  <c r="BL578" i="3"/>
  <c r="BA577" i="3"/>
  <c r="BL576" i="3"/>
  <c r="BO5" i="3"/>
  <c r="BF5" i="3"/>
  <c r="BA576" i="3"/>
  <c r="AZ576" i="3" s="1"/>
  <c r="BA575" i="3"/>
  <c r="AZ575" i="3" s="1"/>
  <c r="BL574" i="3"/>
  <c r="BA574" i="3"/>
  <c r="AC5" i="3"/>
  <c r="BA573" i="3"/>
  <c r="BL572" i="3"/>
  <c r="BA572" i="3"/>
  <c r="BP5" i="3"/>
  <c r="BG5" i="3"/>
  <c r="BT5" i="3"/>
  <c r="BC5" i="3"/>
  <c r="BK5" i="3"/>
  <c r="BM5" i="3"/>
  <c r="F29" i="6" s="1"/>
  <c r="BJ5" i="3"/>
  <c r="BE5" i="3"/>
  <c r="BN5" i="3"/>
  <c r="G29" i="6" s="1"/>
  <c r="W39" i="34"/>
  <c r="AC39" i="34"/>
  <c r="AC37" i="33"/>
  <c r="W37" i="33"/>
  <c r="S19" i="40"/>
  <c r="AA19" i="40"/>
  <c r="AB27" i="34"/>
  <c r="U27" i="34"/>
  <c r="W36" i="37"/>
  <c r="AC36" i="37"/>
  <c r="S27" i="37"/>
  <c r="AA27" i="37"/>
  <c r="AA13" i="37"/>
  <c r="S13" i="37"/>
  <c r="S30" i="21"/>
  <c r="AA30" i="21"/>
  <c r="U32" i="21"/>
  <c r="AB32" i="21"/>
  <c r="U45" i="21"/>
  <c r="AB45" i="21"/>
  <c r="U28" i="34"/>
  <c r="S28" i="35"/>
  <c r="F48" i="9"/>
  <c r="O52" i="9" s="1"/>
  <c r="F30" i="68"/>
  <c r="F48" i="68" s="1"/>
  <c r="F52" i="9"/>
  <c r="F32" i="15"/>
  <c r="F60" i="15" s="1"/>
  <c r="F54" i="9"/>
  <c r="F30" i="11"/>
  <c r="C48" i="11" s="1"/>
  <c r="M18" i="67"/>
  <c r="M18" i="15"/>
  <c r="F31" i="12"/>
  <c r="F30" i="69"/>
  <c r="F48" i="69" s="1"/>
  <c r="D68" i="9"/>
  <c r="C21" i="71"/>
  <c r="D21" i="71" s="1"/>
  <c r="D22" i="71"/>
  <c r="U32" i="39"/>
  <c r="F28" i="67"/>
  <c r="C28" i="67" s="1"/>
  <c r="AC13" i="34"/>
  <c r="U20" i="35"/>
  <c r="AB20" i="35"/>
  <c r="AZ388" i="3"/>
  <c r="AZ200" i="3"/>
  <c r="U37" i="39"/>
  <c r="AB37" i="39"/>
  <c r="AB19" i="37"/>
  <c r="U19" i="37"/>
  <c r="S39" i="33"/>
  <c r="AA39" i="33"/>
  <c r="U13" i="40"/>
  <c r="AB13" i="40"/>
  <c r="U12" i="40"/>
  <c r="AB12" i="40"/>
  <c r="U13" i="35"/>
  <c r="AB13" i="35"/>
  <c r="S30" i="33"/>
  <c r="AA30" i="33"/>
  <c r="U40" i="37"/>
  <c r="AB40" i="37"/>
  <c r="AA13" i="33"/>
  <c r="S13" i="33"/>
  <c r="U14" i="21"/>
  <c r="AB14" i="21"/>
  <c r="AC19" i="34"/>
  <c r="W19" i="34"/>
  <c r="U15" i="40"/>
  <c r="AB15" i="40"/>
  <c r="AB36" i="40"/>
  <c r="U36" i="40"/>
  <c r="S35" i="39"/>
  <c r="AA35" i="39"/>
  <c r="H14" i="33"/>
  <c r="F14" i="33"/>
  <c r="J14" i="33"/>
  <c r="H44" i="33"/>
  <c r="J44" i="33"/>
  <c r="F44" i="33"/>
  <c r="F13" i="34"/>
  <c r="H13" i="34"/>
  <c r="U13" i="34" s="1"/>
  <c r="F31" i="34"/>
  <c r="J31" i="34"/>
  <c r="H31" i="34"/>
  <c r="F47" i="34"/>
  <c r="J47" i="34"/>
  <c r="F25" i="35"/>
  <c r="J25" i="35"/>
  <c r="AC22" i="36"/>
  <c r="W22" i="36"/>
  <c r="H23" i="36"/>
  <c r="F23" i="36"/>
  <c r="J23" i="36"/>
  <c r="AZ357" i="3"/>
  <c r="AZ124" i="3"/>
  <c r="BL573" i="3"/>
  <c r="AZ573" i="3" s="1"/>
  <c r="AZ568" i="3"/>
  <c r="AA28" i="34"/>
  <c r="S28" i="34"/>
  <c r="B97" i="43"/>
  <c r="B75" i="43"/>
  <c r="H36" i="35"/>
  <c r="J36" i="35"/>
  <c r="AC36" i="35" s="1"/>
  <c r="AA44" i="39"/>
  <c r="S44" i="39"/>
  <c r="AA34" i="71"/>
  <c r="AA30" i="71"/>
  <c r="C44" i="71"/>
  <c r="D43" i="71"/>
  <c r="C60" i="71"/>
  <c r="D59" i="71"/>
  <c r="N67" i="71"/>
  <c r="B66" i="71"/>
  <c r="F66" i="71"/>
  <c r="Q66" i="71" s="1"/>
  <c r="Q67" i="71"/>
  <c r="T80" i="71"/>
  <c r="C79" i="71"/>
  <c r="D80" i="71"/>
  <c r="F27" i="71"/>
  <c r="F26" i="71" s="1"/>
  <c r="AB27" i="71"/>
  <c r="AZ402" i="3"/>
  <c r="AZ406" i="3"/>
  <c r="F39" i="40"/>
  <c r="W39" i="40"/>
  <c r="AC44" i="34"/>
  <c r="BB5" i="3"/>
  <c r="AZ387" i="3"/>
  <c r="AZ362" i="3"/>
  <c r="AZ338" i="3"/>
  <c r="AZ390" i="3"/>
  <c r="AZ371" i="3"/>
  <c r="AZ351" i="3"/>
  <c r="AZ336" i="3"/>
  <c r="AZ305" i="3"/>
  <c r="AZ140" i="3"/>
  <c r="AZ360" i="3"/>
  <c r="S42" i="39"/>
  <c r="W40" i="37"/>
  <c r="AA36" i="39"/>
  <c r="AZ539" i="3"/>
  <c r="AZ529" i="3"/>
  <c r="AZ537" i="3"/>
  <c r="AZ518" i="3"/>
  <c r="AZ526" i="3"/>
  <c r="AZ546" i="3"/>
  <c r="AZ564" i="3"/>
  <c r="AB26" i="33"/>
  <c r="J13" i="39"/>
  <c r="J28" i="33"/>
  <c r="AA27" i="35"/>
  <c r="S27" i="35"/>
  <c r="J24" i="36"/>
  <c r="H24" i="36"/>
  <c r="AB9" i="39"/>
  <c r="U9" i="39"/>
  <c r="BL550" i="3"/>
  <c r="AZ448" i="3"/>
  <c r="U23" i="33"/>
  <c r="AB25" i="33"/>
  <c r="AA19" i="37"/>
  <c r="W17" i="21"/>
  <c r="W30" i="33"/>
  <c r="AB34" i="33"/>
  <c r="U25" i="36"/>
  <c r="AB43" i="39"/>
  <c r="S37" i="40"/>
  <c r="D120" i="9"/>
  <c r="AA11" i="35"/>
  <c r="AA36" i="35"/>
  <c r="U12" i="39"/>
  <c r="AA12" i="39"/>
  <c r="AA27" i="40"/>
  <c r="AB27" i="40"/>
  <c r="S17" i="40"/>
  <c r="AB36" i="33"/>
  <c r="AA19" i="33"/>
  <c r="S27" i="21"/>
  <c r="U17" i="21"/>
  <c r="W30" i="21"/>
  <c r="U37" i="33"/>
  <c r="AC32" i="34"/>
  <c r="AC20" i="36"/>
  <c r="AA39" i="39"/>
  <c r="M20" i="67"/>
  <c r="AA29" i="33"/>
  <c r="AB35" i="34"/>
  <c r="AC15" i="37"/>
  <c r="S14" i="36"/>
  <c r="S35" i="40"/>
  <c r="AC11" i="39"/>
  <c r="BD5" i="3"/>
  <c r="E10" i="6" s="1"/>
  <c r="AZ318" i="3"/>
  <c r="AZ346" i="3"/>
  <c r="AZ304" i="3"/>
  <c r="AZ306" i="3"/>
  <c r="W8" i="39"/>
  <c r="S21" i="40"/>
  <c r="AZ535" i="3"/>
  <c r="BL577" i="3"/>
  <c r="AZ557" i="3"/>
  <c r="AZ513" i="3"/>
  <c r="AZ548" i="3"/>
  <c r="AZ582" i="3"/>
  <c r="AZ540" i="3"/>
  <c r="AZ502" i="3"/>
  <c r="S45" i="33"/>
  <c r="U46" i="33"/>
  <c r="U35" i="33"/>
  <c r="H12" i="33"/>
  <c r="U12" i="33" s="1"/>
  <c r="J12" i="33"/>
  <c r="H39" i="40"/>
  <c r="AZ421" i="3"/>
  <c r="AC12" i="34"/>
  <c r="U34" i="40"/>
  <c r="G585" i="3"/>
  <c r="BL587" i="3"/>
  <c r="AZ587" i="3" s="1"/>
  <c r="BL586" i="3"/>
  <c r="AZ586" i="3" s="1"/>
  <c r="J9" i="34"/>
  <c r="H12" i="34"/>
  <c r="G574" i="3"/>
  <c r="BL16" i="3"/>
  <c r="AZ16" i="3" s="1"/>
  <c r="BA401" i="3"/>
  <c r="AZ401" i="3" s="1"/>
  <c r="BA403" i="3"/>
  <c r="AZ403" i="3" s="1"/>
  <c r="BA404" i="3"/>
  <c r="AZ404" i="3" s="1"/>
  <c r="BA405" i="3"/>
  <c r="AZ405" i="3" s="1"/>
  <c r="G409" i="3"/>
  <c r="BL410" i="3"/>
  <c r="G412" i="3"/>
  <c r="G418" i="3"/>
  <c r="G419" i="3"/>
  <c r="BA422" i="3"/>
  <c r="G429" i="3"/>
  <c r="G430" i="3"/>
  <c r="G432" i="3"/>
  <c r="BL432" i="3"/>
  <c r="AZ432" i="3" s="1"/>
  <c r="BA434" i="3"/>
  <c r="AZ434" i="3" s="1"/>
  <c r="BA435" i="3"/>
  <c r="AZ458" i="3"/>
  <c r="AZ469" i="3"/>
  <c r="BA551" i="3"/>
  <c r="AZ551" i="3" s="1"/>
  <c r="BA550" i="3"/>
  <c r="AZ550" i="3" s="1"/>
  <c r="BL548" i="3"/>
  <c r="BL400" i="3"/>
  <c r="AZ400" i="3" s="1"/>
  <c r="BL408" i="3"/>
  <c r="BL411" i="3"/>
  <c r="BL413" i="3"/>
  <c r="AZ413" i="3" s="1"/>
  <c r="BL417" i="3"/>
  <c r="BL418" i="3"/>
  <c r="AZ418" i="3" s="1"/>
  <c r="BL420" i="3"/>
  <c r="BL424" i="3"/>
  <c r="BL428" i="3"/>
  <c r="BL429" i="3"/>
  <c r="BA437" i="3"/>
  <c r="AZ437" i="3" s="1"/>
  <c r="BA439" i="3"/>
  <c r="BA440" i="3"/>
  <c r="AZ440" i="3" s="1"/>
  <c r="BA443" i="3"/>
  <c r="AZ443" i="3" s="1"/>
  <c r="BA444" i="3"/>
  <c r="AZ444" i="3" s="1"/>
  <c r="BA445" i="3"/>
  <c r="BA447" i="3"/>
  <c r="AZ447" i="3" s="1"/>
  <c r="BL448" i="3"/>
  <c r="BL469" i="3"/>
  <c r="BL479" i="3"/>
  <c r="BA319" i="3"/>
  <c r="AZ319" i="3" s="1"/>
  <c r="BL585" i="3"/>
  <c r="AZ585" i="3" s="1"/>
  <c r="AC31" i="35"/>
  <c r="G558" i="3"/>
  <c r="BL398" i="3"/>
  <c r="AZ398" i="3" s="1"/>
  <c r="G402" i="3"/>
  <c r="BL403" i="3"/>
  <c r="G405" i="3"/>
  <c r="G406" i="3"/>
  <c r="BA408" i="3"/>
  <c r="BA409" i="3"/>
  <c r="AZ409" i="3" s="1"/>
  <c r="BA411" i="3"/>
  <c r="AZ411" i="3" s="1"/>
  <c r="BL414" i="3"/>
  <c r="AZ414" i="3" s="1"/>
  <c r="BL415" i="3"/>
  <c r="AZ415" i="3" s="1"/>
  <c r="BA417" i="3"/>
  <c r="BL421" i="3"/>
  <c r="BL422" i="3"/>
  <c r="BL425" i="3"/>
  <c r="AZ425" i="3" s="1"/>
  <c r="BL426" i="3"/>
  <c r="BA428" i="3"/>
  <c r="AZ428" i="3" s="1"/>
  <c r="BA429" i="3"/>
  <c r="AZ429" i="3" s="1"/>
  <c r="BA430" i="3"/>
  <c r="AZ430" i="3" s="1"/>
  <c r="BA433" i="3"/>
  <c r="AZ433" i="3" s="1"/>
  <c r="G435" i="3"/>
  <c r="BL435" i="3"/>
  <c r="BL436" i="3"/>
  <c r="BL441" i="3"/>
  <c r="BL442" i="3"/>
  <c r="AZ451" i="3"/>
  <c r="BL316" i="3"/>
  <c r="BL381" i="3"/>
  <c r="AZ381" i="3" s="1"/>
  <c r="BA438" i="3"/>
  <c r="G442" i="3"/>
  <c r="G443" i="3"/>
  <c r="BA446" i="3"/>
  <c r="BA450" i="3"/>
  <c r="BA453" i="3"/>
  <c r="AZ453" i="3" s="1"/>
  <c r="BA455" i="3"/>
  <c r="AZ455" i="3" s="1"/>
  <c r="BL457" i="3"/>
  <c r="BL460" i="3"/>
  <c r="BL461" i="3"/>
  <c r="BL463" i="3"/>
  <c r="G465" i="3"/>
  <c r="BA471" i="3"/>
  <c r="AZ471" i="3" s="1"/>
  <c r="G486" i="3"/>
  <c r="G488" i="3"/>
  <c r="BL317" i="3"/>
  <c r="G318" i="3"/>
  <c r="BL340" i="3"/>
  <c r="AZ340" i="3" s="1"/>
  <c r="BL346" i="3"/>
  <c r="G349" i="3"/>
  <c r="G364" i="3"/>
  <c r="BA367" i="3"/>
  <c r="AZ367" i="3" s="1"/>
  <c r="BA370" i="3"/>
  <c r="AZ370" i="3" s="1"/>
  <c r="BL385" i="3"/>
  <c r="BA212" i="3"/>
  <c r="BA216" i="3"/>
  <c r="AZ216" i="3" s="1"/>
  <c r="BA227" i="3"/>
  <c r="AZ227" i="3" s="1"/>
  <c r="BL242" i="3"/>
  <c r="BL243" i="3"/>
  <c r="G244" i="3"/>
  <c r="BA246" i="3"/>
  <c r="G249" i="3"/>
  <c r="BA250" i="3"/>
  <c r="AZ250" i="3" s="1"/>
  <c r="BA252" i="3"/>
  <c r="AZ252" i="3" s="1"/>
  <c r="G255" i="3"/>
  <c r="G256" i="3"/>
  <c r="BA258" i="3"/>
  <c r="BL262" i="3"/>
  <c r="BL263" i="3"/>
  <c r="G264" i="3"/>
  <c r="BL266" i="3"/>
  <c r="BL273" i="3"/>
  <c r="BA277" i="3"/>
  <c r="BL277" i="3"/>
  <c r="G284" i="3"/>
  <c r="BL285" i="3"/>
  <c r="BL293" i="3"/>
  <c r="BL294" i="3"/>
  <c r="BA297" i="3"/>
  <c r="BL297" i="3"/>
  <c r="BA454" i="3"/>
  <c r="AZ454" i="3" s="1"/>
  <c r="BA457" i="3"/>
  <c r="AZ457" i="3" s="1"/>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A354" i="3"/>
  <c r="BA366" i="3"/>
  <c r="AZ366" i="3" s="1"/>
  <c r="BL375" i="3"/>
  <c r="AZ375" i="3" s="1"/>
  <c r="BA392" i="3"/>
  <c r="AZ392" i="3" s="1"/>
  <c r="BA395" i="3"/>
  <c r="AZ395" i="3" s="1"/>
  <c r="BA208" i="3"/>
  <c r="AZ208" i="3" s="1"/>
  <c r="BA211" i="3"/>
  <c r="AZ211" i="3" s="1"/>
  <c r="BL259" i="3"/>
  <c r="BL267" i="3"/>
  <c r="BL431" i="3"/>
  <c r="G433" i="3"/>
  <c r="BL434" i="3"/>
  <c r="G436" i="3"/>
  <c r="G437" i="3"/>
  <c r="BL438" i="3"/>
  <c r="BL439" i="3"/>
  <c r="AZ439" i="3" s="1"/>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48" i="3"/>
  <c r="BA350" i="3"/>
  <c r="AZ350" i="3" s="1"/>
  <c r="BA385" i="3"/>
  <c r="AZ385" i="3" s="1"/>
  <c r="G397" i="3"/>
  <c r="G210" i="3"/>
  <c r="BL212" i="3"/>
  <c r="BA218" i="3"/>
  <c r="AZ218" i="3" s="1"/>
  <c r="BL218" i="3"/>
  <c r="BL222" i="3"/>
  <c r="BL223" i="3"/>
  <c r="G224" i="3"/>
  <c r="BA229" i="3"/>
  <c r="BL229" i="3"/>
  <c r="BL237" i="3"/>
  <c r="BL238" i="3"/>
  <c r="G239" i="3"/>
  <c r="BA241" i="3"/>
  <c r="BL241" i="3"/>
  <c r="BA248" i="3"/>
  <c r="AZ248" i="3" s="1"/>
  <c r="G251" i="3"/>
  <c r="BA253" i="3"/>
  <c r="BA268" i="3"/>
  <c r="BL278" i="3"/>
  <c r="G280" i="3"/>
  <c r="BA282" i="3"/>
  <c r="BL282" i="3"/>
  <c r="BL287" i="3"/>
  <c r="BL290" i="3"/>
  <c r="BA293" i="3"/>
  <c r="BL298" i="3"/>
  <c r="BL299" i="3"/>
  <c r="G300" i="3"/>
  <c r="BA302" i="3"/>
  <c r="BA117" i="3"/>
  <c r="BL137" i="3"/>
  <c r="BA146" i="3"/>
  <c r="AZ146" i="3" s="1"/>
  <c r="BA50" i="3"/>
  <c r="AZ50" i="3" s="1"/>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BA243" i="3"/>
  <c r="AZ243" i="3" s="1"/>
  <c r="BL248" i="3"/>
  <c r="G250" i="3"/>
  <c r="BL250" i="3"/>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16" i="3"/>
  <c r="AZ116" i="3" s="1"/>
  <c r="BA121" i="3"/>
  <c r="BL121" i="3"/>
  <c r="BA124" i="3"/>
  <c r="BA126" i="3"/>
  <c r="AZ126" i="3" s="1"/>
  <c r="BA129" i="3"/>
  <c r="BL133" i="3"/>
  <c r="AZ133" i="3" s="1"/>
  <c r="BL134" i="3"/>
  <c r="BL169" i="3"/>
  <c r="BA177" i="3"/>
  <c r="AZ177" i="3" s="1"/>
  <c r="BL198" i="3"/>
  <c r="G26" i="3"/>
  <c r="BL35" i="3"/>
  <c r="G56" i="3"/>
  <c r="BL213" i="3"/>
  <c r="BL215" i="3"/>
  <c r="BA222" i="3"/>
  <c r="AZ222" i="3" s="1"/>
  <c r="BA224" i="3"/>
  <c r="AZ224" i="3" s="1"/>
  <c r="BA226" i="3"/>
  <c r="BA237" i="3"/>
  <c r="BL240" i="3"/>
  <c r="AZ240" i="3" s="1"/>
  <c r="BA242" i="3"/>
  <c r="AZ242" i="3" s="1"/>
  <c r="BL245" i="3"/>
  <c r="AZ245" i="3" s="1"/>
  <c r="G247" i="3"/>
  <c r="BL255" i="3"/>
  <c r="G257" i="3"/>
  <c r="BL257" i="3"/>
  <c r="AZ257" i="3" s="1"/>
  <c r="BL258" i="3"/>
  <c r="G259" i="3"/>
  <c r="BA262" i="3"/>
  <c r="G265" i="3"/>
  <c r="BL265" i="3"/>
  <c r="AZ265" i="3" s="1"/>
  <c r="G267" i="3"/>
  <c r="G269" i="3"/>
  <c r="BA273" i="3"/>
  <c r="AZ273" i="3" s="1"/>
  <c r="BA278" i="3"/>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G136" i="3"/>
  <c r="BA137" i="3"/>
  <c r="BL138" i="3"/>
  <c r="BA140" i="3"/>
  <c r="BA142" i="3"/>
  <c r="BL149" i="3"/>
  <c r="AZ149" i="3" s="1"/>
  <c r="BL150" i="3"/>
  <c r="G151" i="3"/>
  <c r="BL161" i="3"/>
  <c r="BL173" i="3"/>
  <c r="G206" i="3"/>
  <c r="BL24" i="3"/>
  <c r="BL34" i="3"/>
  <c r="AC29" i="39"/>
  <c r="W29" i="39"/>
  <c r="AA3" i="71"/>
  <c r="D38" i="71"/>
  <c r="C39" i="71"/>
  <c r="AB26" i="71"/>
  <c r="V24" i="71"/>
  <c r="E23" i="71"/>
  <c r="E22" i="71" s="1"/>
  <c r="E21" i="71" s="1"/>
  <c r="E20" i="71"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70" i="3"/>
  <c r="BL71" i="3"/>
  <c r="AZ71" i="3" s="1"/>
  <c r="AA18" i="36"/>
  <c r="S18" i="36"/>
  <c r="D51" i="71"/>
  <c r="F34" i="71"/>
  <c r="F35" i="71" s="1"/>
  <c r="F36" i="71" s="1"/>
  <c r="V36" i="71" s="1"/>
  <c r="AB33" i="71"/>
  <c r="AB28" i="71"/>
  <c r="AB32" i="71"/>
  <c r="AA38" i="71"/>
  <c r="AA39" i="71"/>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BA202" i="3"/>
  <c r="BL207" i="3"/>
  <c r="BL18" i="3"/>
  <c r="AZ18" i="3" s="1"/>
  <c r="G19" i="3"/>
  <c r="BL19" i="3"/>
  <c r="BA20" i="3"/>
  <c r="AZ20" i="3" s="1"/>
  <c r="BL25" i="3"/>
  <c r="BL27" i="3"/>
  <c r="BA28" i="3"/>
  <c r="AZ28" i="3" s="1"/>
  <c r="BA31" i="3"/>
  <c r="BA32" i="3"/>
  <c r="G38" i="3"/>
  <c r="BA38" i="3"/>
  <c r="BA41" i="3"/>
  <c r="AZ41" i="3" s="1"/>
  <c r="BA42" i="3"/>
  <c r="G47" i="3"/>
  <c r="BL48" i="3"/>
  <c r="BL54" i="3"/>
  <c r="BL55" i="3"/>
  <c r="AZ55" i="3" s="1"/>
  <c r="G58" i="3"/>
  <c r="BA59" i="3"/>
  <c r="BL61" i="3"/>
  <c r="BA62" i="3"/>
  <c r="AZ62" i="3" s="1"/>
  <c r="BA66" i="3"/>
  <c r="AZ66" i="3" s="1"/>
  <c r="BL67" i="3"/>
  <c r="AZ67" i="3" s="1"/>
  <c r="BA72" i="3"/>
  <c r="AZ72" i="3" s="1"/>
  <c r="BA73" i="3"/>
  <c r="AZ73" i="3" s="1"/>
  <c r="BA79" i="3"/>
  <c r="AZ79" i="3" s="1"/>
  <c r="BL83" i="3"/>
  <c r="G88" i="3"/>
  <c r="BL91" i="3"/>
  <c r="G98" i="3"/>
  <c r="D54" i="71"/>
  <c r="C31" i="71"/>
  <c r="Y30" i="71"/>
  <c r="Z30" i="71" s="1"/>
  <c r="Y29" i="71"/>
  <c r="Z29" i="71" s="1"/>
  <c r="X36" i="71"/>
  <c r="X35" i="71"/>
  <c r="X38" i="71"/>
  <c r="T72" i="71"/>
  <c r="C71" i="71"/>
  <c r="U76" i="71"/>
  <c r="E75" i="71"/>
  <c r="E74" i="71" s="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G204" i="3"/>
  <c r="BL206" i="3"/>
  <c r="BA19" i="3"/>
  <c r="G22" i="3"/>
  <c r="G24" i="3"/>
  <c r="G25" i="3"/>
  <c r="BA27" i="3"/>
  <c r="G30" i="3"/>
  <c r="BL30" i="3"/>
  <c r="BL31" i="3"/>
  <c r="G35" i="3"/>
  <c r="G36" i="3"/>
  <c r="G40" i="3"/>
  <c r="BL40" i="3"/>
  <c r="AZ40" i="3" s="1"/>
  <c r="BL41" i="3"/>
  <c r="G45" i="3"/>
  <c r="BL45" i="3"/>
  <c r="AZ45" i="3" s="1"/>
  <c r="BA48" i="3"/>
  <c r="AZ48" i="3" s="1"/>
  <c r="BA49" i="3"/>
  <c r="AZ49" i="3" s="1"/>
  <c r="BA51" i="3"/>
  <c r="AZ51" i="3" s="1"/>
  <c r="G54" i="3"/>
  <c r="BL56" i="3"/>
  <c r="BA58" i="3"/>
  <c r="AZ58" i="3" s="1"/>
  <c r="BL59" i="3"/>
  <c r="BL60" i="3"/>
  <c r="BA61" i="3"/>
  <c r="AZ61" i="3" s="1"/>
  <c r="BA63" i="3"/>
  <c r="AZ63" i="3" s="1"/>
  <c r="BL65" i="3"/>
  <c r="AZ65" i="3" s="1"/>
  <c r="BA70" i="3"/>
  <c r="AZ70" i="3" s="1"/>
  <c r="G76" i="3"/>
  <c r="BL77" i="3"/>
  <c r="AZ77" i="3" s="1"/>
  <c r="BL81" i="3"/>
  <c r="BA82" i="3"/>
  <c r="AZ82" i="3" s="1"/>
  <c r="BA94" i="3"/>
  <c r="G102" i="3"/>
  <c r="F40" i="68"/>
  <c r="C21" i="68"/>
  <c r="E28" i="71"/>
  <c r="E27" i="71" s="1"/>
  <c r="E26" i="71" s="1"/>
  <c r="AA27" i="71"/>
  <c r="AA28" i="71"/>
  <c r="Y26" i="71"/>
  <c r="Z26" i="71" s="1"/>
  <c r="C28" i="71"/>
  <c r="Y28" i="71"/>
  <c r="Z28" i="71" s="1"/>
  <c r="Y25" i="71"/>
  <c r="Z25" i="71" s="1"/>
  <c r="Y35" i="71"/>
  <c r="Z35" i="71" s="1"/>
  <c r="Y37" i="71"/>
  <c r="Z37" i="71" s="1"/>
  <c r="D56" i="71"/>
  <c r="T56" i="71"/>
  <c r="D84" i="71"/>
  <c r="C83" i="71"/>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S25" i="40"/>
  <c r="B77" i="43"/>
  <c r="O67" i="71"/>
  <c r="AB25" i="71"/>
  <c r="X26"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P66" i="71"/>
  <c r="C66" i="71"/>
  <c r="S28" i="71"/>
  <c r="X28" i="71"/>
  <c r="X32" i="71"/>
  <c r="F38" i="71"/>
  <c r="F39" i="71" s="1"/>
  <c r="F40" i="71" s="1"/>
  <c r="V40" i="71" s="1"/>
  <c r="AB38" i="71"/>
  <c r="F75" i="71"/>
  <c r="F74" i="71" s="1"/>
  <c r="B79" i="71"/>
  <c r="B78" i="71" s="1"/>
  <c r="BA90" i="3"/>
  <c r="BL94" i="3"/>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68" i="3"/>
  <c r="AZ106" i="3"/>
  <c r="G200" i="3"/>
  <c r="G207" i="3"/>
  <c r="BA23" i="3"/>
  <c r="AZ23" i="3" s="1"/>
  <c r="BA24" i="3"/>
  <c r="AZ24" i="3" s="1"/>
  <c r="BL26" i="3"/>
  <c r="AZ26" i="3" s="1"/>
  <c r="BL32" i="3"/>
  <c r="BA34" i="3"/>
  <c r="BA35" i="3"/>
  <c r="AZ35" i="3" s="1"/>
  <c r="BL37" i="3"/>
  <c r="AZ37" i="3" s="1"/>
  <c r="BL42" i="3"/>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BL89" i="3"/>
  <c r="AZ89" i="3" s="1"/>
  <c r="G94" i="3"/>
  <c r="G97" i="3"/>
  <c r="G100" i="3"/>
  <c r="BA107" i="3"/>
  <c r="AZ107" i="3" s="1"/>
  <c r="BA112" i="3"/>
  <c r="AZ112" i="3" s="1"/>
  <c r="AC21" i="34"/>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F51" i="15"/>
  <c r="F71" i="15"/>
  <c r="F66" i="67"/>
  <c r="L59" i="15"/>
  <c r="N59" i="15"/>
  <c r="L58" i="15"/>
  <c r="M59" i="15"/>
  <c r="Q71" i="67"/>
  <c r="F64" i="15"/>
  <c r="C27" i="67"/>
  <c r="F71" i="67"/>
  <c r="C27" i="15"/>
  <c r="F65" i="15"/>
  <c r="N59" i="67"/>
  <c r="L59" i="67"/>
  <c r="L58" i="67"/>
  <c r="M59" i="67"/>
  <c r="B13" i="70"/>
  <c r="M7" i="67"/>
  <c r="J6" i="67" s="1"/>
  <c r="F50" i="67"/>
  <c r="F68" i="67"/>
  <c r="F64" i="67"/>
  <c r="F68" i="15"/>
  <c r="C36" i="68"/>
  <c r="D9" i="69"/>
  <c r="C36" i="69"/>
  <c r="D9" i="68"/>
  <c r="M8" i="15"/>
  <c r="M29" i="67"/>
  <c r="M28" i="15"/>
  <c r="C16" i="67"/>
  <c r="F42" i="15"/>
  <c r="F9" i="67"/>
  <c r="M9" i="15"/>
  <c r="F13" i="67"/>
  <c r="D3" i="73"/>
  <c r="D5" i="73"/>
  <c r="F9" i="15"/>
  <c r="F7" i="15"/>
  <c r="F37" i="67"/>
  <c r="F42" i="67"/>
  <c r="D4" i="73"/>
  <c r="C16" i="15"/>
  <c r="M29" i="15"/>
  <c r="F38" i="15"/>
  <c r="F13" i="15"/>
  <c r="F6" i="67"/>
  <c r="D7" i="73"/>
  <c r="H26" i="43" l="1"/>
  <c r="E26" i="43"/>
  <c r="G26" i="43"/>
  <c r="N94" i="46"/>
  <c r="J26" i="43"/>
  <c r="N370" i="46"/>
  <c r="G16" i="1"/>
  <c r="J10" i="40" s="1"/>
  <c r="AC10" i="40" s="1"/>
  <c r="C6" i="67"/>
  <c r="C32" i="67" s="1"/>
  <c r="F31" i="67"/>
  <c r="F66" i="15"/>
  <c r="F65" i="67"/>
  <c r="F50" i="15"/>
  <c r="C49" i="15" s="1"/>
  <c r="F31" i="15"/>
  <c r="M7" i="15"/>
  <c r="J6" i="15" s="1"/>
  <c r="J18" i="15" s="1"/>
  <c r="C6" i="15"/>
  <c r="C32" i="15" s="1"/>
  <c r="C82" i="71"/>
  <c r="D82" i="71" s="1"/>
  <c r="D83" i="71"/>
  <c r="W12" i="33"/>
  <c r="AC12" i="33"/>
  <c r="W12" i="37"/>
  <c r="AC12" i="37"/>
  <c r="T28" i="71"/>
  <c r="D28" i="71"/>
  <c r="U28" i="71" s="1"/>
  <c r="C27" i="71"/>
  <c r="AZ94" i="3"/>
  <c r="S39" i="40"/>
  <c r="AA39" i="40"/>
  <c r="D60" i="71"/>
  <c r="T60" i="71"/>
  <c r="AB36" i="35"/>
  <c r="U36" i="35"/>
  <c r="AC23" i="36"/>
  <c r="W23" i="36"/>
  <c r="S47" i="34"/>
  <c r="AA47" i="34"/>
  <c r="AB44" i="33"/>
  <c r="U44" i="33"/>
  <c r="E15" i="6"/>
  <c r="E64" i="39" s="1"/>
  <c r="E28" i="6"/>
  <c r="K14" i="1" s="1"/>
  <c r="K16" i="1" s="1"/>
  <c r="AZ85" i="3"/>
  <c r="AZ299" i="3"/>
  <c r="AZ287" i="3"/>
  <c r="AZ354" i="3"/>
  <c r="O65" i="71"/>
  <c r="D66" i="71"/>
  <c r="O66" i="71"/>
  <c r="AZ108" i="3"/>
  <c r="AZ91" i="3"/>
  <c r="D31" i="71"/>
  <c r="C32" i="71"/>
  <c r="AZ31" i="3"/>
  <c r="AZ25" i="3"/>
  <c r="AZ262" i="3"/>
  <c r="AZ121" i="3"/>
  <c r="AZ274" i="3"/>
  <c r="AZ267" i="3"/>
  <c r="AZ332" i="3"/>
  <c r="AZ297" i="3"/>
  <c r="AZ422" i="3"/>
  <c r="U12" i="34"/>
  <c r="AB12" i="34"/>
  <c r="AB24" i="36"/>
  <c r="U24" i="36"/>
  <c r="AC28" i="33"/>
  <c r="W28" i="33"/>
  <c r="C78" i="71"/>
  <c r="D78" i="71" s="1"/>
  <c r="D79" i="71"/>
  <c r="N65" i="71"/>
  <c r="N66" i="71"/>
  <c r="AA23" i="36"/>
  <c r="S23" i="36"/>
  <c r="W25" i="35"/>
  <c r="AC25" i="35"/>
  <c r="AA13" i="34"/>
  <c r="S13" i="34"/>
  <c r="W14" i="33"/>
  <c r="AC14" i="33"/>
  <c r="AZ572" i="3"/>
  <c r="AZ574" i="3"/>
  <c r="AC39" i="37"/>
  <c r="W39" i="37"/>
  <c r="AA32" i="40"/>
  <c r="S32" i="40"/>
  <c r="AA11" i="36"/>
  <c r="S11" i="36"/>
  <c r="E13" i="6"/>
  <c r="E58" i="40" s="1"/>
  <c r="E12" i="6"/>
  <c r="E57" i="40" s="1"/>
  <c r="E14" i="6"/>
  <c r="Q65" i="71"/>
  <c r="AZ206" i="3"/>
  <c r="AZ34" i="3"/>
  <c r="AZ170" i="3"/>
  <c r="AZ285" i="3"/>
  <c r="AZ198" i="3"/>
  <c r="C70" i="71"/>
  <c r="D70" i="71" s="1"/>
  <c r="D71" i="71"/>
  <c r="AZ59" i="3"/>
  <c r="C40" i="71"/>
  <c r="D39" i="71"/>
  <c r="AZ368" i="3"/>
  <c r="AZ302" i="3"/>
  <c r="AZ282" i="3"/>
  <c r="AZ241" i="3"/>
  <c r="AZ417" i="3"/>
  <c r="AC9" i="34"/>
  <c r="W9" i="34"/>
  <c r="D121" i="9"/>
  <c r="D7" i="52" s="1"/>
  <c r="D6" i="52"/>
  <c r="AC24" i="36"/>
  <c r="W24" i="36"/>
  <c r="W13" i="39"/>
  <c r="AC13" i="39"/>
  <c r="D44" i="71"/>
  <c r="T44" i="71"/>
  <c r="AB23" i="36"/>
  <c r="U23" i="36"/>
  <c r="S25" i="35"/>
  <c r="AA25" i="35"/>
  <c r="W31" i="34"/>
  <c r="AC31" i="34"/>
  <c r="S44" i="33"/>
  <c r="AA44" i="33"/>
  <c r="AA14" i="33"/>
  <c r="S14" i="33"/>
  <c r="AC32" i="40"/>
  <c r="W32" i="40"/>
  <c r="G5" i="3"/>
  <c r="B3" i="3" s="1"/>
  <c r="AL6" i="3" s="1"/>
  <c r="AZ42" i="3"/>
  <c r="AZ32" i="3"/>
  <c r="AZ142" i="3"/>
  <c r="AB13" i="34"/>
  <c r="AZ111" i="3"/>
  <c r="AZ19" i="3"/>
  <c r="AZ27" i="3"/>
  <c r="AZ178" i="3"/>
  <c r="AZ169" i="3"/>
  <c r="AZ137" i="3"/>
  <c r="AZ278" i="3"/>
  <c r="AZ237" i="3"/>
  <c r="AZ271" i="3"/>
  <c r="AZ238" i="3"/>
  <c r="AZ229" i="3"/>
  <c r="AZ441" i="3"/>
  <c r="AZ483" i="3"/>
  <c r="AZ461" i="3"/>
  <c r="AZ277" i="3"/>
  <c r="AZ408" i="3"/>
  <c r="AZ435" i="3"/>
  <c r="U39" i="40"/>
  <c r="AB39" i="40"/>
  <c r="AZ577" i="3"/>
  <c r="AC47" i="34"/>
  <c r="W47" i="34"/>
  <c r="AA31" i="34"/>
  <c r="S31" i="34"/>
  <c r="W44" i="33"/>
  <c r="AC44" i="33"/>
  <c r="U14" i="33"/>
  <c r="AB14" i="33"/>
  <c r="AZ580" i="3"/>
  <c r="AB39" i="37"/>
  <c r="U39" i="37"/>
  <c r="J7" i="37"/>
  <c r="K1" i="73"/>
  <c r="E565" i="3"/>
  <c r="E448" i="3"/>
  <c r="E571" i="3"/>
  <c r="E505" i="3"/>
  <c r="E568" i="3"/>
  <c r="E106" i="3"/>
  <c r="E278" i="3"/>
  <c r="X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F31" i="6"/>
  <c r="E51" i="40"/>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F41" i="67"/>
  <c r="H10" i="40" l="1"/>
  <c r="AB10" i="40" s="1"/>
  <c r="AJ6" i="3"/>
  <c r="E261" i="3"/>
  <c r="E245" i="3"/>
  <c r="E196" i="3"/>
  <c r="M14" i="1"/>
  <c r="E61" i="39"/>
  <c r="E345" i="3"/>
  <c r="E508" i="3"/>
  <c r="E516" i="3"/>
  <c r="E51" i="3"/>
  <c r="F10" i="40"/>
  <c r="S10" i="40" s="1"/>
  <c r="E94" i="3"/>
  <c r="E219" i="3"/>
  <c r="E296" i="3"/>
  <c r="E263" i="3"/>
  <c r="E570" i="3"/>
  <c r="E273" i="3"/>
  <c r="E368" i="3"/>
  <c r="E560" i="3"/>
  <c r="E301" i="3"/>
  <c r="AR6" i="3"/>
  <c r="E331" i="3"/>
  <c r="E549" i="3"/>
  <c r="E314" i="3"/>
  <c r="E294" i="3"/>
  <c r="E316" i="3"/>
  <c r="E437" i="3"/>
  <c r="E319" i="3"/>
  <c r="E98" i="3"/>
  <c r="E80" i="3"/>
  <c r="E378" i="3"/>
  <c r="E131" i="3"/>
  <c r="E246" i="3"/>
  <c r="E69" i="3"/>
  <c r="E322" i="3"/>
  <c r="E400" i="3"/>
  <c r="E454" i="3"/>
  <c r="E77" i="3"/>
  <c r="E185" i="3"/>
  <c r="E305" i="3"/>
  <c r="E477" i="3"/>
  <c r="E562" i="3"/>
  <c r="E290" i="3"/>
  <c r="E239" i="3"/>
  <c r="E256" i="3"/>
  <c r="S6" i="3"/>
  <c r="E438" i="3"/>
  <c r="E455" i="3"/>
  <c r="E119" i="3"/>
  <c r="E191" i="3"/>
  <c r="E514" i="3"/>
  <c r="E211" i="3"/>
  <c r="E227" i="3"/>
  <c r="K6" i="3"/>
  <c r="E134" i="3"/>
  <c r="E533" i="3"/>
  <c r="E210" i="3"/>
  <c r="E31" i="3"/>
  <c r="E85" i="3"/>
  <c r="E320" i="3"/>
  <c r="E166" i="3"/>
  <c r="E280" i="3"/>
  <c r="E403" i="3"/>
  <c r="E542" i="3"/>
  <c r="E212" i="3"/>
  <c r="E430" i="3"/>
  <c r="E84" i="3"/>
  <c r="E96" i="3"/>
  <c r="E13" i="3"/>
  <c r="E16" i="3"/>
  <c r="E40" i="3"/>
  <c r="E339" i="3"/>
  <c r="E101" i="3"/>
  <c r="E421" i="3"/>
  <c r="E436" i="3"/>
  <c r="E259" i="3"/>
  <c r="E195" i="3"/>
  <c r="E82" i="3"/>
  <c r="E157" i="3"/>
  <c r="E288" i="3"/>
  <c r="E257" i="3"/>
  <c r="E207" i="3"/>
  <c r="E548" i="3"/>
  <c r="E71" i="3"/>
  <c r="E317" i="3"/>
  <c r="E501" i="3"/>
  <c r="E359" i="3"/>
  <c r="E523" i="3"/>
  <c r="E298" i="3"/>
  <c r="E17" i="3"/>
  <c r="E303" i="3"/>
  <c r="AA6" i="3"/>
  <c r="E120" i="3"/>
  <c r="E481" i="3"/>
  <c r="E496" i="3"/>
  <c r="E394" i="3"/>
  <c r="E252" i="3"/>
  <c r="P6" i="3"/>
  <c r="E88" i="3"/>
  <c r="E334" i="3"/>
  <c r="E553" i="3"/>
  <c r="E396" i="3"/>
  <c r="E551" i="3"/>
  <c r="E230" i="3"/>
  <c r="E550" i="3"/>
  <c r="E382" i="3"/>
  <c r="E583" i="3"/>
  <c r="E99" i="3"/>
  <c r="E458" i="3"/>
  <c r="E450" i="3"/>
  <c r="E351" i="3"/>
  <c r="E269"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91" i="3"/>
  <c r="E233" i="3"/>
  <c r="E102" i="3"/>
  <c r="E41" i="3"/>
  <c r="E393" i="3"/>
  <c r="E333" i="3"/>
  <c r="E52" i="3"/>
  <c r="E398" i="3"/>
  <c r="E209" i="3"/>
  <c r="E47" i="3"/>
  <c r="E462" i="3"/>
  <c r="E413" i="3"/>
  <c r="E122" i="3"/>
  <c r="E313" i="3"/>
  <c r="E471" i="3"/>
  <c r="E357"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F10" i="39"/>
  <c r="J10" i="39"/>
  <c r="W10" i="39" s="1"/>
  <c r="H10" i="39"/>
  <c r="U10" i="39" s="1"/>
  <c r="E139" i="3"/>
  <c r="E369" i="3"/>
  <c r="E487" i="3"/>
  <c r="E242" i="3"/>
  <c r="E148" i="3"/>
  <c r="E385" i="3"/>
  <c r="E535" i="3"/>
  <c r="E335" i="3"/>
  <c r="E247" i="3"/>
  <c r="E217" i="3"/>
  <c r="E28" i="3"/>
  <c r="Z6" i="3"/>
  <c r="E315" i="3"/>
  <c r="E587" i="3"/>
  <c r="E228" i="3"/>
  <c r="E124" i="3"/>
  <c r="E503" i="3"/>
  <c r="E380" i="3"/>
  <c r="E337" i="3"/>
  <c r="E175" i="3"/>
  <c r="E27" i="3"/>
  <c r="E515" i="3"/>
  <c r="E150" i="3"/>
  <c r="E573" i="3"/>
  <c r="E336" i="3"/>
  <c r="E395" i="3"/>
  <c r="E559" i="3"/>
  <c r="E366" i="3"/>
  <c r="E444" i="3"/>
  <c r="E236" i="3"/>
  <c r="E429" i="3"/>
  <c r="E128" i="3"/>
  <c r="E159" i="3"/>
  <c r="E321" i="3"/>
  <c r="O6" i="3"/>
  <c r="E291" i="3"/>
  <c r="E411" i="3"/>
  <c r="E54" i="3"/>
  <c r="E306" i="3"/>
  <c r="E488" i="3"/>
  <c r="E323" i="3"/>
  <c r="E218" i="3"/>
  <c r="E498" i="3"/>
  <c r="T6" i="3"/>
  <c r="E160" i="3"/>
  <c r="AG6" i="3"/>
  <c r="E203" i="3"/>
  <c r="E330" i="3"/>
  <c r="E353" i="3"/>
  <c r="E304" i="3"/>
  <c r="E97" i="3"/>
  <c r="E53" i="3"/>
  <c r="E547" i="3"/>
  <c r="E93" i="3"/>
  <c r="E529" i="3"/>
  <c r="E504" i="3"/>
  <c r="E266" i="3"/>
  <c r="E65" i="3"/>
  <c r="E43" i="3"/>
  <c r="E428" i="3"/>
  <c r="E494" i="3"/>
  <c r="E118" i="3"/>
  <c r="AY6" i="3"/>
  <c r="E275" i="3"/>
  <c r="E200" i="3"/>
  <c r="E423" i="3"/>
  <c r="E445" i="3"/>
  <c r="E387" i="3"/>
  <c r="E431" i="3"/>
  <c r="E109" i="3"/>
  <c r="E489" i="3"/>
  <c r="E327" i="3"/>
  <c r="E214" i="3"/>
  <c r="E465" i="3"/>
  <c r="AK6" i="3"/>
  <c r="E495" i="3"/>
  <c r="E361" i="3"/>
  <c r="E439" i="3"/>
  <c r="E410" i="3"/>
  <c r="E441" i="3"/>
  <c r="E447" i="3"/>
  <c r="E585" i="3"/>
  <c r="E111" i="3"/>
  <c r="E193" i="3"/>
  <c r="E293" i="3"/>
  <c r="E415" i="3"/>
  <c r="E151" i="3"/>
  <c r="E125" i="3"/>
  <c r="E581" i="3"/>
  <c r="E32" i="3"/>
  <c r="AE6" i="3"/>
  <c r="E434" i="3"/>
  <c r="E221" i="3"/>
  <c r="E338" i="3"/>
  <c r="E328" i="3"/>
  <c r="E126" i="3"/>
  <c r="U6" i="3"/>
  <c r="E475" i="3"/>
  <c r="E461" i="3"/>
  <c r="E179" i="3"/>
  <c r="E19" i="3"/>
  <c r="E147" i="3"/>
  <c r="E490" i="3"/>
  <c r="E205" i="3"/>
  <c r="E258" i="3"/>
  <c r="E60" i="40"/>
  <c r="E3" i="6"/>
  <c r="D37" i="11" s="1"/>
  <c r="E16" i="6"/>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08" i="3"/>
  <c r="W6" i="3"/>
  <c r="E532" i="3"/>
  <c r="E352" i="3"/>
  <c r="E307" i="3"/>
  <c r="E167" i="3"/>
  <c r="Y6" i="3"/>
  <c r="E373" i="3"/>
  <c r="E582" i="3"/>
  <c r="E57" i="3"/>
  <c r="E155" i="3"/>
  <c r="E50" i="3"/>
  <c r="E137" i="3"/>
  <c r="E202" i="3"/>
  <c r="E486" i="3"/>
  <c r="E324" i="3"/>
  <c r="E408" i="3"/>
  <c r="E86" i="3"/>
  <c r="E81" i="3"/>
  <c r="E59" i="3"/>
  <c r="E286" i="3"/>
  <c r="E62" i="39"/>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105" i="3"/>
  <c r="E329" i="3"/>
  <c r="E232" i="3"/>
  <c r="E220" i="3"/>
  <c r="E356" i="3"/>
  <c r="E26" i="3"/>
  <c r="E497" i="3"/>
  <c r="E512" i="3"/>
  <c r="E525" i="3"/>
  <c r="E22" i="3"/>
  <c r="AF6" i="3"/>
  <c r="E383" i="3"/>
  <c r="E18" i="3"/>
  <c r="E391" i="3"/>
  <c r="E513" i="3"/>
  <c r="E63" i="3"/>
  <c r="E184" i="3"/>
  <c r="E310" i="3"/>
  <c r="E64" i="3"/>
  <c r="E389" i="3"/>
  <c r="E95" i="3"/>
  <c r="E554" i="3"/>
  <c r="E442" i="3"/>
  <c r="E536"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16" i="3"/>
  <c r="E326" i="3"/>
  <c r="E49" i="3"/>
  <c r="E190" i="3"/>
  <c r="E225" i="3"/>
  <c r="E420" i="3"/>
  <c r="E556" i="3"/>
  <c r="E456" i="3"/>
  <c r="E173" i="3"/>
  <c r="E308" i="3"/>
  <c r="E206" i="3"/>
  <c r="E235" i="3"/>
  <c r="E482" i="3"/>
  <c r="E281" i="3"/>
  <c r="E309" i="3"/>
  <c r="E68" i="3"/>
  <c r="E33" i="3"/>
  <c r="E371" i="3"/>
  <c r="E467" i="3"/>
  <c r="E349" i="3"/>
  <c r="E37" i="3"/>
  <c r="AP6" i="3"/>
  <c r="E502" i="3"/>
  <c r="E539" i="3"/>
  <c r="E354" i="3"/>
  <c r="E110" i="3"/>
  <c r="E416" i="3"/>
  <c r="E222" i="3"/>
  <c r="E386" i="3"/>
  <c r="E348" i="3"/>
  <c r="E566" i="3"/>
  <c r="E165" i="3"/>
  <c r="E265" i="3"/>
  <c r="E20" i="3"/>
  <c r="E289" i="3"/>
  <c r="E36" i="3"/>
  <c r="E325" i="3"/>
  <c r="E194" i="3"/>
  <c r="E79" i="3"/>
  <c r="E540" i="3"/>
  <c r="E372" i="3"/>
  <c r="E226" i="3"/>
  <c r="E25" i="3"/>
  <c r="E419" i="3"/>
  <c r="E376" i="3"/>
  <c r="E507" i="3"/>
  <c r="E564" i="3"/>
  <c r="E188" i="3"/>
  <c r="E158" i="3"/>
  <c r="E35" i="3"/>
  <c r="E412" i="3"/>
  <c r="E115" i="3"/>
  <c r="E470" i="3"/>
  <c r="E451" i="3"/>
  <c r="E405" i="3"/>
  <c r="E197" i="3"/>
  <c r="E113" i="3"/>
  <c r="E34" i="3"/>
  <c r="E174" i="3"/>
  <c r="E42" i="3"/>
  <c r="E198" i="3"/>
  <c r="E283" i="3"/>
  <c r="E355" i="3"/>
  <c r="E67" i="3"/>
  <c r="E267" i="3"/>
  <c r="E409" i="3"/>
  <c r="E241" i="3"/>
  <c r="E417" i="3"/>
  <c r="E449" i="3"/>
  <c r="E575" i="3"/>
  <c r="J5" i="15"/>
  <c r="J24" i="15" s="1"/>
  <c r="M17" i="15"/>
  <c r="T40" i="71"/>
  <c r="D40" i="71"/>
  <c r="T32" i="71"/>
  <c r="D32" i="71"/>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2" i="3"/>
  <c r="E249" i="3"/>
  <c r="E46" i="3"/>
  <c r="E484" i="3"/>
  <c r="E544" i="3"/>
  <c r="E292" i="3"/>
  <c r="E152" i="3"/>
  <c r="E479" i="3"/>
  <c r="E517" i="3"/>
  <c r="E255" i="3"/>
  <c r="E466" i="3"/>
  <c r="E499" i="3"/>
  <c r="E63" i="39"/>
  <c r="E59" i="40"/>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34" i="3"/>
  <c r="AY155" i="3"/>
  <c r="AY95" i="3"/>
  <c r="AY131" i="3"/>
  <c r="AY276" i="3"/>
  <c r="AY253" i="3"/>
  <c r="AY268" i="3"/>
  <c r="AY335" i="3"/>
  <c r="AY103" i="3"/>
  <c r="AY289" i="3"/>
  <c r="AY74" i="3"/>
  <c r="AY284" i="3"/>
  <c r="AY209" i="3"/>
  <c r="AY470" i="3"/>
  <c r="AY441" i="3"/>
  <c r="AY180" i="3"/>
  <c r="AY300" i="3"/>
  <c r="AY372" i="3"/>
  <c r="AY358" i="3"/>
  <c r="AY463" i="3"/>
  <c r="AY433" i="3"/>
  <c r="AY544" i="3"/>
  <c r="AY533" i="3"/>
  <c r="AY108" i="3"/>
  <c r="AY92" i="3"/>
  <c r="AY44" i="3"/>
  <c r="AY33" i="3"/>
  <c r="AY154" i="3"/>
  <c r="AY138" i="3"/>
  <c r="AY125" i="3"/>
  <c r="AY283" i="3"/>
  <c r="AY231" i="3"/>
  <c r="AY230" i="3"/>
  <c r="AY381" i="3"/>
  <c r="AY374" i="3"/>
  <c r="AY109" i="3"/>
  <c r="AY104" i="3"/>
  <c r="AY202" i="3"/>
  <c r="AY177" i="3"/>
  <c r="AY259" i="3"/>
  <c r="AY242" i="3"/>
  <c r="AY349" i="3"/>
  <c r="AY333" i="3"/>
  <c r="AY475" i="3"/>
  <c r="AY472" i="3"/>
  <c r="AY398" i="3"/>
  <c r="AY427" i="3"/>
  <c r="AY585" i="3"/>
  <c r="AY534" i="3"/>
  <c r="AY510" i="3"/>
  <c r="AY501" i="3"/>
  <c r="AY163" i="3"/>
  <c r="AY75" i="3"/>
  <c r="AY425" i="3"/>
  <c r="AY526" i="3"/>
  <c r="AY355" i="3"/>
  <c r="AY447" i="3"/>
  <c r="BO6" i="3"/>
  <c r="AY89" i="3"/>
  <c r="AY25" i="3"/>
  <c r="AY182" i="3"/>
  <c r="AY302" i="3"/>
  <c r="AY239" i="3"/>
  <c r="BS6" i="3"/>
  <c r="BI6" i="3"/>
  <c r="AY150" i="3"/>
  <c r="AY279" i="3"/>
  <c r="AY325" i="3"/>
  <c r="AY467" i="3"/>
  <c r="AY403" i="3"/>
  <c r="AY525" i="3"/>
  <c r="AY508" i="3"/>
  <c r="AY532" i="3"/>
  <c r="AY112" i="3"/>
  <c r="AY82" i="3"/>
  <c r="AY147" i="3"/>
  <c r="AY350" i="3"/>
  <c r="AY489" i="3"/>
  <c r="AY43" i="3"/>
  <c r="AY116" i="3"/>
  <c r="AY379" i="3"/>
  <c r="AY478" i="3"/>
  <c r="AY417" i="3"/>
  <c r="AY573" i="3"/>
  <c r="AY100" i="3"/>
  <c r="AY69" i="3"/>
  <c r="AY84" i="3"/>
  <c r="AY193" i="3"/>
  <c r="AY173" i="3"/>
  <c r="AY134" i="3"/>
  <c r="AY255" i="3"/>
  <c r="AY227" i="3"/>
  <c r="AY384" i="3"/>
  <c r="BB6" i="3"/>
  <c r="AY88" i="3"/>
  <c r="AY29" i="3"/>
  <c r="AY275" i="3"/>
  <c r="AY258" i="3"/>
  <c r="AY341" i="3"/>
  <c r="AY324" i="3"/>
  <c r="AY449" i="3"/>
  <c r="AY438" i="3"/>
  <c r="AY580" i="3"/>
  <c r="AY536" i="3"/>
  <c r="AY520" i="3"/>
  <c r="AY584" i="3"/>
  <c r="AY494" i="3"/>
  <c r="AY582" i="3"/>
  <c r="AY101" i="3"/>
  <c r="AY65" i="3"/>
  <c r="AY80" i="3"/>
  <c r="AY194" i="3"/>
  <c r="AY189" i="3"/>
  <c r="AY158" i="3"/>
  <c r="AY129" i="3"/>
  <c r="AY287" i="3"/>
  <c r="AY251" i="3"/>
  <c r="AY234" i="3"/>
  <c r="AY380" i="3"/>
  <c r="AY369" i="3"/>
  <c r="AY329" i="3"/>
  <c r="AY313" i="3"/>
  <c r="AY344" i="3"/>
  <c r="AY487" i="3"/>
  <c r="AY471" i="3"/>
  <c r="AY468" i="3"/>
  <c r="AY458" i="3"/>
  <c r="AY426" i="3"/>
  <c r="AY410" i="3"/>
  <c r="AY407" i="3"/>
  <c r="AY579" i="3"/>
  <c r="AY506" i="3"/>
  <c r="D3" i="6"/>
  <c r="AY524" i="3"/>
  <c r="AY565" i="3"/>
  <c r="AY542" i="3"/>
  <c r="AY570" i="3"/>
  <c r="AY531" i="3"/>
  <c r="AY99" i="3"/>
  <c r="AY94" i="3"/>
  <c r="AY63" i="3"/>
  <c r="AY35" i="3"/>
  <c r="AY192" i="3"/>
  <c r="AY156" i="3"/>
  <c r="AY135" i="3"/>
  <c r="AY285" i="3"/>
  <c r="AY280" i="3"/>
  <c r="AY232" i="3"/>
  <c r="AY221" i="3"/>
  <c r="AY378" i="3"/>
  <c r="AY331" i="3"/>
  <c r="AY346" i="3"/>
  <c r="AY314" i="3"/>
  <c r="AY466" i="3"/>
  <c r="AY456" i="3"/>
  <c r="AY424" i="3"/>
  <c r="AY405" i="3"/>
  <c r="AY558" i="3"/>
  <c r="AY517" i="3"/>
  <c r="AY512" i="3"/>
  <c r="BL6" i="3"/>
  <c r="AY587" i="3"/>
  <c r="AY86" i="3"/>
  <c r="AY55" i="3"/>
  <c r="AY70" i="3"/>
  <c r="AY27" i="3"/>
  <c r="AY184" i="3"/>
  <c r="AY179" i="3"/>
  <c r="AY159" i="3"/>
  <c r="AY128" i="3"/>
  <c r="AY119" i="3"/>
  <c r="AY273" i="3"/>
  <c r="AY241" i="3"/>
  <c r="AY256" i="3"/>
  <c r="AY213" i="3"/>
  <c r="AY391" i="3"/>
  <c r="AY367" i="3"/>
  <c r="AY323" i="3"/>
  <c r="AY338" i="3"/>
  <c r="AY306" i="3"/>
  <c r="AY459" i="3"/>
  <c r="AY448" i="3"/>
  <c r="AY416" i="3"/>
  <c r="AY550" i="3"/>
  <c r="BD6" i="3"/>
  <c r="BC6" i="3"/>
  <c r="AY504" i="3"/>
  <c r="AY586" i="3"/>
  <c r="AY498" i="3"/>
  <c r="AY205" i="3"/>
  <c r="AY142" i="3"/>
  <c r="AY122" i="3"/>
  <c r="AY235" i="3"/>
  <c r="AY218" i="3"/>
  <c r="AY385" i="3"/>
  <c r="AY321" i="3"/>
  <c r="AY336" i="3"/>
  <c r="AY304" i="3"/>
  <c r="AY461" i="3"/>
  <c r="AY450" i="3"/>
  <c r="AY418" i="3"/>
  <c r="AY399" i="3"/>
  <c r="AY17" i="3"/>
  <c r="AY564" i="3"/>
  <c r="AY537" i="3"/>
  <c r="AY530" i="3"/>
  <c r="AY548" i="3"/>
  <c r="AY110" i="3"/>
  <c r="AY47" i="3"/>
  <c r="AY30" i="3"/>
  <c r="AY140" i="3"/>
  <c r="AY120" i="3"/>
  <c r="AY296" i="3"/>
  <c r="AY216" i="3"/>
  <c r="AY383" i="3"/>
  <c r="AY347" i="3"/>
  <c r="AY482" i="3"/>
  <c r="AY440" i="3"/>
  <c r="AY421" i="3"/>
  <c r="AY528" i="3"/>
  <c r="AY576" i="3"/>
  <c r="AY102" i="3"/>
  <c r="AY22" i="3"/>
  <c r="AY195" i="3"/>
  <c r="AY175" i="3"/>
  <c r="AY288" i="3"/>
  <c r="AY272" i="3"/>
  <c r="AY208" i="3"/>
  <c r="AY339" i="3"/>
  <c r="AY322" i="3"/>
  <c r="AY474" i="3"/>
  <c r="AY413" i="3"/>
  <c r="AY15" i="3"/>
  <c r="AY583" i="3"/>
  <c r="AY64" i="3"/>
  <c r="AY21" i="3"/>
  <c r="AY174" i="3"/>
  <c r="AY113" i="3"/>
  <c r="AY267" i="3"/>
  <c r="AY250" i="3"/>
  <c r="AY361" i="3"/>
  <c r="AY337" i="3"/>
  <c r="AY305" i="3"/>
  <c r="AY479" i="3"/>
  <c r="AY476" i="3"/>
  <c r="AY445" i="3"/>
  <c r="AY402" i="3"/>
  <c r="AY415" i="3"/>
  <c r="AY505" i="3"/>
  <c r="AY522" i="3"/>
  <c r="AY515" i="3"/>
  <c r="AY551" i="3"/>
  <c r="BP6" i="3"/>
  <c r="AY493" i="3"/>
  <c r="AY79" i="3"/>
  <c r="AY19" i="3"/>
  <c r="AY172" i="3"/>
  <c r="AY151" i="3"/>
  <c r="AY265" i="3"/>
  <c r="AY248" i="3"/>
  <c r="AY394" i="3"/>
  <c r="AY315" i="3"/>
  <c r="AY485" i="3"/>
  <c r="AY451" i="3"/>
  <c r="AY500" i="3"/>
  <c r="AY547" i="3"/>
  <c r="AY568" i="3"/>
  <c r="AY71" i="3"/>
  <c r="AY54" i="3"/>
  <c r="AY200" i="3"/>
  <c r="AY143" i="3"/>
  <c r="AY293" i="3"/>
  <c r="AY257" i="3"/>
  <c r="AY386" i="3"/>
  <c r="AY351" i="3"/>
  <c r="AY307" i="3"/>
  <c r="AY443" i="3"/>
  <c r="AY400" i="3"/>
  <c r="AY521" i="3"/>
  <c r="BT6" i="3"/>
  <c r="D3" i="21"/>
  <c r="E6" i="6"/>
  <c r="D14" i="12"/>
  <c r="M18" i="9"/>
  <c r="B118" i="9" s="1"/>
  <c r="B1" i="74" s="1"/>
  <c r="D3" i="34"/>
  <c r="L18" i="9"/>
  <c r="C17" i="4"/>
  <c r="B4" i="52" s="1"/>
  <c r="B43" i="72" s="1"/>
  <c r="D3" i="33"/>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AA10" i="40" l="1"/>
  <c r="E65"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C10" i="39"/>
  <c r="AB10" i="39"/>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49" i="3"/>
  <c r="AY167" i="3"/>
  <c r="AY46" i="3"/>
  <c r="AY578" i="3"/>
  <c r="AY509" i="3"/>
  <c r="AY14" i="3"/>
  <c r="AY439" i="3"/>
  <c r="AY453" i="3"/>
  <c r="AY312" i="3"/>
  <c r="AY364" i="3"/>
  <c r="AY266" i="3"/>
  <c r="AY137" i="3"/>
  <c r="AY48" i="3"/>
  <c r="AY519" i="3"/>
  <c r="AY543" i="3"/>
  <c r="AY419" i="3"/>
  <c r="AY309" i="3"/>
  <c r="AY161" i="3"/>
  <c r="AY373" i="3"/>
  <c r="AY286" i="3"/>
  <c r="AY198" i="3"/>
  <c r="AY540" i="3"/>
  <c r="AY343" i="3"/>
  <c r="AY497" i="3"/>
  <c r="AY31" i="3"/>
  <c r="AY523" i="3"/>
  <c r="AY518" i="3"/>
  <c r="AY454" i="3"/>
  <c r="AY356" i="3"/>
  <c r="AY186" i="3"/>
  <c r="AY211" i="3"/>
  <c r="AY126" i="3"/>
  <c r="AY36" i="3"/>
  <c r="AY562" i="3"/>
  <c r="AY390" i="3"/>
  <c r="AY486" i="3"/>
  <c r="AY18" i="3"/>
  <c r="AY495" i="3"/>
  <c r="BM6" i="3"/>
  <c r="AY446" i="3"/>
  <c r="AY316" i="3"/>
  <c r="AY353" i="3"/>
  <c r="AY295" i="3"/>
  <c r="AY24" i="3"/>
  <c r="BH6" i="3"/>
  <c r="AY219" i="3"/>
  <c r="AY247" i="3"/>
  <c r="AY118" i="3"/>
  <c r="AY201" i="3"/>
  <c r="AY76" i="3"/>
  <c r="AY97" i="3"/>
  <c r="AY549" i="3"/>
  <c r="AY465" i="3"/>
  <c r="AY217" i="3"/>
  <c r="AY529" i="3"/>
  <c r="AY473" i="3"/>
  <c r="AY204" i="3"/>
  <c r="AY196" i="3"/>
  <c r="AY371" i="3"/>
  <c r="AY297" i="3"/>
  <c r="AY188" i="3"/>
  <c r="AY144" i="3"/>
  <c r="AY83" i="3"/>
  <c r="AY191" i="3"/>
  <c r="AY577" i="3"/>
  <c r="BN6" i="3"/>
  <c r="AY464" i="3"/>
  <c r="AY226" i="3"/>
  <c r="AY93" i="3"/>
  <c r="AY222" i="3"/>
  <c r="AY157" i="3"/>
  <c r="AY85" i="3"/>
  <c r="AY404" i="3"/>
  <c r="AY244" i="3"/>
  <c r="AY387" i="3"/>
  <c r="AY98" i="3"/>
  <c r="AY571" i="3"/>
  <c r="AY411" i="3"/>
  <c r="AY462" i="3"/>
  <c r="AY332" i="3"/>
  <c r="AY210" i="3"/>
  <c r="AY145" i="3"/>
  <c r="AY56" i="3"/>
  <c r="AY360" i="3"/>
  <c r="AY214" i="3"/>
  <c r="AY278" i="3"/>
  <c r="AY165" i="3"/>
  <c r="AY190" i="3"/>
  <c r="AY45" i="3"/>
  <c r="AY541" i="3"/>
  <c r="AY401" i="3"/>
  <c r="AY310" i="3"/>
  <c r="AY260" i="3"/>
  <c r="AY409" i="3"/>
  <c r="AY319" i="3"/>
  <c r="AY183" i="3"/>
  <c r="AY50" i="3"/>
  <c r="AY382" i="3"/>
  <c r="AY111" i="3"/>
  <c r="AY59" i="3"/>
  <c r="AY176" i="3"/>
  <c r="H6" i="3"/>
  <c r="S10" i="39"/>
  <c r="AA10" i="39"/>
  <c r="F25" i="12"/>
  <c r="C26" i="12" s="1"/>
  <c r="D25" i="12" s="1"/>
  <c r="D116" i="43"/>
  <c r="AC6" i="3"/>
  <c r="F22" i="68"/>
  <c r="C44" i="68" s="1"/>
  <c r="D41" i="68" s="1"/>
  <c r="F24" i="15"/>
  <c r="C24" i="15" s="1"/>
  <c r="F22" i="69"/>
  <c r="F41" i="69" s="1"/>
  <c r="F22" i="11"/>
  <c r="F24" i="67"/>
  <c r="C24" i="6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2" i="6" l="1"/>
  <c r="H21" i="6"/>
  <c r="C24" i="11"/>
  <c r="E6" i="3"/>
  <c r="H25" i="6"/>
  <c r="R25" i="6" s="1"/>
  <c r="R12" i="1" s="1"/>
  <c r="C26" i="68"/>
  <c r="D22" i="68" s="1"/>
  <c r="F41" i="68"/>
  <c r="C44" i="69"/>
  <c r="D41" i="69" s="1"/>
  <c r="C44" i="11"/>
  <c r="D41" i="11" s="1"/>
  <c r="C26" i="11"/>
  <c r="D22" i="11" s="1"/>
  <c r="C26" i="69"/>
  <c r="D22" i="69" s="1"/>
  <c r="C23" i="11"/>
  <c r="C25" i="1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4" i="52" s="1"/>
  <c r="B47" i="72" s="1"/>
  <c r="H118" i="9"/>
  <c r="H101" i="9" s="1"/>
  <c r="D45" i="9" l="1"/>
  <c r="M48" i="9"/>
  <c r="D5" i="53"/>
  <c r="H107" i="9"/>
  <c r="C104" i="9"/>
  <c r="H119" i="9"/>
  <c r="H5" i="52" s="1"/>
  <c r="I118" i="9"/>
  <c r="D119" i="9"/>
  <c r="D5" i="52" s="1"/>
  <c r="B49" i="72" s="1"/>
  <c r="H4" i="52"/>
  <c r="F119" i="9"/>
  <c r="F5" i="52" s="1"/>
  <c r="B53" i="72" s="1"/>
  <c r="F4" i="52"/>
  <c r="B51" i="72" s="1"/>
  <c r="I4" i="52" l="1"/>
  <c r="E118" i="9"/>
  <c r="E4" i="52" s="1"/>
  <c r="B48" i="72" s="1"/>
  <c r="C105" i="9"/>
  <c r="H102" i="9"/>
  <c r="H108" i="9" s="1"/>
  <c r="D6" i="53"/>
  <c r="B22" i="72" s="1"/>
  <c r="B20" i="72"/>
  <c r="D13" i="53"/>
  <c r="D122" i="9"/>
  <c r="M49" i="9"/>
  <c r="C78" i="9"/>
  <c r="C73" i="9" s="1"/>
  <c r="D55" i="9"/>
  <c r="M53" i="9" s="1"/>
  <c r="C72" i="9"/>
  <c r="D52" i="9"/>
  <c r="D53" i="9"/>
  <c r="C64" i="9"/>
  <c r="C63" i="9" s="1"/>
  <c r="C67" i="9" s="1"/>
  <c r="C85" i="9"/>
  <c r="C93" i="9"/>
  <c r="C86" i="9" s="1"/>
  <c r="D59" i="9" l="1"/>
  <c r="M55" i="9" s="1"/>
  <c r="C68" i="9"/>
  <c r="D54" i="9" s="1"/>
  <c r="D14" i="53"/>
  <c r="B32" i="72" s="1"/>
  <c r="B30" i="72"/>
  <c r="D7" i="53"/>
  <c r="B21" i="72" s="1"/>
  <c r="C5" i="74"/>
  <c r="D15" i="53"/>
  <c r="B31" i="72" s="1"/>
  <c r="C6" i="74"/>
  <c r="L66" i="9"/>
  <c r="M66" i="9" s="1"/>
  <c r="L64" i="9"/>
  <c r="M64" i="9" s="1"/>
  <c r="L68" i="9"/>
  <c r="M68" i="9" s="1"/>
  <c r="L63" i="9"/>
  <c r="M63" i="9" s="1"/>
  <c r="L67" i="9"/>
  <c r="M67" i="9" s="1"/>
  <c r="L65" i="9"/>
  <c r="M65" i="9" s="1"/>
  <c r="C95" i="9"/>
  <c r="C79" i="9"/>
  <c r="D123" i="9"/>
  <c r="D9" i="52" s="1"/>
  <c r="D8" i="52"/>
  <c r="M69" i="9" l="1"/>
  <c r="N69" i="9" s="1"/>
  <c r="C80" i="9"/>
  <c r="E80" i="9" s="1"/>
  <c r="E81" i="9" s="1"/>
  <c r="C96" i="9"/>
  <c r="E96" i="9" s="1"/>
  <c r="E97" i="9" s="1"/>
  <c r="C97" i="9" l="1"/>
  <c r="D58" i="9" s="1"/>
  <c r="D56" i="9" s="1"/>
  <c r="M54" i="9" s="1"/>
  <c r="N57" i="9" s="1"/>
  <c r="P57" i="9" s="1"/>
  <c r="C81" i="9"/>
  <c r="N59" i="9" l="1"/>
  <c r="H111" i="9" s="1"/>
  <c r="N58" i="9"/>
  <c r="N60" i="9" l="1"/>
  <c r="N61" i="9"/>
  <c r="H112" i="9" s="1"/>
  <c r="C8" i="74" s="1"/>
  <c r="D126" i="9"/>
  <c r="D19" i="53"/>
  <c r="D21" i="53" l="1"/>
  <c r="B39" i="72" s="1"/>
  <c r="D12" i="52"/>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<sst xmlns="http://schemas.openxmlformats.org/spreadsheetml/2006/main" count="7825" uniqueCount="3427">
  <si>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</si>
  <si>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</si>
  <si>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</si>
  <si>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</si>
  <si>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</si>
  <si>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</si>
  <si>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</si>
  <si>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</si>
  <si>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</si>
  <si>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</si>
  <si>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</si>
  <si>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</si>
  <si>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</si>
  <si>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</si>
  <si>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</si>
  <si>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</si>
  <si>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</si>
  <si>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</si>
  <si>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</si>
  <si>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</si>
  <si>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</si>
  <si>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</si>
  <si>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</si>
  <si>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</si>
  <si>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</si>
  <si>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</si>
  <si>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</si>
  <si>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</si>
  <si>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</si>
  <si>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</si>
  <si>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</si>
  <si>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</si>
  <si>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</si>
  <si>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</si>
  <si>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</si>
  <si>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</si>
  <si>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</si>
  <si>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</si>
  <si>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</si>
  <si>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</si>
  <si>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</si>
  <si>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</si>
  <si>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</si>
  <si>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</si>
  <si>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</si>
  <si>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</si>
  <si>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</si>
  <si>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</si>
  <si>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</si>
  <si>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</si>
  <si>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</si>
  <si>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</si>
  <si>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</si>
  <si>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</si>
  <si>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</si>
  <si>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</si>
  <si>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</si>
  <si>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</si>
  <si>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</si>
  <si>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</si>
  <si>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</si>
  <si>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</si>
  <si>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</si>
  <si>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</si>
  <si>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</si>
  <si>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</si>
  <si>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</si>
  <si>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</si>
  <si>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</si>
  <si>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</si>
  <si>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</si>
  <si>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</si>
  <si>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</si>
  <si>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</si>
  <si>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</si>
  <si>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</si>
  <si>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</si>
  <si>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</si>
  <si>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</si>
  <si>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</si>
  <si>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</si>
  <si>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</si>
  <si>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</si>
  <si>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</si>
  <si>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</si>
  <si>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</si>
  <si>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</si>
  <si>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</si>
  <si>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</si>
  <si>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</si>
  <si>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</si>
  <si>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</si>
  <si>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</si>
  <si>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</si>
  <si>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</si>
  <si>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</si>
  <si>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</si>
  <si>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</si>
  <si>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</si>
  <si>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</si>
  <si>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</si>
  <si>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</si>
  <si>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</si>
  <si>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</si>
  <si>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</si>
  <si>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</si>
  <si>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</si>
  <si>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</si>
  <si>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</si>
  <si>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</si>
  <si>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</si>
  <si>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</si>
  <si>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</si>
  <si>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</si>
  <si>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</si>
  <si>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</si>
  <si>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</si>
  <si>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</si>
  <si>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</si>
  <si>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</si>
  <si>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</si>
  <si>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</si>
  <si>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</si>
  <si>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</si>
  <si>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</si>
  <si>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</si>
  <si>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</si>
  <si>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</si>
  <si>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</si>
  <si>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</si>
  <si>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</si>
  <si>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</si>
  <si>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</si>
  <si>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</si>
  <si>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</si>
  <si>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</si>
  <si>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</si>
  <si>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</si>
  <si>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</si>
  <si>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</si>
  <si>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</si>
  <si>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</si>
  <si>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</si>
  <si>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</si>
  <si>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</si>
  <si>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</si>
  <si>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</si>
  <si>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</si>
  <si>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</si>
  <si>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</si>
  <si>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</si>
  <si>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</si>
  <si>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</si>
  <si>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</si>
  <si>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</si>
  <si>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</si>
  <si>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</si>
  <si>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</si>
  <si>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</si>
  <si>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</si>
  <si>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</si>
  <si>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</si>
  <si>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</si>
  <si>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</si>
  <si>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</si>
  <si>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</si>
  <si>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</si>
  <si>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</si>
  <si>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</si>
  <si>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</si>
  <si>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</si>
  <si>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</si>
  <si>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</si>
  <si>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</si>
  <si>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</si>
  <si>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</si>
  <si>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</si>
  <si>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</si>
  <si>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</si>
  <si>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</si>
  <si>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</si>
  <si>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</si>
  <si>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</si>
  <si>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</si>
  <si>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</si>
  <si>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</si>
  <si>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</si>
  <si>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</si>
  <si>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</si>
  <si>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</si>
  <si>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</si>
  <si>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</si>
  <si>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</si>
  <si>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</si>
  <si>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</si>
  <si>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</si>
  <si>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</si>
  <si>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</si>
  <si>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</si>
  <si>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</si>
  <si>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</si>
  <si>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</si>
  <si>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</si>
  <si>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</si>
  <si>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</si>
  <si>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</si>
  <si>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</si>
  <si>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</si>
  <si>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</si>
  <si>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</si>
  <si>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</si>
  <si>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</si>
  <si>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</si>
  <si>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</si>
  <si>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</si>
  <si>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</si>
  <si>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</si>
  <si>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</si>
  <si>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</si>
  <si>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</si>
  <si>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</si>
  <si>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</si>
  <si>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</si>
  <si>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</si>
  <si>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</si>
  <si>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</si>
  <si>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</si>
  <si>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</si>
  <si>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</si>
  <si>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</si>
  <si>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</si>
  <si>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</si>
  <si>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</si>
  <si>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</si>
  <si>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</si>
  <si>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</si>
  <si>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</si>
  <si>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</si>
  <si>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</si>
  <si>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</si>
  <si>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</si>
  <si>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</si>
  <si>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</si>
  <si>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</si>
  <si>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</si>
  <si>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</si>
  <si>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</si>
  <si>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</si>
  <si>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</si>
  <si>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</si>
  <si>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</si>
  <si>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</si>
  <si>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</si>
  <si>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</si>
  <si>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</si>
  <si>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</si>
  <si>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</si>
  <si>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</si>
  <si>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</si>
  <si>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</si>
  <si>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</si>
  <si>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</si>
  <si>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</si>
  <si>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</si>
  <si>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</si>
  <si>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</si>
  <si>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</si>
  <si>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</si>
  <si>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</si>
  <si>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</si>
  <si>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</si>
  <si>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</si>
  <si>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</si>
  <si>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</si>
  <si>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</si>
  <si>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</si>
  <si>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</si>
  <si>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</si>
  <si>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</si>
  <si>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</si>
  <si>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</si>
  <si>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</si>
  <si>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</si>
  <si>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</si>
  <si>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</si>
  <si>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</si>
  <si>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</si>
  <si>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</si>
  <si>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</si>
  <si>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</si>
  <si>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</si>
  <si>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</si>
  <si>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</si>
  <si>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</si>
  <si>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</si>
  <si>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</si>
  <si>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</si>
  <si>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</si>
  <si>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</si>
  <si>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</si>
  <si>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</si>
  <si>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</si>
  <si>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</si>
  <si>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</si>
  <si>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</si>
  <si>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</si>
  <si>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</si>
  <si>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</si>
  <si>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</si>
  <si>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</si>
  <si>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</si>
  <si>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</si>
  <si>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</si>
  <si>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</si>
  <si>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</si>
  <si>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</si>
  <si>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</si>
  <si>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</si>
  <si>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</si>
  <si>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</si>
  <si>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</si>
  <si>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</si>
  <si>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</si>
  <si>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</si>
  <si>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</si>
  <si>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</si>
  <si>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</si>
  <si>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</si>
  <si>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</si>
  <si>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</si>
  <si>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</si>
  <si>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</si>
  <si>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</si>
  <si>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</si>
  <si>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</si>
  <si>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</si>
  <si>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</si>
  <si>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</si>
  <si>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</si>
  <si>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</si>
  <si>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</si>
  <si>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</si>
  <si>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</si>
  <si>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</si>
  <si>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</si>
  <si>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</si>
  <si>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</si>
  <si>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</si>
  <si>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</si>
  <si>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</si>
  <si>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</si>
  <si>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</si>
  <si>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</si>
  <si>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</si>
  <si>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</si>
  <si>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</si>
  <si>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</si>
  <si>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</si>
  <si>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</si>
  <si>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</si>
  <si>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</si>
  <si>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</si>
  <si>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</si>
  <si>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</si>
  <si>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</si>
  <si>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</si>
  <si>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</si>
  <si>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</si>
  <si>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</si>
  <si>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</si>
  <si>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</si>
  <si>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</si>
  <si>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</si>
  <si>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</si>
  <si>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</si>
  <si>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</si>
  <si>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</si>
  <si>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</si>
  <si>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</si>
  <si>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</si>
  <si>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</si>
  <si>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</si>
  <si>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</si>
  <si>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</si>
  <si>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</si>
  <si>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</si>
  <si>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</si>
  <si>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</si>
  <si>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</si>
  <si>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</si>
  <si>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</si>
  <si>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</si>
  <si>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</si>
  <si>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</si>
  <si>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</si>
  <si>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</si>
  <si>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</si>
  <si>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</si>
  <si>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</si>
  <si>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</si>
  <si>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</si>
  <si>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</si>
  <si>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</si>
  <si>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</si>
  <si>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</si>
  <si>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</si>
  <si>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</si>
  <si>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</si>
  <si>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</si>
  <si>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</si>
  <si>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</si>
  <si>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</si>
  <si>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</si>
  <si>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</si>
  <si>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</si>
  <si>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</si>
  <si>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</si>
  <si>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</si>
  <si>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</si>
  <si>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</si>
  <si>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</si>
  <si>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</si>
  <si>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</si>
  <si>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</si>
  <si>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</si>
  <si>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</si>
  <si>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</si>
  <si>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</si>
  <si>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</si>
  <si>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</si>
  <si>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</si>
  <si>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</si>
  <si>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</si>
  <si>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</si>
  <si>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</si>
  <si>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</si>
  <si>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</si>
  <si>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</si>
  <si>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</si>
  <si>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</si>
  <si>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</si>
  <si>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</si>
  <si>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</si>
  <si>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</si>
  <si>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</si>
  <si>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</si>
  <si>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</si>
  <si>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</si>
  <si>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</si>
  <si>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</si>
  <si>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</si>
  <si>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</si>
  <si>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</si>
  <si>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</si>
  <si>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</si>
  <si>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</si>
  <si>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</si>
  <si>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</si>
  <si>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</si>
  <si>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</si>
  <si>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</si>
  <si>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</si>
  <si>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</si>
  <si>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</si>
  <si>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</si>
  <si>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</si>
  <si>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</si>
  <si>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</si>
  <si>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</si>
  <si>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</si>
  <si>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</si>
  <si>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</si>
  <si>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</si>
  <si>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</si>
  <si>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</si>
  <si>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</si>
  <si>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</si>
  <si>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</si>
  <si>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</si>
  <si>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</si>
  <si>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</si>
  <si>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</si>
  <si>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</si>
  <si>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</si>
  <si>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</si>
  <si>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</si>
  <si>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</si>
  <si>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</si>
  <si>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</si>
  <si>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</si>
  <si>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</si>
  <si>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</si>
  <si>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</si>
  <si>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</si>
  <si>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</si>
  <si>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</si>
  <si>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</si>
  <si>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</si>
  <si>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</si>
  <si>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</si>
  <si>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</si>
  <si>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</si>
  <si>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</si>
  <si>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</si>
  <si>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</si>
  <si>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</si>
  <si>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</si>
  <si>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</si>
  <si>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</si>
  <si>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</si>
  <si>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</si>
  <si>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</si>
  <si>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</si>
  <si>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</si>
  <si>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</si>
  <si>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</si>
  <si>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</si>
  <si>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</si>
  <si>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</si>
  <si>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</si>
  <si>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</si>
  <si>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</si>
  <si>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</si>
  <si>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</si>
  <si>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</si>
  <si>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</si>
  <si>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</si>
  <si>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</si>
  <si>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</si>
  <si>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</si>
  <si>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</si>
  <si>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</si>
  <si>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</si>
  <si>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</si>
  <si>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</si>
  <si>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</si>
  <si>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</si>
  <si>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</si>
  <si>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</si>
  <si>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</si>
  <si>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</si>
  <si>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</si>
  <si>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</si>
  <si>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</si>
  <si>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</si>
  <si>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</si>
  <si>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</si>
  <si>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</si>
  <si>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</si>
  <si>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</si>
  <si>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</si>
  <si>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</si>
  <si>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</si>
  <si>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</si>
  <si>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</si>
  <si>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</si>
  <si>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</si>
  <si>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</si>
  <si>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</si>
  <si>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</si>
  <si>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</si>
  <si>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</si>
  <si>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</si>
  <si>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</si>
  <si>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</si>
  <si>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</si>
  <si>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</si>
  <si>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</si>
  <si>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</si>
  <si>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</si>
  <si>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</si>
  <si>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</si>
  <si>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</si>
  <si>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</si>
  <si>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</si>
  <si>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</si>
  <si>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</si>
  <si>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</si>
  <si>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</si>
  <si>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</si>
  <si>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</si>
  <si>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</si>
  <si>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</si>
  <si>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</si>
  <si>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</si>
  <si>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</si>
  <si>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</si>
  <si>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</si>
  <si>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</si>
  <si>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</si>
  <si>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</si>
  <si>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</si>
  <si>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</si>
  <si>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</si>
  <si>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</si>
  <si>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</si>
  <si>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</si>
  <si>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</si>
  <si>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</si>
  <si>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</si>
  <si>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</si>
  <si>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</si>
  <si>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</si>
  <si>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</si>
  <si>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</si>
  <si>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</si>
  <si>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</si>
  <si>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</si>
  <si>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</si>
  <si>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</si>
  <si>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</si>
  <si>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</si>
  <si>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</si>
  <si>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</si>
  <si>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</si>
  <si>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</si>
  <si>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</si>
  <si>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</si>
  <si>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</si>
  <si>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</si>
  <si>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</si>
  <si>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</si>
  <si>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</si>
  <si>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</si>
  <si>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</si>
  <si>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</si>
  <si>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</si>
  <si>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</si>
  <si>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</si>
  <si>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</si>
  <si>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</si>
  <si>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</si>
  <si>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</si>
  <si>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</si>
  <si>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</si>
  <si>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</si>
  <si>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</si>
  <si>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</si>
  <si>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</si>
  <si>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</si>
  <si>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</si>
  <si>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</si>
  <si>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</si>
  <si>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</si>
  <si>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</si>
  <si>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</si>
  <si>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</si>
  <si>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</si>
  <si>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</si>
  <si>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</si>
  <si>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</si>
  <si>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</si>
  <si>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</si>
  <si>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</si>
  <si>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</si>
  <si>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</si>
  <si>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</si>
  <si>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</si>
  <si>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</si>
  <si>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</si>
  <si>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</si>
  <si>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</si>
  <si>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</si>
  <si>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</si>
  <si>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</si>
  <si>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</si>
  <si>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</si>
  <si>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</si>
  <si>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</si>
  <si>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</si>
  <si>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</si>
  <si>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</si>
  <si>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</si>
  <si>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</si>
  <si>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</si>
  <si>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</si>
  <si>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</si>
  <si>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</si>
  <si>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</si>
  <si>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</si>
  <si>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</si>
  <si>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</si>
  <si>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</si>
  <si>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</si>
  <si>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</si>
  <si>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</si>
  <si>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</si>
  <si>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</si>
  <si>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</si>
  <si>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</si>
  <si>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</si>
  <si>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</si>
  <si>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</si>
  <si>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</si>
  <si>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</si>
  <si>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</si>
  <si>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</si>
  <si>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</si>
  <si>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</si>
  <si>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</si>
  <si>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</si>
  <si>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</si>
  <si>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</si>
  <si>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</si>
  <si>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</si>
  <si>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</si>
  <si>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</si>
  <si>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</si>
  <si>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</si>
  <si>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</si>
  <si>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</si>
  <si>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</si>
  <si>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</si>
  <si>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</si>
  <si>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</si>
  <si>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</si>
  <si>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</si>
  <si>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</si>
  <si>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</si>
  <si>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</si>
  <si>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</si>
  <si>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</si>
  <si>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</si>
  <si>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</si>
  <si>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</si>
  <si>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</si>
  <si>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</si>
  <si>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</si>
  <si>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</si>
  <si>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</si>
  <si>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</si>
  <si>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</si>
  <si>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</si>
  <si>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</si>
  <si>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</si>
  <si>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</si>
  <si>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</si>
  <si>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</si>
  <si>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</si>
  <si>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</si>
  <si>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</si>
  <si>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</si>
  <si>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</si>
  <si>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</si>
  <si>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</si>
  <si>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</si>
  <si>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</si>
  <si>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</si>
  <si>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</si>
  <si>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</si>
  <si>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</si>
  <si>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</si>
  <si>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</si>
  <si>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</si>
  <si>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</si>
  <si>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</si>
  <si>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</si>
  <si>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</si>
  <si>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</si>
  <si>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</si>
  <si>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</si>
  <si>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</si>
  <si>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</si>
  <si>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</si>
  <si>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</si>
  <si>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</si>
  <si>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</si>
  <si>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</si>
  <si>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</si>
  <si>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</si>
  <si>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</si>
  <si>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</si>
  <si>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</si>
  <si>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</si>
  <si>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</si>
  <si>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</si>
  <si>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</si>
  <si>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</si>
  <si>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</si>
  <si>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</si>
  <si>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</si>
  <si>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</si>
  <si>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</si>
  <si>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</si>
  <si>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</si>
  <si>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</si>
  <si>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</si>
  <si>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</si>
  <si>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</si>
  <si>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</si>
  <si>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</si>
  <si>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</si>
  <si>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</si>
  <si>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</si>
  <si>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</si>
  <si>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</si>
  <si>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</si>
  <si>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</si>
  <si>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</si>
  <si>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</si>
  <si>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</si>
  <si>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</si>
  <si>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</si>
  <si>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</si>
  <si>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</si>
  <si>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</si>
  <si>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</si>
  <si>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</si>
  <si>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</si>
  <si>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</si>
  <si>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</si>
  <si>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</si>
  <si>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</si>
  <si>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</si>
  <si>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</si>
  <si>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</si>
  <si>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</si>
  <si>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</si>
  <si>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</si>
  <si>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</si>
  <si>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</si>
  <si>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</si>
  <si>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</si>
  <si>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</si>
  <si>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</si>
  <si>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</si>
  <si>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</si>
  <si>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</si>
  <si>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</si>
  <si>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</si>
  <si>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</si>
  <si>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</si>
  <si>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</si>
  <si>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</si>
  <si>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</si>
  <si>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</si>
  <si>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</si>
  <si>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</si>
  <si>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</si>
  <si>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</si>
  <si>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</si>
  <si>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</si>
  <si>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</si>
  <si>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</si>
  <si>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</si>
  <si>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</si>
  <si>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</si>
  <si>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</si>
  <si>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</si>
  <si>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</si>
  <si>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</si>
  <si>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</si>
  <si>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</si>
  <si>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</si>
  <si>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</si>
  <si>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</si>
  <si>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</si>
  <si>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</si>
  <si>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</si>
  <si>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</si>
  <si>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</si>
  <si>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</si>
  <si>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</si>
  <si>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</si>
  <si>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</si>
  <si>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</si>
  <si>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</si>
  <si>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</si>
  <si>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</si>
  <si>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</si>
  <si>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</si>
  <si>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</si>
  <si>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</si>
  <si>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</si>
  <si>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</si>
  <si>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</si>
  <si>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</si>
  <si>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</si>
  <si>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</si>
  <si>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</si>
  <si>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</si>
  <si>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</si>
  <si>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</si>
  <si>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</si>
  <si>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</si>
  <si>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</si>
  <si>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</si>
  <si>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</si>
  <si>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</si>
  <si>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</si>
  <si>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</si>
  <si>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</si>
  <si>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</si>
  <si>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</si>
  <si>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</si>
  <si>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</si>
  <si>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</si>
  <si>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</si>
  <si>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</si>
  <si>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</si>
  <si>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</si>
  <si>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</si>
  <si>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</si>
  <si>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</si>
  <si>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</si>
  <si>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</si>
  <si>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</si>
  <si>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</si>
  <si>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</si>
  <si>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</si>
  <si>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</si>
  <si>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</si>
  <si>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</si>
  <si>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</si>
  <si>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</si>
  <si>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</si>
  <si>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</si>
  <si>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</si>
  <si>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</si>
  <si>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</si>
  <si>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</si>
  <si>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</si>
  <si>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</si>
  <si>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</si>
  <si>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</si>
  <si>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</si>
  <si>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</si>
  <si>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</si>
  <si>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</si>
  <si>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</si>
  <si>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</si>
  <si>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</si>
  <si>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</si>
  <si>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</si>
  <si>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</si>
  <si>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</si>
  <si>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</si>
  <si>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</si>
  <si>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</si>
  <si>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</si>
  <si>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</si>
  <si>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</si>
  <si>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</si>
  <si>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</si>
  <si>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</si>
  <si>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</si>
  <si>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</si>
  <si>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</si>
  <si>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</si>
  <si>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</si>
  <si>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</si>
  <si>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</si>
  <si>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</si>
  <si>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</si>
  <si>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</si>
  <si>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</si>
  <si>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</si>
  <si>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</si>
  <si>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</si>
  <si>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</si>
  <si>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</si>
  <si>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</si>
  <si>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</si>
  <si>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</si>
  <si>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</si>
  <si>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</si>
  <si>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</si>
  <si>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</si>
  <si>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</si>
  <si>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</si>
  <si>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</si>
  <si>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</si>
  <si>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</si>
  <si>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</si>
  <si>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</si>
  <si>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</si>
  <si>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</si>
  <si>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</si>
  <si>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</si>
  <si>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</si>
  <si>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</si>
  <si>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</si>
  <si>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</si>
  <si>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</si>
  <si>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</si>
  <si>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</si>
  <si>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</si>
  <si>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</si>
  <si>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</si>
  <si>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</si>
  <si>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</si>
  <si>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</si>
  <si>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</si>
  <si>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</si>
  <si>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</si>
  <si>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</si>
  <si>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</si>
  <si>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</si>
  <si>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</si>
  <si>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</si>
  <si>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</si>
  <si>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</si>
  <si>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</si>
  <si>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</si>
  <si>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</si>
  <si>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</si>
  <si>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</si>
  <si>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</si>
  <si>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</si>
  <si>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</si>
  <si>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</si>
  <si>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</si>
  <si>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</si>
  <si>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</si>
  <si>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</si>
  <si>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</si>
  <si>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</si>
  <si>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</si>
  <si>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</si>
  <si>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</si>
  <si>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</si>
  <si>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</si>
  <si>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</si>
  <si>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</si>
  <si>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</si>
  <si>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</si>
  <si>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</si>
  <si>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</si>
  <si>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</si>
  <si>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</si>
  <si>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</si>
  <si>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</si>
  <si>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</si>
  <si>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</si>
  <si>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</si>
  <si>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</si>
  <si>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</si>
  <si>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</si>
  <si>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</si>
  <si>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</si>
  <si>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</si>
  <si>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</si>
  <si>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</si>
  <si>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</si>
  <si>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</si>
  <si>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</si>
  <si>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</si>
  <si>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</si>
  <si>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</si>
  <si>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</si>
  <si>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</si>
  <si>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</si>
  <si>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</si>
  <si>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</si>
  <si>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</si>
  <si>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</si>
  <si>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</si>
  <si>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</si>
  <si>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</si>
  <si>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</si>
  <si>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</si>
  <si>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</si>
  <si>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</si>
  <si>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</si>
  <si>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</si>
  <si>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</si>
  <si>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</si>
  <si>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</si>
  <si>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</si>
  <si>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</si>
  <si>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</si>
  <si>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</si>
  <si>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</si>
  <si>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</si>
  <si>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</si>
  <si>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</si>
  <si>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</si>
  <si>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</si>
  <si>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</si>
  <si>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</si>
  <si>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</si>
  <si>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</si>
  <si>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</si>
  <si>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</si>
  <si>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</si>
  <si>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</si>
  <si>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</si>
  <si>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</si>
  <si>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</si>
  <si>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</si>
  <si>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</si>
  <si>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</si>
  <si>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</si>
  <si>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</si>
  <si>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</si>
  <si>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</si>
  <si>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</si>
  <si>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</si>
  <si>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</si>
  <si>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</si>
  <si>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</si>
  <si>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</si>
  <si>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</si>
  <si>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</si>
  <si>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</si>
  <si>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</si>
  <si>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</si>
  <si>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</si>
  <si>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</si>
  <si>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</si>
  <si>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</si>
  <si>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</si>
  <si>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</si>
  <si>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</si>
  <si>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</si>
  <si>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</si>
  <si>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</si>
  <si>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</si>
  <si>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</si>
  <si>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</si>
  <si>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</si>
  <si>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</si>
  <si>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</si>
  <si>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</si>
  <si>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</si>
  <si>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</si>
  <si>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</si>
  <si>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</si>
  <si>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</si>
  <si>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</si>
  <si>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</si>
  <si>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</si>
  <si>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</si>
  <si>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</si>
  <si>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</si>
  <si>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</si>
  <si>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</si>
  <si>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</si>
  <si>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</si>
  <si>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</si>
  <si>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</si>
  <si>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</si>
  <si>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</si>
  <si>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</si>
  <si>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</si>
  <si>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</si>
  <si>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</si>
  <si>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</si>
  <si>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</si>
  <si>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</si>
  <si>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</si>
  <si>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</si>
  <si>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</si>
  <si>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</si>
  <si>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</si>
  <si>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</si>
  <si>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</si>
  <si>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</si>
  <si>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</si>
  <si>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</si>
  <si>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</si>
  <si>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</si>
  <si>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</si>
  <si>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</si>
  <si>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</si>
  <si>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</si>
  <si>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</si>
  <si>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</si>
  <si>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</si>
  <si>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</si>
  <si>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</si>
  <si>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</si>
  <si>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</si>
  <si>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</si>
  <si>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</si>
  <si>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</si>
  <si>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</si>
  <si>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</si>
  <si>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</si>
  <si>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</si>
  <si>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</si>
  <si>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</si>
  <si>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</si>
  <si>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</si>
  <si>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</si>
  <si>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</si>
  <si>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</si>
  <si>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</si>
  <si>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</si>
  <si>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</si>
  <si>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</si>
  <si>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</si>
  <si>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</si>
  <si>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</si>
  <si>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</si>
  <si>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</si>
  <si>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</si>
  <si>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</si>
  <si>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</si>
  <si>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</si>
  <si>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</si>
  <si>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</si>
  <si>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</si>
  <si>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</si>
  <si>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</si>
  <si>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</si>
  <si>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</si>
  <si>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</si>
  <si>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</si>
  <si>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</si>
  <si>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</si>
  <si>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</si>
  <si>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</si>
  <si>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</si>
  <si>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</si>
  <si>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</si>
  <si>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</si>
  <si>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</si>
  <si>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</si>
  <si>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</si>
  <si>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</si>
  <si>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</si>
  <si>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</si>
  <si>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</si>
  <si>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</si>
  <si>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</si>
  <si>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</si>
  <si>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</si>
  <si>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</si>
  <si>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</si>
  <si>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</si>
  <si>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</si>
  <si>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</si>
  <si>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</si>
  <si>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</si>
  <si>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</si>
  <si>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</si>
  <si>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</si>
  <si>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</si>
  <si>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</si>
  <si>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</si>
  <si>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</si>
  <si>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</si>
  <si>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</si>
  <si>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</si>
  <si>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</si>
  <si>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</si>
  <si>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</si>
  <si>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</si>
  <si>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</si>
  <si>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</si>
  <si>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</si>
  <si>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</si>
  <si>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</si>
  <si>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</si>
  <si>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</si>
  <si>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</si>
  <si>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</si>
  <si>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</si>
  <si>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</si>
  <si>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</si>
  <si>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</si>
  <si>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</si>
  <si>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</si>
  <si>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</si>
  <si>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</si>
  <si>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</si>
  <si>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</si>
  <si>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</si>
  <si>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</si>
  <si>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</si>
  <si>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</si>
  <si>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</si>
  <si>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</si>
  <si>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</si>
  <si>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</si>
  <si>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</si>
  <si>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</si>
  <si>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</si>
  <si>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</si>
  <si>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</si>
  <si>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</si>
  <si>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</si>
  <si>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</si>
  <si>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</si>
  <si>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</si>
  <si>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</si>
  <si>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</si>
  <si>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</si>
  <si>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</si>
  <si>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</si>
  <si>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</si>
  <si>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</si>
  <si>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</si>
  <si>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</si>
  <si>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</si>
  <si>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</si>
  <si>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</si>
  <si>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</si>
  <si>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</si>
  <si>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</si>
  <si>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</si>
  <si>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</si>
  <si>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</si>
  <si>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</si>
  <si>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</si>
  <si>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</si>
  <si>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</si>
  <si>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</si>
  <si>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</si>
  <si>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</si>
  <si>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</si>
  <si>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</si>
  <si>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</si>
  <si>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</si>
  <si>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</si>
  <si>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</si>
  <si>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</si>
  <si>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</si>
  <si>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</si>
  <si>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</si>
  <si>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</si>
  <si>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</si>
  <si>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</si>
  <si>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</si>
  <si>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</si>
  <si>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</si>
  <si>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</si>
  <si>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</si>
  <si>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</si>
  <si>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</si>
  <si>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</si>
  <si>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</si>
  <si>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</si>
  <si>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</si>
  <si>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</si>
  <si>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</si>
  <si>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</si>
  <si>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</si>
  <si>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</si>
  <si>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</si>
  <si>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</si>
  <si>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</si>
  <si>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</si>
  <si>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</si>
  <si>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</si>
  <si>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</si>
  <si>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</si>
  <si>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</si>
  <si>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</si>
  <si>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</si>
  <si>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</si>
  <si>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</si>
  <si>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</si>
  <si>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</si>
  <si>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</si>
  <si>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</si>
  <si>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</si>
  <si>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</si>
  <si>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</si>
  <si>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</si>
  <si>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</si>
  <si>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</si>
  <si>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</si>
  <si>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</si>
  <si>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</si>
  <si>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</si>
  <si>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</si>
  <si>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</si>
  <si>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</si>
  <si>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</si>
  <si>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</si>
  <si>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</si>
  <si>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</si>
  <si>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</si>
  <si>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</si>
  <si>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</si>
  <si>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</si>
  <si>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</si>
  <si>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</si>
  <si>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</si>
  <si>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</si>
  <si>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</si>
  <si>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</si>
  <si>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</si>
  <si>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</si>
  <si>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</si>
  <si>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</si>
  <si>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</si>
  <si>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</si>
  <si>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</si>
  <si>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</si>
  <si>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</si>
  <si>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</si>
  <si>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</si>
  <si>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</si>
  <si>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</si>
  <si>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</si>
  <si>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</si>
  <si>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</si>
  <si>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</si>
  <si>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</si>
  <si>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</si>
  <si>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</si>
  <si>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</si>
  <si>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</si>
  <si>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</si>
  <si>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</si>
  <si>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</si>
  <si>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</si>
  <si>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</si>
  <si>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</si>
  <si>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</si>
  <si>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</si>
  <si>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</si>
  <si>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</si>
  <si>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</si>
  <si>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</si>
  <si>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</si>
  <si>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</si>
  <si>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</si>
  <si>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</si>
  <si>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</si>
  <si>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</si>
  <si>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</si>
  <si>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</si>
  <si>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</si>
  <si>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</si>
  <si>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</si>
  <si>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</si>
  <si>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</si>
  <si>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</si>
  <si>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</si>
  <si>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</si>
  <si>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</si>
  <si>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</si>
  <si>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</si>
  <si>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</si>
  <si>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</si>
  <si>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</si>
  <si>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</si>
  <si>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</si>
  <si>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</si>
  <si>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</si>
  <si>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</si>
  <si>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</si>
  <si>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</si>
  <si>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</si>
  <si>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</si>
  <si>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</si>
  <si>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</si>
  <si>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</si>
  <si>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</si>
  <si>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</si>
  <si>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</si>
  <si>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</si>
  <si>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</si>
  <si>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</si>
  <si>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</si>
  <si>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</si>
  <si>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</si>
  <si>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</si>
  <si>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</si>
  <si>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</si>
  <si>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</si>
  <si>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</si>
  <si>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</si>
  <si>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</si>
  <si>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</si>
  <si>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</si>
  <si>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</si>
  <si>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</si>
  <si>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</si>
  <si>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</si>
  <si>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</si>
  <si>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</si>
  <si>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</si>
  <si>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</si>
  <si>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</si>
  <si>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</si>
  <si>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</si>
  <si>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</si>
  <si>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</si>
  <si>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</si>
  <si>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</si>
  <si>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</si>
  <si>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</si>
  <si>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</si>
  <si>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</si>
  <si>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</si>
  <si>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</si>
  <si>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</si>
  <si>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</si>
  <si>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</si>
  <si>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</si>
  <si>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</si>
  <si>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</si>
  <si>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</si>
  <si>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</si>
  <si>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</si>
  <si>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</si>
  <si>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</si>
  <si>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</si>
  <si>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</si>
  <si>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</si>
  <si>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</si>
  <si>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</si>
  <si>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</si>
  <si>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</si>
  <si>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</si>
  <si>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</si>
  <si>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</si>
  <si>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</si>
  <si>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</si>
  <si>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</si>
  <si>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</si>
  <si>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</si>
  <si>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</si>
  <si>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</si>
  <si>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</si>
  <si>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</si>
  <si>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</si>
  <si>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</si>
  <si>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</si>
  <si>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</si>
  <si>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</si>
  <si>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</si>
  <si>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</si>
  <si>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</si>
  <si>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</si>
  <si>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</si>
  <si>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</si>
  <si>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</si>
  <si>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</si>
  <si>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</si>
  <si>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</si>
  <si>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</si>
  <si>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</si>
  <si>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</si>
  <si>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</si>
  <si>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</si>
  <si>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</si>
  <si>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</si>
  <si>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</si>
  <si>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</si>
  <si>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</si>
  <si>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</si>
  <si>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</si>
  <si>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</si>
  <si>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</si>
  <si>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</si>
  <si>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</si>
  <si>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</si>
  <si>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</si>
  <si>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</si>
  <si>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</si>
  <si>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</si>
  <si>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</si>
  <si>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</si>
  <si>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</si>
  <si>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</si>
  <si>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</si>
  <si>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</si>
  <si>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</si>
  <si>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</si>
  <si>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</si>
  <si>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</si>
  <si>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</si>
  <si>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</si>
  <si>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</si>
  <si>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</si>
  <si>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</si>
  <si>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</si>
  <si>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</si>
  <si>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</si>
  <si>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</si>
  <si>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</si>
  <si>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</si>
  <si>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</si>
  <si>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</si>
  <si>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</si>
  <si>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</si>
  <si>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</si>
  <si>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</si>
  <si>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</si>
  <si>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</si>
  <si>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</si>
  <si>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</si>
  <si>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</si>
  <si>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</si>
  <si>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</si>
  <si>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</si>
  <si>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</si>
  <si>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</si>
  <si>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</si>
  <si>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</si>
  <si>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</si>
  <si>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</si>
  <si>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</si>
  <si>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</si>
  <si>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</si>
  <si>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</si>
  <si>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</si>
  <si>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</si>
  <si>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</si>
  <si>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</si>
  <si>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</si>
  <si>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</si>
  <si>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</si>
  <si>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</si>
  <si>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</si>
  <si>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</si>
  <si>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</si>
  <si>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</si>
  <si>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</si>
  <si>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</si>
  <si>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</si>
  <si>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</si>
  <si>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</si>
  <si>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</si>
  <si>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</si>
  <si>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</si>
  <si>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</si>
  <si>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</si>
  <si>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</si>
  <si>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</si>
  <si>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</si>
  <si>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</si>
  <si>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</si>
  <si>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</si>
  <si>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</si>
  <si>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</si>
  <si>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</si>
  <si>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</si>
  <si>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</si>
  <si>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</si>
  <si>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</si>
  <si>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</si>
  <si>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</si>
  <si>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</si>
  <si>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</si>
  <si>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</si>
  <si>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</si>
  <si>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</si>
  <si>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</si>
  <si>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</si>
  <si>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</si>
  <si>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</si>
  <si>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</si>
  <si>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</si>
  <si>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</si>
  <si>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</si>
  <si>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</si>
  <si>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</si>
  <si>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</si>
  <si>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</si>
  <si>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</si>
  <si>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</si>
  <si>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</si>
  <si>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</si>
  <si>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</si>
  <si>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</si>
  <si>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</si>
  <si>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</si>
  <si>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</si>
  <si>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</si>
  <si>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</si>
  <si>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</si>
  <si>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</si>
  <si>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</si>
  <si>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</si>
  <si>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</si>
  <si>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</si>
  <si>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</si>
  <si>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</si>
  <si>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</si>
  <si>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</si>
  <si>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</si>
  <si>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</si>
  <si>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</si>
  <si>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</si>
  <si>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</si>
  <si>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</si>
  <si>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</si>
  <si>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</si>
  <si>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</si>
  <si>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</si>
  <si>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</si>
  <si>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</si>
  <si>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</si>
  <si>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</si>
  <si>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</si>
  <si>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</si>
  <si>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</si>
  <si>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</si>
  <si>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</si>
  <si>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</si>
  <si>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</si>
  <si>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</si>
  <si>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</si>
  <si>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</si>
  <si>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</si>
  <si>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</si>
  <si>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</si>
  <si>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</si>
  <si>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</si>
  <si>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</si>
  <si>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</si>
  <si>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</si>
  <si>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</si>
  <si>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</si>
  <si>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</si>
  <si>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</si>
  <si>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</si>
  <si>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</si>
  <si>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</si>
  <si>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</si>
  <si>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</si>
  <si>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</si>
  <si>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</si>
  <si>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</si>
  <si>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</si>
  <si>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</si>
  <si>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</si>
  <si>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</si>
  <si>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</si>
  <si>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</si>
  <si>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</si>
  <si>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</si>
  <si>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</si>
  <si>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</si>
  <si>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</si>
  <si>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</si>
  <si>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</si>
  <si>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</si>
  <si>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</si>
  <si>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</si>
  <si>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</si>
  <si>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</si>
  <si>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</si>
  <si>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</si>
  <si>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</si>
  <si>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</si>
  <si>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</si>
  <si>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</si>
  <si>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</si>
  <si>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</si>
  <si>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</si>
  <si>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</si>
  <si>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</si>
  <si>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</si>
  <si>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</si>
  <si>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</si>
  <si>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</si>
  <si>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</si>
  <si>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</si>
  <si>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</si>
  <si>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</si>
  <si>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</si>
  <si>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</si>
  <si>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</si>
  <si>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</si>
  <si>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</si>
  <si>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</si>
  <si>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</si>
  <si>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</si>
  <si>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</si>
  <si>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</si>
  <si>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</si>
  <si>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</si>
  <si>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</si>
  <si>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</si>
  <si>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</si>
  <si>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</si>
  <si>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</si>
  <si>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</si>
  <si>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</si>
  <si>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</si>
  <si>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</si>
  <si>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</si>
  <si>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</si>
  <si>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</si>
  <si>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</si>
  <si>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</si>
  <si>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</si>
  <si>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</si>
  <si>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</si>
  <si>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</si>
  <si>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</si>
  <si>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</si>
  <si>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</si>
  <si>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</si>
  <si>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</si>
  <si>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</si>
  <si>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</si>
  <si>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</si>
  <si>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</si>
  <si>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</si>
  <si>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</si>
  <si>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</si>
  <si>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</si>
  <si>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</si>
  <si>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</si>
  <si>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</si>
  <si>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</si>
  <si>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</si>
  <si>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</si>
  <si>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</si>
  <si>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</si>
  <si>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</si>
  <si>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</si>
  <si>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</si>
  <si>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</si>
  <si>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</si>
  <si>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</si>
  <si>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</si>
  <si>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</si>
  <si>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</si>
  <si>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</si>
  <si>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</si>
  <si>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</si>
  <si>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</si>
  <si>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</si>
  <si>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</si>
  <si>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</si>
  <si>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</si>
  <si>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</si>
  <si>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</si>
  <si>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</si>
  <si>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</si>
  <si>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</si>
  <si>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</si>
  <si>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</si>
  <si>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</si>
  <si>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</si>
  <si>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</si>
  <si>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</si>
  <si>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</si>
  <si>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</si>
  <si>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</si>
  <si>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</si>
  <si>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</si>
  <si>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</si>
  <si>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</si>
  <si>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</si>
  <si>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</si>
  <si>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</si>
  <si>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</si>
  <si>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</si>
  <si>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</si>
  <si>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</si>
  <si>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</si>
  <si>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</si>
  <si>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</si>
  <si>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</si>
  <si>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</si>
  <si>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</si>
  <si>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</si>
  <si>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</si>
  <si>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</si>
  <si>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</si>
  <si>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</si>
  <si>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</si>
  <si>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</si>
  <si>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</si>
  <si>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</si>
  <si>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</si>
  <si>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</si>
  <si>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</si>
  <si>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</si>
  <si>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</si>
  <si>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</si>
  <si>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</si>
  <si>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</si>
  <si>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</si>
  <si>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</si>
  <si>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</si>
  <si>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</si>
  <si>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</si>
  <si>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</si>
  <si>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</si>
  <si>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</si>
  <si>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</si>
  <si>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</si>
  <si>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</si>
  <si>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</si>
  <si>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</si>
  <si>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</si>
  <si>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</si>
  <si>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</si>
  <si>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</si>
  <si>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</si>
  <si>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</si>
  <si>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</si>
  <si>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</si>
  <si>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</si>
  <si>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</si>
  <si>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</si>
  <si>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</si>
  <si>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</si>
  <si>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</si>
  <si>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</si>
  <si>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</si>
  <si>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</si>
  <si>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</si>
  <si>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</si>
  <si>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</si>
  <si>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</si>
  <si>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</si>
  <si>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</si>
  <si>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</si>
  <si>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</si>
  <si>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</si>
  <si>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</si>
  <si>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</si>
  <si>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</si>
  <si>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</si>
  <si>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</si>
  <si>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</si>
  <si>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</si>
  <si>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</si>
  <si>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</si>
  <si>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</si>
  <si>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</si>
  <si>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</si>
  <si>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</si>
  <si>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</si>
  <si>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</si>
  <si>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</si>
  <si>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</si>
  <si>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</si>
  <si>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</si>
  <si>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</si>
  <si>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</si>
  <si>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</si>
  <si>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</si>
  <si>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</si>
  <si>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</si>
  <si>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</si>
  <si>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</si>
  <si>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</si>
  <si>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</si>
  <si>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</si>
  <si>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</si>
  <si>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</si>
  <si>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</si>
  <si>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</si>
  <si>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</si>
  <si>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</si>
  <si>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</si>
  <si>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</si>
  <si>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</si>
  <si>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</si>
  <si>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</si>
  <si>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</si>
  <si>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</si>
  <si>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</si>
  <si>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</si>
  <si>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</si>
  <si>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</si>
  <si>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</si>
  <si>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</si>
  <si>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</si>
  <si>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</si>
  <si>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</si>
  <si>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</si>
  <si>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</si>
  <si>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</si>
  <si>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</si>
  <si>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</si>
  <si>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</si>
  <si>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</si>
  <si>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</si>
  <si>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</si>
  <si>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</si>
  <si>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</si>
  <si>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</si>
  <si>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</si>
  <si>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</si>
  <si>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</si>
  <si>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</si>
  <si>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</si>
  <si>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</si>
  <si>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</si>
  <si>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</si>
  <si>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</si>
  <si>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</si>
  <si>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</si>
  <si>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</si>
  <si>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</si>
  <si>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</si>
  <si>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</si>
  <si>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</si>
  <si>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</si>
  <si>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</si>
  <si>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</si>
  <si>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</si>
  <si>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</si>
  <si>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</si>
  <si>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</si>
  <si>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</si>
  <si>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</si>
  <si>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</si>
  <si>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</si>
  <si>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</si>
  <si>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</si>
  <si>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</si>
  <si>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</si>
  <si>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</si>
  <si>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</si>
  <si>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</si>
  <si>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</si>
  <si>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</si>
  <si>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</si>
  <si>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</si>
  <si>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</si>
  <si>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</si>
  <si>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</si>
  <si>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</si>
  <si>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</si>
  <si>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</si>
  <si>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</si>
  <si>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</si>
  <si>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</si>
  <si>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</si>
  <si>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</si>
  <si>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</si>
  <si>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</si>
  <si>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</si>
  <si>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</si>
  <si>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</si>
  <si>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</si>
  <si>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</si>
  <si>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</si>
  <si>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</si>
  <si>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</si>
  <si>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</si>
  <si>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</si>
  <si>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</si>
  <si>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</si>
  <si>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</si>
  <si>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</si>
  <si>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</si>
  <si>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</si>
  <si>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</si>
  <si>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</si>
  <si>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</si>
  <si>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</si>
  <si>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</si>
  <si>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</si>
  <si>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</si>
  <si>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</si>
  <si>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</si>
  <si>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</si>
  <si>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</si>
  <si>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</si>
  <si>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</si>
  <si>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</si>
  <si>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</si>
  <si>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</si>
  <si>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</si>
  <si>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</si>
  <si>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</si>
  <si>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</si>
  <si>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</si>
  <si>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</si>
  <si>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</si>
  <si>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</si>
  <si>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</si>
  <si>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</si>
  <si>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</si>
  <si>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</si>
  <si>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</si>
  <si>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</si>
  <si>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</si>
  <si>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</si>
  <si>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</si>
  <si>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</si>
  <si>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</si>
  <si>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</si>
  <si>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</si>
  <si>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</si>
  <si>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</si>
  <si>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</si>
  <si>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</si>
  <si>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</si>
  <si>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</si>
  <si>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</si>
  <si>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</si>
  <si>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</si>
  <si>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</si>
  <si>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</si>
  <si>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</si>
  <si>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</si>
  <si>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</si>
  <si>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</si>
  <si>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</si>
  <si>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</si>
  <si>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</si>
  <si>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</si>
  <si>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</si>
  <si>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</si>
  <si>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</si>
  <si>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</si>
  <si>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</si>
  <si>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</si>
  <si>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</si>
  <si>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</si>
  <si>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</si>
  <si>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</si>
  <si>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</si>
  <si>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</si>
  <si>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</si>
  <si>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</si>
  <si>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</si>
  <si>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</si>
  <si>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</si>
  <si>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</si>
  <si>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</si>
  <si>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</si>
  <si>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</si>
  <si>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</si>
  <si>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</si>
  <si>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</si>
  <si>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</si>
  <si>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</si>
  <si>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</si>
  <si>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</si>
  <si>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</si>
  <si>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</si>
  <si>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</si>
  <si>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</si>
  <si>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</si>
  <si>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</si>
  <si>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</si>
  <si>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</si>
  <si>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</si>
  <si>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</si>
  <si>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</si>
  <si>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</si>
  <si>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</si>
  <si>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</si>
  <si>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</si>
  <si>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</si>
  <si>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</si>
  <si>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</si>
  <si>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</si>
  <si>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</si>
  <si>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</si>
  <si>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</si>
  <si>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</si>
  <si>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</si>
  <si>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</si>
  <si>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</si>
  <si>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</si>
  <si>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</si>
  <si>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</si>
  <si>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</si>
  <si>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</si>
  <si>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</si>
  <si>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</si>
  <si>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</si>
  <si>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</si>
  <si>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</si>
  <si>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</si>
  <si>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</si>
  <si>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</si>
  <si>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</si>
  <si>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</si>
  <si>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</si>
  <si>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</si>
  <si>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</si>
  <si>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</si>
  <si>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</si>
  <si>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</si>
  <si>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</si>
  <si>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</si>
  <si>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</si>
  <si>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</si>
  <si>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</si>
  <si>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</si>
  <si>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</si>
  <si>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</si>
  <si>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</si>
  <si>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</si>
  <si>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</si>
  <si>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</si>
  <si>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</si>
  <si>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</si>
  <si>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</si>
  <si>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</si>
  <si>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</si>
  <si>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</si>
  <si>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</si>
  <si>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</si>
  <si>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</si>
  <si>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</si>
  <si>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</si>
  <si>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</si>
  <si>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</si>
  <si>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</si>
  <si>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</si>
  <si>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</si>
  <si>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</si>
  <si>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</si>
  <si>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</si>
  <si>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</si>
  <si>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</si>
  <si>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</si>
  <si>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</si>
  <si>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</si>
  <si>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</si>
  <si>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</si>
  <si>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</si>
  <si>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</si>
  <si>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</si>
  <si>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</si>
  <si>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</si>
  <si>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</si>
  <si>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</si>
  <si>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</si>
  <si>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</si>
  <si>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</si>
  <si>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</si>
  <si>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</si>
  <si>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</si>
  <si>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</si>
  <si>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</si>
  <si>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</si>
  <si>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</si>
  <si>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</si>
  <si>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</si>
  <si>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</si>
  <si>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</si>
  <si>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</si>
  <si>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</si>
  <si>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</si>
  <si>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</si>
  <si>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</si>
  <si>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</si>
  <si>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</si>
  <si>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</si>
  <si>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</si>
  <si>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</si>
  <si>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</si>
  <si>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</si>
  <si>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</si>
  <si>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</si>
  <si>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</si>
  <si>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</si>
  <si>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</si>
  <si>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</si>
  <si>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</si>
  <si>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</si>
  <si>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</si>
  <si>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</si>
  <si>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</si>
  <si>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</si>
  <si>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</si>
  <si>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</si>
  <si>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</si>
  <si>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</si>
  <si>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</si>
  <si>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</si>
  <si>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</si>
  <si>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</si>
  <si>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</si>
  <si>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</si>
  <si>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</si>
  <si>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</si>
  <si>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</si>
  <si>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</si>
  <si>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</si>
  <si>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</si>
  <si>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</si>
  <si>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</si>
  <si>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</si>
  <si>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</si>
  <si>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</si>
  <si>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</si>
  <si>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</si>
  <si>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</si>
  <si>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</si>
  <si>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</si>
  <si>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</si>
  <si>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</si>
  <si>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</si>
  <si>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</si>
  <si>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</si>
  <si>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</si>
  <si>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</si>
  <si>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</si>
  <si>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</si>
  <si>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</si>
  <si>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</si>
  <si>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</si>
  <si>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</si>
  <si>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</si>
  <si>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</si>
  <si>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</si>
  <si>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</si>
  <si>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</si>
  <si>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</si>
  <si>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</si>
  <si>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</si>
  <si>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</si>
  <si>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</si>
  <si>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</si>
  <si>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</si>
  <si>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</si>
  <si>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</si>
  <si>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</si>
  <si>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</si>
  <si>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</si>
  <si>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</si>
  <si>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</si>
  <si>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</si>
  <si>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</si>
  <si>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</si>
  <si>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</si>
  <si>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</si>
  <si>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</si>
  <si>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</si>
  <si>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</si>
  <si>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</si>
  <si>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</si>
  <si>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</si>
  <si>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</si>
  <si>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</si>
  <si>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</si>
  <si>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</si>
  <si>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</si>
  <si>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</si>
  <si>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</si>
  <si>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</si>
  <si>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</si>
  <si>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</si>
  <si>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</si>
  <si>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</si>
  <si>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</si>
  <si>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</si>
  <si>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</si>
  <si>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</si>
  <si>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</si>
  <si>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</si>
  <si>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</si>
  <si>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</si>
  <si>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</si>
  <si>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</si>
  <si>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</si>
  <si>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</si>
  <si>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</si>
  <si>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</si>
  <si>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</si>
  <si>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</si>
  <si>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</si>
  <si>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</si>
  <si>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</si>
  <si>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</si>
  <si>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</si>
  <si>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</si>
  <si>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</si>
  <si>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</si>
  <si>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</si>
  <si>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</si>
  <si>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</si>
  <si>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</si>
  <si>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</si>
  <si>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</si>
  <si>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</si>
  <si>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</si>
  <si>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</si>
  <si>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</si>
  <si>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</si>
  <si>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</si>
  <si>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</si>
  <si>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</si>
  <si>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</si>
  <si>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</si>
  <si>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</si>
  <si>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</si>
  <si>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</si>
  <si>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</si>
  <si>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</si>
  <si>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</si>
  <si>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</si>
  <si>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</si>
  <si>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</si>
  <si>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</si>
  <si>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</si>
  <si>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</si>
  <si>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</si>
  <si>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</si>
  <si>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</si>
  <si>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</si>
  <si>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</si>
  <si>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</si>
  <si>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</si>
  <si>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</si>
  <si>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</si>
  <si>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</si>
  <si>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</si>
  <si>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</si>
  <si>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</si>
  <si>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</si>
  <si>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</si>
  <si>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</si>
  <si>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</si>
  <si>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</si>
  <si>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</si>
  <si>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</si>
  <si>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</si>
  <si>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</si>
  <si>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</si>
  <si>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</si>
  <si>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</si>
  <si>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</si>
  <si>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</si>
  <si>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</si>
  <si>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</si>
  <si>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</si>
  <si>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</si>
  <si>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</si>
  <si>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</si>
  <si>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</si>
  <si>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</si>
  <si>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</si>
  <si>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</si>
  <si>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</si>
  <si>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</si>
  <si>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</si>
  <si>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</si>
  <si>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</si>
  <si>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</si>
  <si>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</si>
  <si>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</si>
  <si>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</si>
  <si>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</si>
  <si>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</si>
  <si>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</si>
  <si>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</si>
  <si>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</si>
  <si>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</si>
  <si>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</si>
  <si>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</si>
  <si>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</si>
  <si>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</si>
  <si>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</si>
  <si>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</si>
  <si>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</si>
  <si>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</si>
  <si>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</si>
  <si>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</si>
  <si>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</si>
  <si>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</si>
  <si>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</si>
  <si>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</si>
  <si>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</si>
  <si>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</si>
  <si>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</si>
  <si>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</si>
  <si>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</si>
  <si>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</si>
  <si>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</si>
  <si>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</si>
  <si>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</si>
  <si>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</si>
  <si>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</si>
  <si>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</si>
  <si>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</si>
  <si>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</si>
  <si>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</si>
  <si>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</si>
  <si>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</si>
  <si>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</si>
  <si>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</si>
  <si>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</si>
  <si>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</si>
  <si>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</si>
  <si>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</si>
  <si>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</si>
  <si>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</si>
  <si>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</si>
  <si>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</si>
  <si>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</si>
  <si>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</si>
  <si>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</si>
  <si>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</si>
  <si>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</si>
  <si>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</si>
  <si>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</si>
  <si>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</si>
  <si>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</si>
  <si>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</si>
  <si>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</si>
  <si>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</si>
  <si>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</si>
  <si>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</si>
  <si>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</si>
  <si>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</si>
  <si>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</si>
  <si>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</si>
  <si>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</si>
  <si>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</si>
  <si>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</si>
  <si>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</si>
  <si>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</si>
  <si>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</si>
  <si>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</si>
  <si>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</si>
  <si>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</si>
  <si>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</si>
  <si>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</si>
  <si>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</si>
  <si>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</si>
  <si>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</si>
  <si>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</si>
  <si>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</si>
  <si>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</si>
  <si>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</si>
  <si>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</si>
  <si>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</si>
  <si>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</si>
  <si>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</si>
  <si>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</si>
  <si>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</si>
  <si>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</si>
  <si>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</si>
  <si>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</si>
  <si>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</si>
  <si>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</si>
  <si>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</si>
  <si>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</si>
  <si>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</si>
  <si>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</si>
  <si>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</si>
  <si>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</si>
  <si>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</si>
  <si>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</si>
  <si>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</si>
  <si>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</si>
  <si>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</si>
  <si>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</si>
  <si>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</si>
  <si>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</si>
  <si>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</si>
  <si>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</si>
  <si>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</si>
  <si>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</si>
  <si>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</si>
  <si>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</si>
  <si>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</si>
  <si>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</si>
  <si>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</si>
  <si>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</si>
  <si>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</si>
  <si>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</si>
  <si>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</si>
  <si>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</si>
  <si>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</si>
  <si>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</si>
  <si>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</si>
  <si>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</si>
  <si>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</si>
  <si>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</si>
  <si>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</si>
  <si>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</si>
  <si>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</si>
  <si>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</si>
  <si>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</si>
  <si>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</si>
  <si>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</si>
  <si>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</si>
  <si>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</si>
  <si>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</si>
  <si>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</si>
  <si>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</si>
  <si>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</si>
  <si>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</si>
  <si>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</si>
  <si>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</si>
  <si>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</si>
  <si>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</si>
  <si>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</si>
  <si>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</si>
  <si>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</si>
  <si>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</si>
  <si>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</si>
  <si>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</si>
  <si>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</si>
  <si>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</si>
  <si>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</si>
  <si>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</si>
  <si>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</si>
  <si>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</si>
  <si>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</si>
  <si>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</si>
  <si>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</si>
  <si>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</si>
  <si>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</si>
  <si>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</si>
  <si>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</si>
  <si>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</si>
  <si>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</si>
  <si>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</si>
  <si>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</si>
  <si>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</si>
  <si>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</si>
  <si>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</si>
  <si>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</si>
  <si>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</si>
  <si>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</si>
  <si>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</si>
  <si>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</si>
  <si>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</si>
  <si>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</si>
  <si>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</si>
  <si>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</si>
  <si>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</si>
  <si>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</si>
  <si>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</si>
  <si>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</si>
  <si>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</si>
  <si>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</si>
  <si>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</si>
  <si>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</si>
  <si>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</si>
  <si>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</si>
  <si>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</si>
  <si>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</si>
  <si>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</si>
  <si>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</si>
  <si>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</si>
  <si>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</si>
  <si>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</si>
  <si>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</si>
  <si>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</si>
  <si>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</si>
  <si>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</si>
  <si>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</si>
  <si>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</si>
  <si>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</si>
  <si>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</si>
  <si>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</si>
  <si>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</si>
  <si>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</si>
  <si>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</si>
  <si>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</si>
  <si>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</si>
  <si>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</si>
  <si>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</si>
  <si>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</si>
  <si>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</si>
  <si>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</si>
  <si>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</si>
  <si>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</si>
  <si>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</si>
  <si>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</si>
  <si>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</si>
  <si>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</si>
  <si>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</si>
  <si>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</si>
  <si>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</si>
  <si>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</si>
  <si>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</si>
  <si>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</si>
  <si>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</si>
  <si>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</si>
  <si>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</si>
  <si>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</si>
  <si>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</si>
  <si>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</si>
  <si>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</si>
  <si>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</si>
  <si>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</si>
  <si>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</si>
  <si>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</si>
  <si>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</si>
  <si>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</si>
  <si>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</si>
  <si>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</si>
  <si>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</si>
  <si>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</si>
  <si>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</si>
  <si>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</si>
  <si>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</si>
  <si>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</si>
  <si>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</si>
  <si>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</si>
  <si>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</si>
  <si>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</si>
  <si>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</si>
  <si>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</si>
  <si>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</si>
  <si>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</si>
  <si>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</si>
  <si>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</si>
  <si>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</si>
  <si>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</si>
  <si>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</si>
  <si>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</si>
  <si>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</si>
  <si>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</si>
  <si>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</si>
  <si>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</si>
  <si>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</si>
  <si>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</si>
  <si>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</si>
  <si>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</si>
  <si>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</si>
  <si>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</si>
  <si>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</si>
  <si>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</si>
  <si>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</si>
  <si>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</si>
  <si>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</si>
  <si>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</si>
  <si>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</si>
  <si>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</si>
  <si>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</si>
  <si>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</si>
  <si>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</si>
  <si>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</si>
  <si>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</si>
  <si>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</si>
  <si>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</si>
  <si>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</si>
  <si>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</si>
  <si>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</si>
  <si>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</si>
  <si>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</si>
  <si>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</si>
  <si>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</si>
  <si>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</si>
  <si>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</si>
  <si>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</si>
  <si>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</si>
  <si>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</si>
  <si>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</si>
  <si>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</si>
  <si>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</si>
  <si>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</si>
  <si>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</si>
  <si>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</si>
  <si>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</si>
  <si>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</si>
  <si>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</si>
  <si>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</si>
  <si>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</si>
  <si>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</si>
  <si>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</si>
  <si>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</si>
  <si>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</si>
  <si>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</si>
  <si>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</si>
  <si>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</si>
  <si>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</si>
  <si>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</si>
  <si>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</si>
  <si>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</si>
  <si>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</si>
  <si>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</si>
  <si>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</si>
  <si>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</si>
  <si>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</si>
  <si>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</si>
  <si>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</si>
  <si>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</si>
  <si>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</si>
  <si>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</si>
  <si>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</si>
  <si>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</si>
  <si>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</si>
  <si>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</si>
  <si>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</si>
  <si>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</si>
  <si>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</si>
  <si>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</si>
  <si>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</si>
  <si>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</si>
  <si>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</si>
  <si>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</si>
  <si>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</si>
  <si>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</si>
  <si>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</si>
  <si>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</si>
  <si>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</si>
  <si>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</si>
  <si>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</si>
  <si>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</si>
  <si>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</si>
  <si>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</si>
  <si>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</si>
  <si>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</si>
  <si>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</si>
  <si>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</si>
  <si>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</si>
  <si>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</si>
  <si>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</si>
  <si>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</si>
  <si>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</si>
  <si>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</si>
  <si>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</si>
  <si>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</si>
  <si>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</si>
  <si>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</si>
  <si>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</si>
  <si>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</si>
  <si>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</si>
  <si>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</si>
  <si>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</si>
  <si>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</si>
  <si>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</si>
  <si>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</si>
  <si>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</si>
  <si>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</si>
  <si>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</si>
  <si>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</si>
  <si>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</si>
  <si>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</si>
  <si>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</si>
  <si>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</si>
  <si>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</si>
  <si>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</si>
  <si>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</si>
  <si>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</si>
  <si>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</si>
  <si>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</si>
  <si>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</si>
  <si>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</si>
  <si>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</si>
  <si>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</si>
  <si>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</si>
  <si>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</si>
  <si>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</si>
  <si>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</si>
  <si>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</si>
  <si>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</si>
  <si>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</si>
  <si>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</si>
  <si>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</si>
  <si>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</si>
  <si>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</si>
  <si>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</si>
  <si>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</si>
  <si>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</si>
  <si>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</si>
  <si>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</si>
  <si>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</si>
  <si>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</si>
  <si>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</si>
  <si>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</si>
  <si>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</si>
  <si>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</si>
  <si>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</si>
  <si>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</si>
  <si>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</si>
  <si>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</si>
  <si>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</si>
  <si>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</si>
  <si>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</si>
  <si>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</si>
  <si>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</si>
  <si>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</si>
  <si>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</si>
  <si>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</si>
  <si>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</si>
  <si>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</si>
  <si>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</si>
  <si>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</si>
  <si>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</si>
  <si>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</si>
  <si>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</si>
  <si>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</si>
  <si>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</si>
  <si>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</si>
  <si>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</si>
  <si>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</si>
  <si>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</si>
  <si>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</si>
  <si>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</si>
  <si>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</si>
  <si>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</si>
  <si>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</si>
  <si>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</si>
  <si>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</si>
  <si>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</si>
  <si>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</si>
  <si>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</si>
  <si>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</si>
  <si>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</si>
  <si>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</si>
  <si>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</si>
  <si>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</si>
  <si>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</si>
  <si>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</si>
  <si>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</si>
  <si>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</si>
  <si>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</si>
  <si>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</si>
  <si>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</si>
  <si>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</si>
  <si>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</si>
  <si>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</si>
  <si>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</si>
  <si>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</si>
  <si>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</si>
  <si>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</si>
  <si>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</si>
  <si>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</si>
  <si>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</si>
  <si>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</si>
  <si>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</si>
  <si>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</si>
  <si>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</si>
  <si>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</si>
  <si>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</si>
  <si>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</si>
  <si>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</si>
  <si>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</si>
  <si>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</si>
  <si>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</si>
  <si>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</si>
  <si>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</si>
  <si>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</si>
  <si>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</si>
  <si>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</si>
  <si>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</si>
  <si>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</si>
  <si>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</si>
  <si>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</si>
  <si>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</si>
  <si>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</si>
  <si>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</si>
  <si>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</si>
  <si>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</si>
  <si>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</si>
  <si>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</si>
  <si>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</si>
  <si>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</si>
  <si>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</si>
  <si>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</si>
  <si>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</si>
  <si>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</si>
  <si>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</si>
  <si>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</si>
  <si>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</si>
  <si>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</si>
  <si>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</si>
  <si>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</si>
  <si>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</si>
  <si>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</si>
  <si>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</si>
  <si>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</si>
  <si>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</si>
  <si>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</si>
  <si>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</si>
  <si>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</si>
  <si>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</si>
  <si>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</si>
  <si>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</si>
  <si>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</si>
  <si>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</si>
  <si>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</si>
  <si>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</si>
  <si>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</si>
  <si>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</si>
  <si>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</si>
  <si>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</si>
  <si>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</si>
  <si>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</si>
  <si>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</si>
  <si>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</si>
  <si>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</si>
  <si>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</si>
  <si>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</si>
  <si>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</si>
  <si>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</si>
  <si>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</si>
  <si>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</si>
  <si>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</si>
  <si>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</si>
  <si>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</si>
  <si>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</si>
  <si>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</si>
  <si>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</si>
  <si>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</si>
  <si>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</si>
  <si>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</si>
  <si>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</si>
  <si>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</si>
  <si>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</si>
  <si>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</si>
  <si>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</si>
  <si>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</si>
  <si>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</si>
  <si>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</si>
  <si>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</si>
  <si>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</si>
  <si>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</si>
  <si>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</si>
  <si>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</si>
  <si>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</si>
  <si>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</si>
  <si>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</si>
  <si>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</si>
  <si>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</si>
  <si>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</si>
  <si>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</si>
  <si>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</si>
  <si>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</si>
  <si>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</si>
  <si>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</si>
  <si>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</si>
  <si>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</si>
  <si>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</si>
  <si>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</si>
  <si>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</si>
  <si>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</si>
  <si>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</si>
  <si>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</si>
  <si>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</si>
  <si>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</si>
  <si>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</si>
  <si>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</si>
  <si>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</si>
  <si>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</si>
  <si>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</si>
  <si>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</si>
  <si>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</si>
  <si>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</si>
  <si>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</si>
  <si>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</si>
  <si>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</si>
  <si>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</si>
  <si>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</si>
  <si>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</si>
  <si>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</si>
  <si>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</si>
  <si>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</si>
  <si>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</si>
  <si>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</si>
  <si>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</si>
  <si>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</si>
  <si>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</si>
  <si>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</si>
  <si>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</si>
  <si>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</si>
  <si>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</si>
  <si>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</si>
  <si>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</si>
  <si>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</si>
  <si>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</si>
  <si>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</si>
  <si>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</si>
  <si>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</si>
  <si>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</si>
  <si>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</si>
  <si>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</si>
  <si>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</si>
  <si>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</si>
  <si>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</si>
  <si>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</si>
  <si>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</si>
  <si>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</si>
  <si>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</si>
  <si>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</si>
  <si>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</si>
  <si>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</si>
  <si>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</si>
  <si>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</si>
  <si>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</si>
  <si>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</si>
  <si>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</si>
  <si>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</si>
  <si>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</si>
  <si>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</si>
  <si>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</si>
  <si>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</si>
  <si>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</si>
  <si>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</si>
  <si>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</si>
  <si>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</si>
  <si>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</si>
  <si>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</si>
  <si>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</si>
  <si>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</si>
  <si>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</si>
  <si>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</si>
  <si>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</si>
  <si>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</si>
  <si>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</si>
  <si>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</si>
  <si>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</si>
  <si>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</si>
  <si>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</si>
  <si>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</si>
  <si>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</si>
  <si>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</si>
  <si>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</si>
  <si>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</si>
  <si>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</si>
  <si>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</si>
  <si>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</si>
  <si>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</si>
  <si>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</si>
  <si>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</si>
  <si>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</si>
  <si>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</si>
  <si>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</si>
  <si>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</si>
  <si>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</si>
  <si>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</si>
  <si>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</si>
  <si>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</si>
  <si>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</si>
  <si>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</si>
  <si>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</si>
  <si>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</si>
  <si>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</si>
  <si>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</si>
  <si>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</si>
  <si>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</si>
  <si>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</si>
  <si>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</si>
  <si>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</si>
  <si>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</si>
  <si>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</si>
  <si>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</si>
  <si>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</si>
  <si>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</si>
  <si>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</si>
  <si>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</si>
  <si>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</si>
  <si>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</si>
  <si>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</si>
  <si>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</si>
  <si>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</si>
  <si>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</si>
  <si>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</si>
  <si>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</si>
  <si>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</si>
  <si>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</si>
  <si>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</si>
  <si>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</si>
  <si>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</si>
  <si>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</si>
  <si>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</si>
  <si>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</si>
  <si>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</si>
  <si>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</si>
  <si>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</si>
  <si>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</si>
  <si>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</si>
  <si>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</si>
  <si>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</si>
  <si>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</si>
  <si>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</si>
  <si>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</si>
  <si>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</si>
  <si>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</si>
  <si>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</si>
  <si>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</si>
  <si>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</si>
  <si>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</si>
  <si>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</si>
  <si>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</si>
  <si>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</si>
  <si>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</si>
  <si>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</si>
  <si>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</si>
  <si>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</si>
  <si>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</si>
  <si>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</si>
  <si>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</si>
  <si>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</si>
  <si>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</si>
  <si>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</si>
  <si>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</si>
  <si>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</si>
  <si>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</si>
  <si>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</si>
  <si>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</si>
  <si>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</si>
  <si>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</si>
  <si>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</si>
  <si>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</si>
  <si>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</si>
  <si>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</si>
  <si>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</si>
  <si>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</si>
  <si>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</si>
  <si>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</si>
  <si>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</si>
  <si>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</si>
  <si>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</si>
  <si>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</si>
  <si>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</si>
  <si>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</si>
  <si>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</si>
  <si>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</si>
  <si>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</si>
  <si>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</si>
  <si>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</si>
  <si>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</si>
  <si>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</si>
  <si>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</si>
  <si>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</si>
  <si>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</si>
  <si>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</si>
  <si>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</si>
  <si>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</si>
  <si>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</si>
  <si>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</si>
  <si>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</si>
  <si>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</si>
  <si>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</si>
  <si>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</si>
  <si>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</si>
  <si>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</si>
  <si>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</si>
  <si>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</si>
  <si>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</si>
  <si>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</si>
  <si>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</si>
  <si>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</si>
  <si>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</si>
  <si>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</si>
  <si>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</si>
  <si>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</si>
  <si>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</si>
  <si>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</si>
  <si>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</si>
  <si>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</si>
  <si>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</si>
  <si>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</si>
  <si>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</si>
  <si>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</si>
  <si>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</si>
  <si>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</si>
  <si>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</si>
  <si>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</si>
  <si>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</si>
  <si>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</si>
  <si>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</si>
  <si>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</si>
  <si>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</si>
  <si>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</si>
  <si>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</si>
  <si>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</si>
  <si>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</si>
  <si>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</si>
  <si>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</si>
  <si>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</si>
  <si>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</si>
  <si>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</si>
  <si>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</si>
  <si>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</si>
  <si>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</si>
  <si>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</si>
  <si>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</si>
  <si>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</si>
  <si>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</si>
  <si>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</si>
  <si>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</si>
  <si>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</si>
  <si>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</si>
  <si>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</si>
  <si>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</si>
  <si>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</si>
  <si>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</si>
  <si>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</si>
  <si>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</si>
  <si>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</si>
  <si>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</si>
  <si>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</si>
  <si>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</si>
  <si>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</si>
  <si>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</si>
  <si>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</si>
  <si>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</si>
  <si>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</si>
  <si>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</si>
  <si>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</si>
  <si>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</si>
  <si>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</si>
  <si>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</si>
  <si>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</si>
  <si>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</si>
  <si>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</si>
  <si>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</si>
  <si>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</si>
  <si>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</si>
  <si>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</si>
  <si>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</si>
  <si>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</si>
  <si>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</si>
  <si>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</si>
  <si>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</si>
  <si>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</si>
  <si>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</si>
  <si>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</si>
  <si>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</si>
  <si>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</si>
  <si>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</si>
  <si>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</si>
  <si>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</si>
  <si>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</si>
  <si>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</si>
  <si>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</si>
  <si>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</si>
  <si>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</si>
  <si>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</si>
  <si>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</si>
  <si>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</si>
  <si>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</si>
  <si>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</si>
  <si>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</si>
  <si>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</si>
  <si>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</si>
  <si>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</si>
  <si>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</si>
  <si>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</si>
  <si>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</si>
  <si>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</si>
  <si>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</si>
  <si>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</si>
  <si>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</si>
  <si>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</si>
  <si>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</si>
  <si>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</si>
  <si>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</si>
  <si>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</si>
  <si>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</si>
  <si>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</si>
  <si>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</si>
  <si>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</si>
  <si>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</si>
  <si>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</si>
  <si>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</si>
  <si>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</si>
  <si>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</si>
  <si>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</si>
  <si>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</si>
  <si>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</si>
  <si>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</si>
  <si>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</si>
  <si>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</si>
  <si>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</si>
  <si>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</si>
  <si>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</si>
  <si>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</si>
  <si>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</si>
  <si>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</si>
  <si>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</si>
  <si>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</si>
  <si>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</si>
  <si>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</si>
  <si>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</si>
  <si>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</si>
  <si>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</si>
  <si>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</si>
  <si>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</si>
  <si>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</si>
  <si>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</si>
  <si>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</si>
  <si>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</si>
  <si>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</si>
  <si>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</si>
  <si>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</si>
  <si>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</si>
  <si>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</si>
  <si>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</si>
  <si>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</si>
  <si>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</si>
  <si>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</si>
  <si>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</si>
  <si>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</si>
  <si>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</si>
  <si>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</si>
  <si>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</si>
  <si>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</si>
  <si>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</si>
  <si>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</si>
  <si>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</si>
  <si>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</si>
  <si>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</si>
  <si>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</si>
  <si>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</si>
  <si>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</si>
  <si>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</si>
  <si>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</si>
  <si>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</si>
  <si>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</si>
  <si>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</si>
  <si>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</si>
  <si>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</si>
  <si>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</si>
  <si>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</si>
  <si>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配套公建</t>
  </si>
  <si>
    <t>配套公建</t>
    <phoneticPr fontId="3" type="noConversion"/>
  </si>
  <si>
    <t>是</t>
  </si>
  <si>
    <t>地上</t>
  </si>
  <si>
    <t>地下</t>
  </si>
  <si>
    <t>楼层</t>
    <phoneticPr fontId="134" type="noConversion"/>
  </si>
  <si>
    <t>系数</t>
    <phoneticPr fontId="134" type="noConversion"/>
  </si>
  <si>
    <t>自定义容积率</t>
  </si>
  <si>
    <t>不临65条商业街</t>
  </si>
  <si>
    <t>与级别开发程度一致</t>
  </si>
  <si>
    <t>楼层修正</t>
  </si>
  <si>
    <t>成新度</t>
  </si>
  <si>
    <t>收益法</t>
  </si>
  <si>
    <t>未包含在土地购买价格中</t>
  </si>
  <si>
    <t>全部缴纳</t>
  </si>
  <si>
    <t>已包含在土地取得成本中</t>
  </si>
  <si>
    <t>成本法</t>
  </si>
  <si>
    <t>现房</t>
  </si>
  <si>
    <t>项目局部</t>
  </si>
  <si>
    <t>总价</t>
  </si>
  <si>
    <t>成本比率</t>
  </si>
  <si>
    <t>押一</t>
  </si>
  <si>
    <t>钢混</t>
  </si>
  <si>
    <t>非生产用房</t>
  </si>
  <si>
    <t>否</t>
  </si>
  <si>
    <t>较好</t>
  </si>
  <si>
    <t>一般</t>
  </si>
  <si>
    <t>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</si>
</sst>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9181</xdr:colOff>
      <xdr:row>18</xdr:row>
      <xdr:rowOff>142471</xdr:rowOff>
    </xdr:to>
    <xdr:pic>
      <xdr:nvPicPr>
        <xdr:cNvPr id="2" name="图片 1">
          <a:extLst>
            <a:ext uri="{FF2B5EF4-FFF2-40B4-BE49-F238E27FC236}">
              <a16:creationId xmlns:a16="http://schemas.microsoft.com/office/drawing/2014/main" id="{1F56B169-89DD-D4EF-1F2B-B7EC8F6D0A1B}"/>
            </a:ext>
          </a:extLst>
        </xdr:cNvPr>
        <xdr:cNvPicPr>
          <a:picLocks noChangeAspect="1"/>
        </xdr:cNvPicPr>
      </xdr:nvPicPr>
      <xdr:blipFill>
        <a:blip xmlns:r="http://schemas.openxmlformats.org/officeDocument/2006/relationships" r:embed="rId1"/>
        <a:stretch>
          <a:fillRect/>
        </a:stretch>
      </xdr:blipFill>
      <xdr:spPr>
        <a:xfrm>
          <a:off x="0" y="0"/>
          <a:ext cx="2743416" cy="3168059"/>
        </a:xfrm>
        <a:prstGeom prst="rect">
          <a:avLst/>
        </a:prstGeom>
      </xdr:spPr>
    </xdr:pic>
    <xdr:clientData/>
  </xdr:twoCellAnchor>
  <xdr:twoCellAnchor editAs="oneCell">
    <xdr:from>
      <xdr:col>5</xdr:col>
      <xdr:colOff>136712</xdr:colOff>
      <xdr:row>0</xdr:row>
      <xdr:rowOff>22412</xdr:rowOff>
    </xdr:from>
    <xdr:to>
      <xdr:col>17</xdr:col>
      <xdr:colOff>230921</xdr:colOff>
      <xdr:row>26</xdr:row>
      <xdr:rowOff>11206</xdr:rowOff>
    </xdr:to>
    <xdr:pic>
      <xdr:nvPicPr>
        <xdr:cNvPr id="3" name="图片 2">
          <a:extLst>
            <a:ext uri="{FF2B5EF4-FFF2-40B4-BE49-F238E27FC236}">
              <a16:creationId xmlns:a16="http://schemas.microsoft.com/office/drawing/2014/main" id="{2976C8FF-9F60-ABD4-C760-A9017E25CCCC}"/>
            </a:ext>
          </a:extLst>
        </xdr:cNvPr>
        <xdr:cNvPicPr>
          <a:picLocks noChangeAspect="1"/>
        </xdr:cNvPicPr>
      </xdr:nvPicPr>
      <xdr:blipFill>
        <a:blip xmlns:r="http://schemas.openxmlformats.org/officeDocument/2006/relationships" r:embed="rId2"/>
        <a:stretch>
          <a:fillRect/>
        </a:stretch>
      </xdr:blipFill>
      <xdr:spPr>
        <a:xfrm>
          <a:off x="3554506" y="22412"/>
          <a:ext cx="8296915" cy="4359088"/>
        </a:xfrm>
        <a:prstGeom prst="rect">
          <a:avLst/>
        </a:prstGeom>
      </xdr:spPr>
    </xdr:pic>
    <xdr:clientData/>
  </xdr:twoCellAnchor>
  <xdr:twoCellAnchor editAs="oneCell">
    <xdr:from>
      <xdr:col>0</xdr:col>
      <xdr:colOff>0</xdr:colOff>
      <xdr:row>54</xdr:row>
      <xdr:rowOff>64994</xdr:rowOff>
    </xdr:from>
    <xdr:to>
      <xdr:col>5</xdr:col>
      <xdr:colOff>540188</xdr:colOff>
      <xdr:row>76</xdr:row>
      <xdr:rowOff>7380</xdr:rowOff>
    </xdr:to>
    <xdr:pic>
      <xdr:nvPicPr>
        <xdr:cNvPr id="5" name="图片 4">
          <a:extLst>
            <a:ext uri="{FF2B5EF4-FFF2-40B4-BE49-F238E27FC236}">
              <a16:creationId xmlns:a16="http://schemas.microsoft.com/office/drawing/2014/main" id="{3BA76BC0-090F-0AF9-3424-9602063258F1}"/>
            </a:ext>
          </a:extLst>
        </xdr:cNvPr>
        <xdr:cNvPicPr>
          <a:picLocks noChangeAspect="1"/>
        </xdr:cNvPicPr>
      </xdr:nvPicPr>
      <xdr:blipFill>
        <a:blip xmlns:r="http://schemas.openxmlformats.org/officeDocument/2006/relationships" r:embed="rId3"/>
        <a:stretch>
          <a:fillRect/>
        </a:stretch>
      </xdr:blipFill>
      <xdr:spPr>
        <a:xfrm>
          <a:off x="0" y="9141759"/>
          <a:ext cx="3957982" cy="3640327"/>
        </a:xfrm>
        <a:prstGeom prst="rect">
          <a:avLst/>
        </a:prstGeom>
      </xdr:spPr>
    </xdr:pic>
    <xdr:clientData/>
  </xdr:twoCellAnchor>
  <xdr:twoCellAnchor editAs="oneCell">
    <xdr:from>
      <xdr:col>11</xdr:col>
      <xdr:colOff>605119</xdr:colOff>
      <xdr:row>55</xdr:row>
      <xdr:rowOff>44824</xdr:rowOff>
    </xdr:from>
    <xdr:to>
      <xdr:col>17</xdr:col>
      <xdr:colOff>511608</xdr:colOff>
      <xdr:row>76</xdr:row>
      <xdr:rowOff>28687</xdr:rowOff>
    </xdr:to>
    <xdr:pic>
      <xdr:nvPicPr>
        <xdr:cNvPr id="6" name="图片 5">
          <a:extLst>
            <a:ext uri="{FF2B5EF4-FFF2-40B4-BE49-F238E27FC236}">
              <a16:creationId xmlns:a16="http://schemas.microsoft.com/office/drawing/2014/main" id="{CD675359-BE87-A4C7-B95E-0F199DF223BD}"/>
            </a:ext>
          </a:extLst>
        </xdr:cNvPr>
        <xdr:cNvPicPr>
          <a:picLocks noChangeAspect="1"/>
        </xdr:cNvPicPr>
      </xdr:nvPicPr>
      <xdr:blipFill>
        <a:blip xmlns:r="http://schemas.openxmlformats.org/officeDocument/2006/relationships" r:embed="rId4"/>
        <a:stretch>
          <a:fillRect/>
        </a:stretch>
      </xdr:blipFill>
      <xdr:spPr>
        <a:xfrm>
          <a:off x="8124266" y="9289677"/>
          <a:ext cx="4007842" cy="3513716"/>
        </a:xfrm>
        <a:prstGeom prst="rect">
          <a:avLst/>
        </a:prstGeom>
      </xdr:spPr>
    </xdr:pic>
    <xdr:clientData/>
  </xdr:twoCellAnchor>
  <xdr:twoCellAnchor editAs="oneCell">
    <xdr:from>
      <xdr:col>5</xdr:col>
      <xdr:colOff>672353</xdr:colOff>
      <xdr:row>54</xdr:row>
      <xdr:rowOff>67234</xdr:rowOff>
    </xdr:from>
    <xdr:to>
      <xdr:col>11</xdr:col>
      <xdr:colOff>521699</xdr:colOff>
      <xdr:row>76</xdr:row>
      <xdr:rowOff>3458</xdr:rowOff>
    </xdr:to>
    <xdr:pic>
      <xdr:nvPicPr>
        <xdr:cNvPr id="7" name="图片 6">
          <a:extLst>
            <a:ext uri="{FF2B5EF4-FFF2-40B4-BE49-F238E27FC236}">
              <a16:creationId xmlns:a16="http://schemas.microsoft.com/office/drawing/2014/main" id="{0555892E-33E3-C00A-A944-C4E3316BC3C8}"/>
            </a:ext>
          </a:extLst>
        </xdr:cNvPr>
        <xdr:cNvPicPr>
          <a:picLocks noChangeAspect="1"/>
        </xdr:cNvPicPr>
      </xdr:nvPicPr>
      <xdr:blipFill>
        <a:blip xmlns:r="http://schemas.openxmlformats.org/officeDocument/2006/relationships" r:embed="rId5"/>
        <a:stretch>
          <a:fillRect/>
        </a:stretch>
      </xdr:blipFill>
      <xdr:spPr>
        <a:xfrm>
          <a:off x="4090147" y="9143999"/>
          <a:ext cx="3950699" cy="3634165"/>
        </a:xfrm>
        <a:prstGeom prst="rect">
          <a:avLst/>
        </a:prstGeom>
      </xdr:spPr>
    </xdr:pic>
    <xdr:clientData/>
  </xdr:twoCellAnchor>
  <xdr:twoCellAnchor editAs="oneCell">
    <xdr:from>
      <xdr:col>17</xdr:col>
      <xdr:colOff>448236</xdr:colOff>
      <xdr:row>55</xdr:row>
      <xdr:rowOff>89648</xdr:rowOff>
    </xdr:from>
    <xdr:to>
      <xdr:col>23</xdr:col>
      <xdr:colOff>297582</xdr:colOff>
      <xdr:row>75</xdr:row>
      <xdr:rowOff>44961</xdr:rowOff>
    </xdr:to>
    <xdr:pic>
      <xdr:nvPicPr>
        <xdr:cNvPr id="8" name="图片 7">
          <a:extLst>
            <a:ext uri="{FF2B5EF4-FFF2-40B4-BE49-F238E27FC236}">
              <a16:creationId xmlns:a16="http://schemas.microsoft.com/office/drawing/2014/main" id="{253CBDB1-460E-9B38-F774-16F5E0D0EC28}"/>
            </a:ext>
          </a:extLst>
        </xdr:cNvPr>
        <xdr:cNvPicPr>
          <a:picLocks noChangeAspect="1"/>
        </xdr:cNvPicPr>
      </xdr:nvPicPr>
      <xdr:blipFill>
        <a:blip xmlns:r="http://schemas.openxmlformats.org/officeDocument/2006/relationships" r:embed="rId6"/>
        <a:stretch>
          <a:fillRect/>
        </a:stretch>
      </xdr:blipFill>
      <xdr:spPr>
        <a:xfrm>
          <a:off x="12068736" y="9334501"/>
          <a:ext cx="3950699" cy="3317078"/>
        </a:xfrm>
        <a:prstGeom prst="rect">
          <a:avLst/>
        </a:prstGeom>
      </xdr:spPr>
    </xdr:pic>
    <xdr:clientData/>
  </xdr:twoCellAnchor>
  <xdr:twoCellAnchor editAs="oneCell">
    <xdr:from>
      <xdr:col>0</xdr:col>
      <xdr:colOff>0</xdr:colOff>
      <xdr:row>26</xdr:row>
      <xdr:rowOff>140634</xdr:rowOff>
    </xdr:from>
    <xdr:to>
      <xdr:col>14</xdr:col>
      <xdr:colOff>627371</xdr:colOff>
      <xdr:row>53</xdr:row>
      <xdr:rowOff>149579</xdr:rowOff>
    </xdr:to>
    <xdr:pic>
      <xdr:nvPicPr>
        <xdr:cNvPr id="9" name="图片 8">
          <a:extLst>
            <a:ext uri="{FF2B5EF4-FFF2-40B4-BE49-F238E27FC236}">
              <a16:creationId xmlns:a16="http://schemas.microsoft.com/office/drawing/2014/main" id="{592FEB2B-6298-0B3F-8797-C19A8087EF4E}"/>
            </a:ext>
          </a:extLst>
        </xdr:cNvPr>
        <xdr:cNvPicPr>
          <a:picLocks noChangeAspect="1"/>
        </xdr:cNvPicPr>
      </xdr:nvPicPr>
      <xdr:blipFill>
        <a:blip xmlns:r="http://schemas.openxmlformats.org/officeDocument/2006/relationships" r:embed="rId7"/>
        <a:stretch>
          <a:fillRect/>
        </a:stretch>
      </xdr:blipFill>
      <xdr:spPr>
        <a:xfrm>
          <a:off x="0" y="4510928"/>
          <a:ext cx="10197195" cy="4547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估价对象为北京市房地产，为所有。根据《国有土地使用证》[]，估价对象（分摊）出让国有建设用地使用权面积为0平方米，建筑面积为1621.82平方米。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估价对象为北京市房地产,属开发建设的，该项目尚在开发建设中。根据《国有土地使用证》[]，估价对象（分摊）出让国有建设用地使用权面积为0平方米，规划建筑面积为1621.82平方米。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2025年2月13日（评估专业人员实地查勘之日）</v>
      </c>
    </row>
    <row r="13" spans="1:2">
      <c r="A13" s="1119" t="s">
        <v>529</v>
      </c>
      <c r="B13" s="1120"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2119</v>
      </c>
    </row>
    <row r="21" spans="1:2">
      <c r="A21" s="1119" t="s">
        <v>537</v>
      </c>
      <c r="B21" s="1120">
        <f ca="1">'预评函-2'!D7</f>
        <v>13066</v>
      </c>
    </row>
    <row r="22" spans="1:2">
      <c r="A22" s="1119" t="s">
        <v>538</v>
      </c>
      <c r="B22" s="1120" t="str">
        <f ca="1">'预评函-2'!D6</f>
        <v>贰仟壹佰壹拾玖万元整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2119</v>
      </c>
    </row>
    <row r="31" spans="1:2">
      <c r="A31" s="1119" t="s">
        <v>576</v>
      </c>
      <c r="B31" s="1120">
        <f ca="1">'预评函-2'!D15</f>
        <v>13066</v>
      </c>
    </row>
    <row r="32" spans="1:2">
      <c r="A32" s="1119" t="s">
        <v>543</v>
      </c>
      <c r="B32" s="1120" t="str">
        <f ca="1">'预评函-2'!D14</f>
        <v>贰仟壹佰壹拾玖万元整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899</v>
      </c>
    </row>
    <row r="39" spans="1:2">
      <c r="A39" s="1119" t="s">
        <v>545</v>
      </c>
      <c r="B39" s="1120">
        <f ca="1">'预评函-2'!D21</f>
        <v>5543</v>
      </c>
    </row>
    <row r="40" spans="1:2">
      <c r="A40" s="1119" t="s">
        <v>546</v>
      </c>
      <c r="B40" s="1120" t="str">
        <f ca="1">'预评函-2'!D20</f>
        <v>捌佰玖拾玖万元整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1621.82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1602</v>
      </c>
    </row>
    <row r="48" spans="1:2">
      <c r="A48" s="1119" t="s">
        <v>549</v>
      </c>
      <c r="B48" s="1120">
        <f ca="1">'预评函-3'!E4</f>
        <v>9878</v>
      </c>
    </row>
    <row r="49" spans="1:2">
      <c r="A49" s="1119" t="s">
        <v>550</v>
      </c>
      <c r="B49" s="1120" t="str">
        <f ca="1">'预评函-3'!D5</f>
        <v>壹仟陆佰零贰万元整</v>
      </c>
    </row>
    <row r="50" spans="1:2">
      <c r="A50" s="1119" t="s">
        <v>574</v>
      </c>
      <c r="B50" s="1120" t="str">
        <f>'预评函-3'!F2</f>
        <v>在建建筑物价值</v>
      </c>
    </row>
    <row r="51" spans="1:2">
      <c r="A51" s="1119" t="s">
        <v>551</v>
      </c>
      <c r="B51" s="1120">
        <f ca="1">'预评函-3'!F4</f>
        <v>517</v>
      </c>
    </row>
    <row r="52" spans="1:2">
      <c r="A52" s="1119" t="s">
        <v>552</v>
      </c>
      <c r="B52" s="1120">
        <f ca="1">'预评函-3'!G4</f>
        <v>3188</v>
      </c>
    </row>
    <row r="53" spans="1:2">
      <c r="A53" s="1119" t="s">
        <v>580</v>
      </c>
      <c r="B53" s="1120" t="str">
        <f ca="1">'预评函-3'!F5</f>
        <v>伍佰壹拾柒万元整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3" sqref="A43:M63"/>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45701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8" sqref="H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45701</v>
      </c>
      <c r="C3" s="2186" t="s">
        <v>2171</v>
      </c>
      <c r="D3" s="2185">
        <v>45701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6"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7"/>
      <c r="E9" s="2205" t="s">
        <v>587</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52465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18.53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1621.82</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166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1621.82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1621.82</v>
      </c>
      <c r="H5" s="13">
        <f t="shared" ref="H5:AT5" si="0">SUM(H13:H656)</f>
        <v>1621.82</v>
      </c>
      <c r="I5" s="13">
        <f t="shared" si="0"/>
        <v>1081.213</v>
      </c>
      <c r="J5" s="13">
        <f t="shared" si="0"/>
        <v>0</v>
      </c>
      <c r="K5" s="13">
        <f t="shared" si="0"/>
        <v>540.60699999999997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1621.82</v>
      </c>
      <c r="BA5" s="15">
        <f t="shared" si="1"/>
        <v>1621.82</v>
      </c>
      <c r="BB5" s="15">
        <f t="shared" si="1"/>
        <v>1081.213</v>
      </c>
      <c r="BC5" s="15">
        <f t="shared" si="1"/>
        <v>540.60699999999997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t="s">
        <v>3403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3400</v>
      </c>
      <c r="D13" s="1513" t="s">
        <v>3401</v>
      </c>
      <c r="E13" s="13">
        <f>IF($C$3="是",ROUND($A$3*G13/$B$3,2),ROUND($A$3*(G13-AT13)/$B$3,2))</f>
        <v>0</v>
      </c>
      <c r="F13" s="29"/>
      <c r="G13" s="30">
        <f>H13+AC13+AT13</f>
        <v>1621.82</v>
      </c>
      <c r="H13" s="17">
        <f>SUMIF(I$12:AB$12,"总值",I13:AB13)</f>
        <v>1621.82</v>
      </c>
      <c r="I13" s="3490">
        <f>ROUND(1621.82/3*2,3)</f>
        <v>1081.213</v>
      </c>
      <c r="J13" s="1514"/>
      <c r="K13" s="3490">
        <f>ROUND(1621.82/3,3)</f>
        <v>540.60699999999997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配套公建</v>
      </c>
      <c r="AY13" s="1260">
        <f>ROUND($AY$6*AZ13/$AZ$5,2)</f>
        <v>0</v>
      </c>
      <c r="AZ13" s="13">
        <f>BA13+BL13</f>
        <v>1621.82</v>
      </c>
      <c r="BA13" s="13">
        <f>SUM(BB13:BK13)</f>
        <v>1621.82</v>
      </c>
      <c r="BB13" s="13">
        <f>IF($D13="是",I13-J13,0)</f>
        <v>1081.213</v>
      </c>
      <c r="BC13" s="13">
        <f>IF($D13="是",K13-L13,0)</f>
        <v>540.60699999999997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12" sqref="L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1621.82</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1621.82</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1081.213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540.60699999999997</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1621.82</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配套公建</v>
      </c>
      <c r="D19" s="43">
        <f>ROUND($D$3*E19/$E$3,2)</f>
        <v>0</v>
      </c>
      <c r="E19" s="51">
        <f t="shared" ref="E19:E26" si="1">SUM(F19:G19)</f>
        <v>1621.82</v>
      </c>
      <c r="F19" s="2558">
        <f>'数据-基础表'!I13</f>
        <v>1081.213</v>
      </c>
      <c r="G19" s="1243">
        <f>'数据-基础表'!K13</f>
        <v>540.60699999999997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1621.82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1621.82</v>
      </c>
      <c r="F27" s="1072">
        <f>IF(SUM(F19:F26)=E8,SUM(F19:F26),"地上面积有误")</f>
        <v>1081.213</v>
      </c>
      <c r="G27" s="1074">
        <f>SUM(G19:G26)</f>
        <v>540.60699999999997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1621.82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1621.82</v>
      </c>
      <c r="F31" s="644">
        <f>F27+F30</f>
        <v>1081.213</v>
      </c>
      <c r="G31" s="645">
        <f>G27+G30</f>
        <v>540.60699999999997</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配套公建</v>
      </c>
      <c r="B6" s="1587" t="str">
        <f>IF(A6=0,"","经营性")</f>
        <v>经营性</v>
      </c>
      <c r="C6" s="1588" t="s">
        <v>673</v>
      </c>
      <c r="D6" s="805">
        <f>SUMIF(项目基本情况!C$12:I$12,C6,项目基本情况!C$14:I$14)</f>
        <v>40</v>
      </c>
      <c r="E6" s="804">
        <f>IF(B6="","",SUMIF(项目基本情况!C$12:I$12,C6,项目基本情况!C$13:I$13))</f>
        <v>52465</v>
      </c>
      <c r="F6" s="61">
        <f>SUMIF(项目基本情况!C$12:I$12,C6,项目基本情况!C$15:I$15)</f>
        <v>18.53</v>
      </c>
      <c r="G6" s="62">
        <f>IF(ISERROR(ROUND(POWER(1+H6,D6-F6)*(POWER(1+H6,F6)-1)/(POWER(1+H6,D6)-1),3)),0,ROUND(POWER(1+H6,D6-F6)*(POWER(1+H6,F6)-1)/(POWER(1+H6,D6)-1),3))</f>
        <v>0.71299999999999997</v>
      </c>
      <c r="H6" s="691">
        <v>5.5E-2</v>
      </c>
      <c r="I6" s="691">
        <v>0.06</v>
      </c>
      <c r="J6" s="63">
        <v>7.0000000000000007E-2</v>
      </c>
      <c r="K6" s="970">
        <f>SUMIF('数据-汇总表'!C$19:C$33,A6,'数据-汇总表'!E$19:E$33)</f>
        <v>1621.82</v>
      </c>
      <c r="L6" s="692">
        <v>3000</v>
      </c>
      <c r="M6" s="64">
        <f t="shared" ref="M6:M14" si="0">ROUND(K6*L6/10000,0)</f>
        <v>487</v>
      </c>
      <c r="N6" s="690">
        <f>ROUND(1-(2025-2014)/60,2)</f>
        <v>0.82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f>位置面积租金!D25</f>
        <v>3.5</v>
      </c>
      <c r="V6" s="63">
        <v>1.4999999999999999E-2</v>
      </c>
      <c r="W6" s="63">
        <v>0.15</v>
      </c>
      <c r="X6" s="979"/>
      <c r="Y6" s="68">
        <f>N6</f>
        <v>0.82</v>
      </c>
      <c r="Z6" s="69"/>
      <c r="AA6" s="63"/>
      <c r="AB6" s="63"/>
      <c r="AC6" s="979"/>
      <c r="AD6" s="70"/>
      <c r="AE6" s="980">
        <f ca="1">IF(AN6="",0,SUMIF(INDIRECT("'"&amp;AN6&amp;"'"&amp;"!E:E"),$AE$5,INDIRECT("'"&amp;AN6&amp;"'"&amp;"!F:F")))</f>
        <v>18.53</v>
      </c>
      <c r="AF6" s="74"/>
      <c r="AG6" s="130">
        <f>IF(AF6="",0,AE6-AF6)</f>
        <v>0</v>
      </c>
      <c r="AH6" s="71"/>
      <c r="AI6" s="73">
        <v>365</v>
      </c>
      <c r="AJ6" s="74"/>
      <c r="AK6" s="75">
        <v>2E-3</v>
      </c>
      <c r="AL6" s="76">
        <v>1E-3</v>
      </c>
      <c r="AM6" s="77">
        <v>0.01</v>
      </c>
      <c r="AN6" s="1589" t="s">
        <v>3411</v>
      </c>
      <c r="AO6" s="50">
        <f ca="1">SUMIF(INDIRECT("'"&amp;AN6&amp;"'"&amp;"!A:A"),"总价",INDIRECT("'"&amp;AN6&amp;"'"&amp;"!B:B"))</f>
        <v>1854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0.71299999999999997</v>
      </c>
      <c r="H16" s="84">
        <f>ROUND(SUMPRODUCT(H6:H13,K6:K13)/SUMPRODUCT((H6:H13&gt;0)*(K6:K13)),3)</f>
        <v>5.5E-2</v>
      </c>
      <c r="I16" s="85"/>
      <c r="J16" s="85"/>
      <c r="K16" s="86">
        <f>SUM(K6:K15)</f>
        <v>1621.82</v>
      </c>
      <c r="L16" s="87">
        <f>ROUND(M16*10000/SUM(K6:K14),0)</f>
        <v>3003</v>
      </c>
      <c r="M16" s="87">
        <f>SUM(M6:M14)</f>
        <v>487</v>
      </c>
      <c r="N16" s="88">
        <f>ROUND(SUMPRODUCT(M6:M14,N6:N14)/M16,3)</f>
        <v>0.82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1621.82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2119</v>
      </c>
      <c r="C5" s="2300">
        <f ca="1">IF(B5=D14,结果表!H102,ROUND(B5*10000/$B$1,0))</f>
        <v>13066</v>
      </c>
      <c r="D5" s="2300" t="e">
        <f ca="1">ROUND(B5*10000/$B$2,0)</f>
        <v>#DIV/0!</v>
      </c>
      <c r="E5" s="2462"/>
      <c r="F5" s="2463"/>
      <c r="G5" s="2463"/>
      <c r="H5" s="2463"/>
      <c r="I5" s="2463"/>
      <c r="J5" s="2463"/>
      <c r="K5" s="2463"/>
    </row>
    <row r="6" spans="1:11" ht="16.5">
      <c r="A6" s="2300" t="s">
        <v>656</v>
      </c>
      <c r="B6" s="2300">
        <f ca="1">SUM(G14:G23)</f>
        <v>2119</v>
      </c>
      <c r="C6" s="2300">
        <f ca="1">IF(B6=G14,结果表!H108,ROUND(B6*10000/$B$1,0))</f>
        <v>13066</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f ca="1">IF(B8=I14,结果表!H112,ROUND(B8*10000/$B$1,0))</f>
        <v>5543</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1621.82</v>
      </c>
      <c r="C14" s="2306"/>
      <c r="D14" s="2306">
        <f ca="1">结果表!G19</f>
        <v>2119</v>
      </c>
      <c r="E14" s="2306">
        <f ca="1">ROUND(D14*10000/B14,0)</f>
        <v>13066</v>
      </c>
      <c r="F14" s="2306" t="e">
        <f ca="1">ROUND(D14*10000/C14,0)</f>
        <v>#DIV/0!</v>
      </c>
      <c r="G14" s="2306">
        <f ca="1">D14</f>
        <v>2119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3399</v>
      </c>
      <c r="D1" s="646"/>
      <c r="E1" s="646"/>
      <c r="F1" s="1621" t="s">
        <v>1263</v>
      </c>
      <c r="G1" s="1453" t="s">
        <v>3416</v>
      </c>
      <c r="H1" s="1621" t="str">
        <f>IF(G1="现房","——","估价对象范围")</f>
        <v>——</v>
      </c>
      <c r="I1" s="1622" t="s">
        <v>3417</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3415</v>
      </c>
      <c r="D4" s="1626" t="s">
        <v>3411</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4</v>
      </c>
      <c r="D14" s="3279">
        <v>6</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6" t="s">
        <v>2131</v>
      </c>
      <c r="F18" s="3267"/>
      <c r="G18" s="3267"/>
      <c r="H18" s="3267"/>
      <c r="I18" s="3267"/>
      <c r="K18" s="294" t="s">
        <v>1289</v>
      </c>
      <c r="L18" s="294">
        <f>IF(C1="",'数据-汇总表'!E3,SUMIF(项目类型,C1,'数据-汇总表'!E17:E26)+SUMIF(项目类型,C1,'数据-汇总表'!I17:I26))</f>
        <v>1621.82</v>
      </c>
      <c r="M18" s="294">
        <f>IF(C1="",'数据-汇总表'!E3,SUMIF(项目类型,C1,'数据-汇总表'!E17:E26))</f>
        <v>1621.82</v>
      </c>
    </row>
    <row r="19" spans="1:36" ht="15">
      <c r="A19" s="1630" t="s">
        <v>1290</v>
      </c>
      <c r="B19" s="1631" t="s">
        <v>1291</v>
      </c>
      <c r="C19" s="126">
        <f ca="1">SUMIF(INDIRECT("'"&amp;C4&amp;"'"&amp;"!A:A"),结果表!B19,INDIRECT("'"&amp;C4&amp;"'"&amp;"!B:B"))</f>
        <v>2517</v>
      </c>
      <c r="D19" s="127">
        <f ca="1">SUMIF(INDIRECT("'"&amp;D4&amp;"'"&amp;"!A:A"),结果表!B19,INDIRECT("'"&amp;D4&amp;"'"&amp;"!B:B"))</f>
        <v>1854</v>
      </c>
      <c r="E19" s="1630" t="s">
        <v>1292</v>
      </c>
      <c r="F19" s="1631" t="s">
        <v>1291</v>
      </c>
      <c r="G19" s="128">
        <f ca="1">ROUND(C19*$C$18+D19*$D$18,0)</f>
        <v>2119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15520</v>
      </c>
      <c r="D20" s="130">
        <f ca="1">SUMIF(INDIRECT("'"&amp;D4&amp;"'"&amp;"!A:A"),结果表!B20,INDIRECT("'"&amp;D4&amp;"'"&amp;"!B:B"))</f>
        <v>11432</v>
      </c>
      <c r="E20" s="1633"/>
      <c r="F20" s="43" t="s">
        <v>1295</v>
      </c>
      <c r="G20" s="131">
        <f ca="1">ROUND(C20*$C$18+D20*$D$18,0)</f>
        <v>13067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0.35760517799352742</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2119</v>
      </c>
      <c r="D32" s="1641" t="s">
        <v>3418</v>
      </c>
      <c r="E32" s="121"/>
      <c r="F32" s="121"/>
      <c r="G32" s="121"/>
      <c r="H32" s="121"/>
      <c r="I32" s="121"/>
    </row>
    <row r="33" spans="1:15" ht="15">
      <c r="A33" s="740" t="s">
        <v>1306</v>
      </c>
      <c r="B33" s="123"/>
      <c r="C33" s="1642" t="s">
        <v>3419</v>
      </c>
      <c r="D33" s="1643" t="s">
        <v>3415</v>
      </c>
      <c r="E33" s="1644" t="s">
        <v>1307</v>
      </c>
      <c r="F33" s="1645" t="str">
        <f>IF(D32="楼面单价","取值（单价）","取值（总价）")</f>
        <v>取值（总价）</v>
      </c>
      <c r="G33" s="121"/>
      <c r="H33" s="121"/>
      <c r="I33" s="121"/>
    </row>
    <row r="34" spans="1:15" ht="15">
      <c r="A34" s="1646"/>
      <c r="B34" s="1647" t="s">
        <v>1308</v>
      </c>
      <c r="C34" s="140">
        <f ca="1">IF(C33="自定义",F34,C32-C35)</f>
        <v>1602</v>
      </c>
      <c r="D34" s="808">
        <f ca="1">IF(C33="自定义",ROUND(C34/C32,3),IF(C33="收益比率",SUMIF(INDIRECT("'"&amp;D33&amp;"'"&amp;"!b:b"),"土地收益比率",INDIRECT("'"&amp;D33&amp;"'"&amp;"!c:c")),SUMIF(INDIRECT("'"&amp;D33&amp;"'"&amp;"!b:b"),"土地成本比率",INDIRECT("'"&amp;D33&amp;"'"&amp;"!c:c"))))</f>
        <v>0.75600000000000001</v>
      </c>
      <c r="E34" s="1648" t="s">
        <v>1309</v>
      </c>
      <c r="F34" s="1243"/>
      <c r="G34" s="121"/>
      <c r="H34" s="121"/>
      <c r="I34" s="121"/>
    </row>
    <row r="35" spans="1:15" ht="15.75" thickBot="1">
      <c r="A35" s="1649"/>
      <c r="B35" s="1650" t="s">
        <v>1310</v>
      </c>
      <c r="C35" s="1090">
        <f ca="1">IF(C33="自定义",F35,ROUND(C32*D35,0))</f>
        <v>517</v>
      </c>
      <c r="D35" s="1091">
        <f ca="1">IF(C33="自定义",ROUND(C35/C32,3),IF(C33="收益比率",SUMIF(INDIRECT("'"&amp;D33&amp;"'"&amp;"!b:b"),"建筑物收益比率",INDIRECT("'"&amp;D33&amp;"'"&amp;"!c:c")),SUMIF(INDIRECT("'"&amp;D33&amp;"'"&amp;"!b:b"),"建筑物成本比率",INDIRECT("'"&amp;D33&amp;"'"&amp;"!c:c"))))</f>
        <v>0.24399999999999999</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2119</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45701</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2119</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2119</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113</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2282</v>
      </c>
      <c r="C53" s="3269"/>
      <c r="D53" s="1024">
        <f ca="1">ROUND(D45*'数据-取费表'!B41/(1+'数据-取费表'!C42),0)</f>
        <v>113</v>
      </c>
      <c r="E53" s="1256" t="s">
        <v>1354</v>
      </c>
      <c r="F53" s="2340">
        <f>'数据-取费表'!B41</f>
        <v>5.6000000000000001E-2</v>
      </c>
      <c r="G53" s="2341"/>
      <c r="H53" s="2331"/>
      <c r="I53" s="1669"/>
      <c r="J53" s="2310">
        <v>2</v>
      </c>
      <c r="K53" s="3307" t="s">
        <v>1357</v>
      </c>
      <c r="L53" s="3307"/>
      <c r="M53" s="2312">
        <f t="shared" ref="M53:O54" ca="1" si="0">D55</f>
        <v>1</v>
      </c>
      <c r="N53" s="2310" t="str">
        <f t="shared" si="0"/>
        <v>销售额×税（费）率</v>
      </c>
      <c r="O53" s="2313" t="str">
        <f t="shared" si="0"/>
        <v>免征</v>
      </c>
    </row>
    <row r="54" spans="1:35" ht="12" customHeight="1">
      <c r="A54" s="2153" t="s">
        <v>1358</v>
      </c>
      <c r="B54" s="3268" t="s">
        <v>2283</v>
      </c>
      <c r="C54" s="3269"/>
      <c r="D54" s="1024">
        <f ca="1">C68</f>
        <v>113</v>
      </c>
      <c r="E54" s="319" t="s">
        <v>1359</v>
      </c>
      <c r="F54" s="2340">
        <f>'数据-取费表'!B41</f>
        <v>5.6000000000000001E-2</v>
      </c>
      <c r="G54" s="2341"/>
      <c r="H54" s="2342"/>
      <c r="I54" s="1669"/>
      <c r="J54" s="2310">
        <v>3</v>
      </c>
      <c r="K54" s="3307" t="s">
        <v>1360</v>
      </c>
      <c r="L54" s="3307"/>
      <c r="M54" s="2312">
        <f t="shared" ca="1" si="0"/>
        <v>1199</v>
      </c>
      <c r="N54" s="2310" t="str">
        <f t="shared" si="0"/>
        <v>增值额×税（费）率</v>
      </c>
      <c r="O54" s="2314" t="str">
        <f t="shared" si="0"/>
        <v>免征</v>
      </c>
    </row>
    <row r="55" spans="1:35" ht="24" customHeight="1">
      <c r="A55" s="3257" t="s">
        <v>1361</v>
      </c>
      <c r="B55" s="3258"/>
      <c r="C55" s="3258"/>
      <c r="D55" s="12">
        <f ca="1">IF(H55="个人住宅",0,ROUND(D45*I55,0))</f>
        <v>1</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20</v>
      </c>
      <c r="N55" s="1883" t="str">
        <f>E59</f>
        <v>差额计税</v>
      </c>
      <c r="O55" s="2316">
        <f>F59</f>
        <v>0.01</v>
      </c>
    </row>
    <row r="56" spans="1:35" ht="24.75">
      <c r="A56" s="3257" t="s">
        <v>1363</v>
      </c>
      <c r="B56" s="3258"/>
      <c r="C56" s="3258"/>
      <c r="D56" s="12">
        <f ca="1">IF(H56="个人住宅",D57,D58)</f>
        <v>1199</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1220</v>
      </c>
      <c r="O57" s="2320"/>
      <c r="P57" s="2465">
        <f ca="1">N57/M49</f>
        <v>0.57574327512977819</v>
      </c>
    </row>
    <row r="58" spans="1:35" ht="24.75">
      <c r="A58" s="2153" t="s">
        <v>1352</v>
      </c>
      <c r="B58" s="3268" t="s">
        <v>1369</v>
      </c>
      <c r="C58" s="3242"/>
      <c r="D58" s="12">
        <f ca="1">IF(H58="转让取得",C81,C97)</f>
        <v>1199</v>
      </c>
      <c r="E58" s="1256" t="s">
        <v>1364</v>
      </c>
      <c r="F58" s="294" t="s">
        <v>28</v>
      </c>
      <c r="G58" s="2341"/>
      <c r="H58" s="2344"/>
      <c r="I58" s="1670"/>
      <c r="J58" s="3307"/>
      <c r="K58" s="3307"/>
      <c r="L58" s="2317" t="s">
        <v>1370</v>
      </c>
      <c r="M58" s="2321"/>
      <c r="N58" s="2322" t="str">
        <f ca="1">NUMBERSTRING(INT(N57*10000),2)&amp;"元整"</f>
        <v>壹仟贰佰贰拾万元整</v>
      </c>
      <c r="O58" s="2323"/>
    </row>
    <row r="59" spans="1:35" ht="24.75" thickBot="1">
      <c r="A59" s="3310" t="s">
        <v>1371</v>
      </c>
      <c r="B59" s="3311"/>
      <c r="C59" s="3311"/>
      <c r="D59" s="2346">
        <f ca="1">IF(H59="非个人房产","——",IF(H59="个人住宅（满五唯一有凭证）",0,IF(H59="个人其他（无凭证）",ROUND(D45*F59,0),ROUND(C67*F59,0))))</f>
        <v>20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899</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捌佰玖拾玖万元整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5543</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2018</v>
      </c>
      <c r="D63" s="159"/>
      <c r="E63" s="160"/>
      <c r="F63" s="1670"/>
      <c r="G63" s="1670"/>
      <c r="H63" s="151"/>
      <c r="I63" s="121"/>
      <c r="J63" s="3332" t="s">
        <v>1379</v>
      </c>
      <c r="K63" s="1245" t="s">
        <v>1380</v>
      </c>
      <c r="L63" s="1245">
        <f ca="1">IF(M49&gt;10000,M49*0.5%,IF(AND(M49&gt;1000,M49&lt;=10000),M49*1%,IF(AND(M49&gt;100,M49&lt;=1000),M49*3%,IF(AND(M49&gt;10,M49&lt;=100),M49*5%,M49*8%))))</f>
        <v>21.19</v>
      </c>
      <c r="M63" s="294">
        <f ca="1">ROUND(L63,1)</f>
        <v>21.2</v>
      </c>
      <c r="N63" s="2330"/>
      <c r="Z63" s="1623"/>
      <c r="AI63" s="1561"/>
    </row>
    <row r="64" spans="1:35" ht="14.25" customHeight="1">
      <c r="A64" s="161" t="s">
        <v>325</v>
      </c>
      <c r="B64" s="162" t="s">
        <v>1381</v>
      </c>
      <c r="C64" s="2351">
        <f ca="1">D45</f>
        <v>2119</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10.595000000000001</v>
      </c>
      <c r="M64" s="294">
        <f t="shared" ref="M64:M65" ca="1" si="1">ROUND(L64,1)</f>
        <v>10.6</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2.1190000000000002</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10.595000000000001</v>
      </c>
      <c r="M66" s="294">
        <f ca="1">IF(L66&gt;0.5,0.5,ROUND(L66,0))</f>
        <v>0.5</v>
      </c>
      <c r="N66" s="2331" t="s">
        <v>1388</v>
      </c>
      <c r="Z66" s="1623"/>
      <c r="AI66" s="1561"/>
    </row>
    <row r="67" spans="1:35" ht="14.25" customHeight="1">
      <c r="A67" s="165" t="s">
        <v>328</v>
      </c>
      <c r="B67" s="166" t="s">
        <v>1389</v>
      </c>
      <c r="C67" s="2354">
        <f ca="1">C63-C66</f>
        <v>2018</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113</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42.38</v>
      </c>
      <c r="M68" s="294">
        <f ca="1">ROUND(L68,1)</f>
        <v>42.4</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79</v>
      </c>
      <c r="N69" s="2332">
        <f ca="1">M69/M49</f>
        <v>3.7281736668239737E-2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2018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12</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2006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167.16666666666666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1199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2018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12</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2006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167.16666666666666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1199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v>
      </c>
      <c r="E101" s="3329" t="s">
        <v>1431</v>
      </c>
      <c r="F101" s="3286"/>
      <c r="G101" s="1687" t="s">
        <v>1432</v>
      </c>
      <c r="H101" s="2381">
        <f ca="1">H118</f>
        <v>2119</v>
      </c>
      <c r="I101" s="121"/>
    </row>
    <row r="102" spans="1:35" ht="18.75" customHeight="1">
      <c r="A102" s="3288" t="s">
        <v>1433</v>
      </c>
      <c r="B102" s="2370" t="s">
        <v>1432</v>
      </c>
      <c r="C102" s="2371">
        <f ca="1">IF(D32="楼面单价",ROUND(C19,0),C19)</f>
        <v>2517</v>
      </c>
      <c r="D102" s="2372">
        <f ca="1">IF(D32="楼面单价",ROUND(D19,0),D19)</f>
        <v>1854</v>
      </c>
      <c r="E102" s="3329"/>
      <c r="F102" s="3286"/>
      <c r="G102" s="1687" t="s">
        <v>1434</v>
      </c>
      <c r="H102" s="2341">
        <f ca="1">I118</f>
        <v>13066</v>
      </c>
      <c r="I102" s="121"/>
    </row>
    <row r="103" spans="1:35" ht="42.75" customHeight="1">
      <c r="A103" s="3288"/>
      <c r="B103" s="2370" t="s">
        <v>1434</v>
      </c>
      <c r="C103" s="2373">
        <f ca="1">C20</f>
        <v>15520</v>
      </c>
      <c r="D103" s="2374">
        <f ca="1">D20</f>
        <v>11432</v>
      </c>
      <c r="E103" s="3323" t="s">
        <v>1435</v>
      </c>
      <c r="F103" s="3324"/>
      <c r="G103" s="1688" t="s">
        <v>1436</v>
      </c>
      <c r="H103" s="2381">
        <f>IF(D36="正常操作",H104+H105+H106,H105+H106)</f>
        <v>0</v>
      </c>
      <c r="I103" s="121"/>
    </row>
    <row r="104" spans="1:35" ht="18.75" customHeight="1">
      <c r="A104" s="3288" t="s">
        <v>1437</v>
      </c>
      <c r="B104" s="2375" t="s">
        <v>1432</v>
      </c>
      <c r="C104" s="2376">
        <f ca="1">H118</f>
        <v>2119</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13066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2119</v>
      </c>
      <c r="I107" s="121"/>
    </row>
    <row r="108" spans="1:35" ht="18.75" customHeight="1">
      <c r="A108" s="121"/>
      <c r="B108" s="121"/>
      <c r="C108" s="121"/>
      <c r="D108" s="121"/>
      <c r="E108" s="3285"/>
      <c r="F108" s="3286"/>
      <c r="G108" s="1687" t="s">
        <v>1434</v>
      </c>
      <c r="H108" s="2341">
        <f ca="1">IF(H107=H101,H102,ROUND(H107*10000/'数据-汇总表'!E3,0))</f>
        <v>13066</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4.抵押净值</v>
      </c>
      <c r="F111" s="3287"/>
      <c r="G111" s="1687" t="s">
        <v>1432</v>
      </c>
      <c r="H111" s="2381">
        <f ca="1">IF(E111="——","——",N59)</f>
        <v>899</v>
      </c>
      <c r="I111" s="121"/>
    </row>
    <row r="112" spans="1:35" ht="18.75" customHeight="1" thickBot="1">
      <c r="A112" s="121"/>
      <c r="B112" s="121"/>
      <c r="C112" s="121"/>
      <c r="D112" s="121"/>
      <c r="E112" s="3318"/>
      <c r="F112" s="3319"/>
      <c r="G112" s="1690" t="s">
        <v>1434</v>
      </c>
      <c r="H112" s="2385">
        <f ca="1">IF(E111="——","——",N61)</f>
        <v>5543</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1621.82</v>
      </c>
      <c r="C118" s="2150">
        <f>M19</f>
        <v>0</v>
      </c>
      <c r="D118" s="2150">
        <f ca="1">ROUND(IF(D32="总价",C34,E118*B118/10000),0)</f>
        <v>1602</v>
      </c>
      <c r="E118" s="2150">
        <f ca="1">ROUND(IF(C33="自定义",IF(D32="楼面单价",C34,D118*10000/B118),I118-G118),0)</f>
        <v>9878</v>
      </c>
      <c r="F118" s="2150">
        <f ca="1">ROUND(IF(D32="总价",C35,G118*B118/10000),0)</f>
        <v>517</v>
      </c>
      <c r="G118" s="2150">
        <f ca="1">ROUND(IF(D32="楼面单价",C35,F118*10000/B118),0)</f>
        <v>3188</v>
      </c>
      <c r="H118" s="2150">
        <f ca="1">ROUND(IF(D32="总价",C32,I118*B118/10000),0)</f>
        <v>2119</v>
      </c>
      <c r="I118" s="2150">
        <f ca="1">ROUND(IF(D32="楼面单价",C32,H118*10000/B118),0)</f>
        <v>13066</v>
      </c>
    </row>
    <row r="119" spans="1:27" ht="18.75" customHeight="1">
      <c r="A119" s="3256" t="s">
        <v>1452</v>
      </c>
      <c r="B119" s="3256"/>
      <c r="C119" s="3256"/>
      <c r="D119" s="3296" t="str">
        <f ca="1">NUMBERSTRING(INT(D118*10000),2)&amp;"元整"</f>
        <v>壹仟陆佰零贰万元整</v>
      </c>
      <c r="E119" s="3298"/>
      <c r="F119" s="3296" t="str">
        <f ca="1">NUMBERSTRING(INT(F118*10000),2)&amp;"元整"</f>
        <v>伍佰壹拾柒万元整</v>
      </c>
      <c r="G119" s="3298"/>
      <c r="H119" s="3296" t="str">
        <f ca="1">NUMBERSTRING(INT(H118*10000),2)&amp;"元整"</f>
        <v>贰仟壹佰壹拾玖万元整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2119</v>
      </c>
      <c r="E122" s="3321"/>
      <c r="F122" s="3321"/>
      <c r="G122" s="3321"/>
      <c r="H122" s="3321"/>
      <c r="I122" s="3322"/>
      <c r="AA122" s="684"/>
    </row>
    <row r="123" spans="1:27" ht="18.75" customHeight="1">
      <c r="A123" s="3256" t="s">
        <v>1452</v>
      </c>
      <c r="B123" s="3256"/>
      <c r="C123" s="3256"/>
      <c r="D123" s="3296" t="str">
        <f ca="1">NUMBERSTRING(INT(D122*10000),2)&amp;"元整"</f>
        <v>贰仟壹佰壹拾玖万元整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抵押净值</v>
      </c>
      <c r="B126" s="3287"/>
      <c r="C126" s="3287"/>
      <c r="D126" s="3320">
        <f ca="1">H111</f>
        <v>899</v>
      </c>
      <c r="E126" s="3321"/>
      <c r="F126" s="3321"/>
      <c r="G126" s="3321"/>
      <c r="H126" s="3321"/>
      <c r="I126" s="3322"/>
      <c r="AA126" s="684"/>
    </row>
    <row r="127" spans="1:27" ht="18.75" customHeight="1">
      <c r="A127" s="3256" t="s">
        <v>1452</v>
      </c>
      <c r="B127" s="3256"/>
      <c r="C127" s="3256"/>
      <c r="D127" s="3296" t="str">
        <f ca="1">NUMBERSTRING(INT(D126*10000),2)&amp;"元整"</f>
        <v>捌佰玖拾玖万元整</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G24" sqref="G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15520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1380</v>
      </c>
      <c r="D5" s="203" t="s">
        <v>1469</v>
      </c>
      <c r="E5" s="204" t="s">
        <v>1470</v>
      </c>
      <c r="F5" s="204" t="s">
        <v>1471</v>
      </c>
      <c r="G5" s="205"/>
    </row>
    <row r="6" spans="1:9" s="206" customFormat="1" ht="13.5" customHeight="1">
      <c r="A6" s="732" t="s">
        <v>1472</v>
      </c>
      <c r="B6" s="207" t="s">
        <v>1473</v>
      </c>
      <c r="C6" s="208">
        <f>基准地价修正!B2</f>
        <v>1308</v>
      </c>
      <c r="D6" s="209"/>
      <c r="E6" s="210"/>
      <c r="F6" s="210"/>
      <c r="G6" s="211"/>
    </row>
    <row r="7" spans="1:9" s="206" customFormat="1" ht="13.5" customHeight="1">
      <c r="A7" s="732" t="s">
        <v>1474</v>
      </c>
      <c r="B7" s="207" t="s">
        <v>1475</v>
      </c>
      <c r="C7" s="212">
        <f>ROUND(C6*F7,0)</f>
        <v>40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3413</v>
      </c>
      <c r="H9" s="1070"/>
      <c r="I9" s="1716" t="s">
        <v>1479</v>
      </c>
    </row>
    <row r="10" spans="1:9" s="206" customFormat="1" ht="13.5" customHeight="1">
      <c r="A10" s="733" t="s">
        <v>356</v>
      </c>
      <c r="B10" s="216" t="s">
        <v>1480</v>
      </c>
      <c r="C10" s="217">
        <f ca="1">ROUND(D10*E10/10000,0)</f>
        <v>32</v>
      </c>
      <c r="D10" s="795">
        <f ca="1">IF(B1="",'数据-汇总表'!E6,IF(INDIRECT("'数据-取费表'!c"&amp;$G$1)="住宅",INDIRECT("'数据-取费表'!s"&amp;$G$1),INDIRECT("'数据-取费表'!k"&amp;$G$1)+INDIRECT("'数据-取费表'!s"&amp;$G$1)))</f>
        <v>1621.82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1621.82</v>
      </c>
      <c r="E19" s="203">
        <f>'数据-取费表'!B31</f>
        <v>200</v>
      </c>
      <c r="F19" s="223"/>
      <c r="G19" s="1714" t="s">
        <v>3414</v>
      </c>
    </row>
    <row r="20" spans="1:7" s="206" customFormat="1" ht="13.5" customHeight="1">
      <c r="A20" s="247" t="s">
        <v>1493</v>
      </c>
      <c r="B20" s="202" t="s">
        <v>1494</v>
      </c>
      <c r="C20" s="224">
        <f ca="1">ROUND((C5+C19)*F20,0)</f>
        <v>28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66</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282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282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487</v>
      </c>
      <c r="D34" s="209"/>
      <c r="E34" s="212"/>
      <c r="F34" s="249">
        <f ca="1">IF('数据-取费表'!B24=0,1,IF(B1="",'数据-取费表'!N16,INDIRECT("'数据-取费表'!n"&amp;$G$1)))</f>
        <v>1</v>
      </c>
      <c r="G34" s="211" t="s">
        <v>1526</v>
      </c>
    </row>
    <row r="35" spans="1:7" ht="13.5" customHeight="1">
      <c r="A35" s="734" t="s">
        <v>351</v>
      </c>
      <c r="B35" s="207" t="s">
        <v>1527</v>
      </c>
      <c r="C35" s="212">
        <f ca="1">ROUND(C34*F35,0)</f>
        <v>24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v>
      </c>
      <c r="D37" s="209">
        <f ca="1">D19</f>
        <v>1621.82</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5.0000000000000001E-4</v>
      </c>
      <c r="D44" s="230"/>
      <c r="E44" s="230"/>
      <c r="F44" s="231"/>
      <c r="G44" s="3338"/>
    </row>
    <row r="45" spans="1:7" s="206" customFormat="1" ht="13.5" customHeight="1">
      <c r="A45" s="247" t="s">
        <v>1547</v>
      </c>
      <c r="B45" s="236" t="s">
        <v>1513</v>
      </c>
      <c r="C45" s="237">
        <f ca="1">C46</f>
        <v>113</v>
      </c>
      <c r="D45" s="227">
        <f ca="1">C47</f>
        <v>4.0000000000000001E-3</v>
      </c>
      <c r="E45" s="228" t="s">
        <v>1539</v>
      </c>
      <c r="F45" s="238">
        <f ca="1">F27</f>
        <v>0.2</v>
      </c>
      <c r="G45" s="239" t="s">
        <v>1548</v>
      </c>
    </row>
    <row r="46" spans="1:7" s="206" customFormat="1" ht="13.5" customHeight="1">
      <c r="A46" s="734" t="s">
        <v>346</v>
      </c>
      <c r="B46" s="240" t="s">
        <v>1549</v>
      </c>
      <c r="C46" s="241">
        <f ca="1">ROUND((C33+C39)*F27,0)</f>
        <v>113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748</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613</v>
      </c>
      <c r="D51" s="224"/>
      <c r="E51" s="224"/>
      <c r="F51" s="256"/>
      <c r="G51" s="226" t="s">
        <v>1560</v>
      </c>
    </row>
    <row r="52" spans="1:7" s="200" customFormat="1" ht="16.5" thickBot="1">
      <c r="A52" s="257" t="s">
        <v>1561</v>
      </c>
      <c r="B52" s="258"/>
      <c r="C52" s="259">
        <f ca="1">C31+C51</f>
        <v>2517</v>
      </c>
      <c r="D52" s="258"/>
      <c r="E52" s="258"/>
      <c r="F52" s="258"/>
      <c r="G52" s="260"/>
    </row>
    <row r="55" spans="1:7" ht="15">
      <c r="B55" s="262" t="s">
        <v>1562</v>
      </c>
      <c r="C55" s="263"/>
    </row>
    <row r="56" spans="1:7">
      <c r="B56" s="265" t="s">
        <v>802</v>
      </c>
      <c r="C56" s="267">
        <f ca="1">1-C57</f>
        <v>0.75600000000000001</v>
      </c>
    </row>
    <row r="57" spans="1:7">
      <c r="B57" s="265" t="s">
        <v>803</v>
      </c>
      <c r="C57" s="266">
        <f ca="1">ROUND(C51/C52,3)</f>
        <v>0.24399999999999999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702.95330000000001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324364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324364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324364</v>
      </c>
      <c r="D10" s="795">
        <f ca="1">IF(B1="",'数据-汇总表'!E6,IF(INDIRECT("'数据-取费表'!c"&amp;$G$1)="住宅",INDIRECT("'数据-取费表'!s"&amp;$G$1),INDIRECT("'数据-取费表'!k"&amp;$G$1)+INDIRECT("'数据-取费表'!s"&amp;$G$1)))</f>
        <v>1621.82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324364</v>
      </c>
      <c r="D19" s="204">
        <f ca="1">D9+D10</f>
        <v>1621.82</v>
      </c>
      <c r="E19" s="203">
        <f>'数据-取费表'!B31</f>
        <v>200</v>
      </c>
      <c r="F19" s="223"/>
      <c r="G19" s="1714"/>
    </row>
    <row r="20" spans="1:7" s="206" customFormat="1" ht="13.5" customHeight="1">
      <c r="A20" s="247" t="s">
        <v>1574</v>
      </c>
      <c r="B20" s="202" t="s">
        <v>1575</v>
      </c>
      <c r="C20" s="224">
        <f ca="1">ROUND((C5+C19)*F20,0)</f>
        <v>12975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30699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15199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15199</v>
      </c>
      <c r="D24" s="230"/>
      <c r="E24" s="230"/>
      <c r="F24" s="231"/>
      <c r="G24" s="232" t="s">
        <v>1586</v>
      </c>
    </row>
    <row r="25" spans="1:7" s="206" customFormat="1" ht="24">
      <c r="A25" s="734" t="s">
        <v>1476</v>
      </c>
      <c r="B25" s="207" t="s">
        <v>1587</v>
      </c>
      <c r="C25" s="230">
        <f ca="1">ROUND(IF('数据-取费表'!B22&lt;=1,C20*F22*'数据-取费表'!B22/2,C20*(POWER((1+F22),'数据-取费表'!B22/2)-1)),0)</f>
        <v>301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132341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132341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894321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5530406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4865460</v>
      </c>
      <c r="D34" s="209"/>
      <c r="E34" s="212"/>
      <c r="F34" s="249"/>
      <c r="G34" s="211"/>
    </row>
    <row r="35" spans="1:7" ht="13.5" customHeight="1">
      <c r="A35" s="734" t="s">
        <v>351</v>
      </c>
      <c r="B35" s="207" t="s">
        <v>1527</v>
      </c>
      <c r="C35" s="212">
        <f ca="1">ROUND(C34*F35,0)</f>
        <v>243273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324364</v>
      </c>
      <c r="D37" s="209">
        <f ca="1">D19</f>
        <v>1621.82</v>
      </c>
      <c r="E37" s="241">
        <f>'数据-取费表'!B35</f>
        <v>200</v>
      </c>
      <c r="F37" s="251"/>
      <c r="G37" s="253"/>
    </row>
    <row r="38" spans="1:7" ht="13.5" customHeight="1">
      <c r="A38" s="734" t="s">
        <v>354</v>
      </c>
      <c r="B38" s="207" t="s">
        <v>1533</v>
      </c>
      <c r="C38" s="212">
        <f ca="1">ROUND(C34*F38,0)</f>
        <v>97309</v>
      </c>
      <c r="D38" s="212"/>
      <c r="E38" s="212"/>
      <c r="F38" s="251">
        <f>'数据-取费表'!B36</f>
        <v>0.02</v>
      </c>
      <c r="G38" s="211" t="s">
        <v>1528</v>
      </c>
    </row>
    <row r="39" spans="1:7" s="206" customFormat="1" ht="13.5" customHeight="1">
      <c r="A39" s="247" t="s">
        <v>1534</v>
      </c>
      <c r="B39" s="202" t="s">
        <v>1535</v>
      </c>
      <c r="C39" s="224">
        <f ca="1">ROUND(C33*F20,0)</f>
        <v>110608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130652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128090</v>
      </c>
      <c r="D42" s="230"/>
      <c r="E42" s="230"/>
      <c r="F42" s="231"/>
      <c r="G42" s="3336" t="s">
        <v>1591</v>
      </c>
    </row>
    <row r="43" spans="1:7" ht="13.5" customHeight="1">
      <c r="A43" s="734" t="s">
        <v>347</v>
      </c>
      <c r="B43" s="207" t="s">
        <v>1545</v>
      </c>
      <c r="C43" s="230">
        <f ca="1">ROUND(IF('数据-取费表'!B22&lt;=1,C39*F22*'数据-取费表'!B20/2,C39*(POWER((1+F22),'数据-取费表'!B20/2)-1)),0)</f>
        <v>2562</v>
      </c>
      <c r="D43" s="230"/>
      <c r="E43" s="230"/>
      <c r="F43" s="231"/>
      <c r="G43" s="3337"/>
    </row>
    <row r="44" spans="1:7" ht="13.5" customHeight="1">
      <c r="A44" s="734" t="s">
        <v>348</v>
      </c>
      <c r="B44" s="207" t="s">
        <v>1546</v>
      </c>
      <c r="C44" s="230">
        <f ca="1">ROUND(IF('数据-取费表'!B22&lt;=1,C40*F22*'数据-取费表'!B20/2,C40*(POWER((1+F22),'数据-取费表'!B20/2)-1)),4)</f>
        <v>5.0000000000000001E-4</v>
      </c>
      <c r="D44" s="230"/>
      <c r="E44" s="230"/>
      <c r="F44" s="231"/>
      <c r="G44" s="3338"/>
    </row>
    <row r="45" spans="1:7" s="206" customFormat="1" ht="13.5" customHeight="1">
      <c r="A45" s="247" t="s">
        <v>1547</v>
      </c>
      <c r="B45" s="236" t="s">
        <v>1513</v>
      </c>
      <c r="C45" s="237">
        <f ca="1">C46</f>
        <v>1128203</v>
      </c>
      <c r="D45" s="227">
        <f ca="1">C47</f>
        <v>4.0000000000000001E-3</v>
      </c>
      <c r="E45" s="228" t="s">
        <v>1539</v>
      </c>
      <c r="F45" s="238">
        <f ca="1">F27</f>
        <v>0.2</v>
      </c>
      <c r="G45" s="239" t="s">
        <v>1548</v>
      </c>
    </row>
    <row r="46" spans="1:7" s="206" customFormat="1" ht="13.5" customHeight="1">
      <c r="A46" s="734" t="s">
        <v>346</v>
      </c>
      <c r="B46" s="240" t="s">
        <v>1549</v>
      </c>
      <c r="C46" s="241">
        <f ca="1">ROUND((C33+C39)*F27,0)</f>
        <v>1128203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7481966</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6135212</v>
      </c>
      <c r="D51" s="224"/>
      <c r="E51" s="224"/>
      <c r="F51" s="256"/>
      <c r="G51" s="226" t="s">
        <v>1560</v>
      </c>
    </row>
    <row r="52" spans="1:7" s="200" customFormat="1" ht="16.5" thickBot="1">
      <c r="A52" s="257" t="s">
        <v>1561</v>
      </c>
      <c r="B52" s="258"/>
      <c r="C52" s="259">
        <f ca="1">C31+C51</f>
        <v>7029533</v>
      </c>
      <c r="D52" s="258"/>
      <c r="E52" s="258"/>
      <c r="F52" s="258"/>
      <c r="G52" s="260"/>
    </row>
    <row r="55" spans="1:7" ht="15">
      <c r="B55" s="262" t="s">
        <v>1562</v>
      </c>
      <c r="C55" s="263"/>
    </row>
    <row r="56" spans="1:7">
      <c r="B56" s="265" t="s">
        <v>802</v>
      </c>
      <c r="C56" s="267">
        <f ca="1">1-C57</f>
        <v>0.127</v>
      </c>
    </row>
    <row r="57" spans="1:7">
      <c r="B57" s="265" t="s">
        <v>803</v>
      </c>
      <c r="C57" s="266">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1621.82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1621.82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32</v>
      </c>
      <c r="D20" s="796">
        <f ca="1">IF(C1="",'数据-汇总表'!E6,IF(INDIRECT("'数据-取费表'!c"&amp;$K$1)="住宅",INDIRECT("'数据-取费表'!s"&amp;$K$1),INDIRECT("'数据-取费表'!k"&amp;$K$1)+INDIRECT("'数据-取费表'!s"&amp;$K$1)))</f>
        <v>1621.82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D53" sqref="D5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540.60699999999997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1308</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11063</v>
      </c>
      <c r="U2" s="1130">
        <f>位置面积租金!$B$22</f>
        <v>540.60699999999997</v>
      </c>
      <c r="V2" s="3064">
        <f>ROUND(T2*U2/10000,0)</f>
        <v>598</v>
      </c>
      <c r="W2" s="1133"/>
      <c r="X2" s="1133"/>
      <c r="Y2" s="1133"/>
      <c r="Z2" s="1133"/>
      <c r="AA2" s="1133"/>
      <c r="AB2" s="1133"/>
      <c r="AC2" s="1134"/>
      <c r="AD2" s="1135"/>
      <c r="AE2" s="1135"/>
      <c r="AF2" s="1135"/>
      <c r="AG2" s="1135"/>
      <c r="AH2" s="1135"/>
      <c r="AI2" s="1135"/>
      <c r="AJ2" s="1136"/>
    </row>
    <row r="3" spans="1:36" ht="15.75">
      <c r="A3" s="195" t="s">
        <v>1940</v>
      </c>
      <c r="B3" s="196">
        <f>ROUND(B2*10000/D1,0)</f>
        <v>24195</v>
      </c>
      <c r="C3" s="1846" t="s">
        <v>1941</v>
      </c>
      <c r="D3" s="162" t="s">
        <v>1942</v>
      </c>
      <c r="E3" s="3119" t="s">
        <v>2440</v>
      </c>
      <c r="F3" s="1848" t="s">
        <v>3406</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8720</v>
      </c>
      <c r="U3" s="1130">
        <f>位置面积租金!$B$22</f>
        <v>540.60699999999997</v>
      </c>
      <c r="V3" s="3064">
        <f t="shared" ref="V3:V16" si="1">ROUND(T3*U3/10000,0)</f>
        <v>471</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7370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11910</v>
      </c>
      <c r="D5" s="1252">
        <f>ROUND(C6*C17+C20,0)</f>
        <v>11910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6500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11910</v>
      </c>
      <c r="D6" s="1861"/>
      <c r="E6" s="1862"/>
      <c r="F6" s="1862"/>
      <c r="G6" s="1863"/>
      <c r="H6" s="1863"/>
      <c r="I6" s="1863"/>
      <c r="J6" s="1864"/>
      <c r="K6" s="1292"/>
      <c r="L6" s="1847" t="s">
        <v>1951</v>
      </c>
      <c r="M6" s="811">
        <f>SUMPRODUCT((区片价!B127:B189=I2)*(区片价!C3:G3=E2)*(区片价!C127:G189))</f>
        <v>11910</v>
      </c>
      <c r="N6" s="813">
        <f>SUMPRODUCT((因素修正幅度!B127:B189=I2)*(因素修正幅度!C3:G3=E2)*(因素修正幅度!C127:G189))</f>
        <v>0.13</v>
      </c>
      <c r="O6" s="1056"/>
      <c r="P6" s="1056"/>
      <c r="Q6" s="1056"/>
      <c r="R6" s="1129">
        <v>5</v>
      </c>
      <c r="S6" s="3064">
        <f>ROUND(SUMPRODUCT((B106:B110=R6)*(C105:N105=G2)*(C106:N110)),4)</f>
        <v>0.84799999999999998</v>
      </c>
      <c r="T6" s="3064">
        <f t="shared" si="0"/>
        <v>6247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0</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45701</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0.71299999999999997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18.53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3409</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1308</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11063</v>
      </c>
      <c r="D33" s="1940"/>
      <c r="E33" s="727">
        <f>ROUND(C33*D33/10000,0)</f>
        <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4420</v>
      </c>
      <c r="D37" s="1940">
        <f>位置面积租金!$B$22</f>
        <v>540.60699999999997</v>
      </c>
      <c r="E37" s="163">
        <f>ROUND(C37*D37/10000,0)</f>
        <v>239</v>
      </c>
      <c r="F37" s="163">
        <f>SUMIF(修正!A57:A68,G2,修正!B57:B68)</f>
        <v>0.6</v>
      </c>
      <c r="G37" s="163">
        <f>ROUND(IF(E2="工业",C37*$M$42,C37*$M$41),0)</f>
        <v>1105</v>
      </c>
      <c r="H37" s="163">
        <f>D37</f>
        <v>540.60699999999997</v>
      </c>
      <c r="I37" s="163">
        <f>ROUND(G37*H37/10000,0)</f>
        <v>60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2210</v>
      </c>
      <c r="D38" s="1940"/>
      <c r="E38" s="163">
        <f t="shared" ref="E38:E42" si="4">ROUND(C38*D38/10000,0)</f>
        <v>0</v>
      </c>
      <c r="F38" s="163">
        <f>SUMIF(修正!A57:A68,G2,修正!C57:C68)</f>
        <v>0.3</v>
      </c>
      <c r="G38" s="163">
        <f>ROUND(IF(E2="工业",C38*$M$42,C38*$M$41),0)</f>
        <v>553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1842</v>
      </c>
      <c r="D39" s="1940"/>
      <c r="E39" s="163">
        <f t="shared" si="4"/>
        <v>0</v>
      </c>
      <c r="F39" s="163">
        <f>SUMIF(修正!A57:A68,G2,修正!D57:D68)</f>
        <v>0.25</v>
      </c>
      <c r="G39" s="163">
        <f>ROUND(IF(E2="工业",C39*$M$42,C39*$M$41),0)</f>
        <v>461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1842</v>
      </c>
      <c r="D40" s="1940"/>
      <c r="E40" s="163">
        <f t="shared" si="4"/>
        <v>0</v>
      </c>
      <c r="F40" s="167">
        <f>SUMIF(修正!A57:A68,G2,修正!E57:E68)</f>
        <v>0.25</v>
      </c>
      <c r="G40" s="163">
        <f>ROUND(IF(E2="工业",C40*$M$42,C40*$M$41),0)</f>
        <v>461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1.0427999999999999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3424</v>
      </c>
      <c r="D50" s="1002">
        <f t="shared" ref="D50:D58" si="7">SUMIF($J$49:$N$49,C50,J50:N50)</f>
        <v>1.95E-2</v>
      </c>
      <c r="E50" s="702">
        <f>ROUND(SUM(D50:D58),4)</f>
        <v>4.2799999999999998E-2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3424</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3425</v>
      </c>
      <c r="D53" s="1002">
        <f t="shared" si="7"/>
        <v>0</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3426</v>
      </c>
      <c r="D54" s="1002">
        <f t="shared" si="7"/>
        <v>-1.04E-2</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3424</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3424</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3424</v>
      </c>
      <c r="D57" s="1002">
        <f t="shared" si="7"/>
        <v>5.1999999999999998E-3</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3425</v>
      </c>
      <c r="D58" s="1002">
        <f t="shared" si="7"/>
        <v>0</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42"/>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0.94899999999999995</v>
      </c>
      <c r="E116" s="162" t="s">
        <v>3305</v>
      </c>
      <c r="F116" s="3102" t="str">
        <f>E2</f>
        <v>商业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3320</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3321</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3399</v>
      </c>
      <c r="D1" s="1271" t="s">
        <v>43</v>
      </c>
      <c r="E1" s="1272" t="s">
        <v>678</v>
      </c>
      <c r="F1" s="999">
        <f ca="1">J53</f>
        <v>18.53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1854</v>
      </c>
      <c r="C2" s="1289" t="s">
        <v>805</v>
      </c>
      <c r="D2" s="1289"/>
      <c r="E2" s="1295"/>
      <c r="F2" s="1296"/>
      <c r="G2" s="2479"/>
      <c r="H2" s="2469"/>
      <c r="I2" s="2469"/>
      <c r="J2" s="2469"/>
      <c r="K2" s="2470"/>
      <c r="L2" s="2469"/>
      <c r="M2" s="2469"/>
    </row>
    <row r="3" spans="1:37" ht="18" customHeight="1" thickBot="1">
      <c r="A3" s="1297" t="s">
        <v>806</v>
      </c>
      <c r="B3" s="1298">
        <f ca="1">IF(ISERROR(B2*10000/F43),0,ROUND(B2*10000/F43,0))</f>
        <v>11432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176</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176</v>
      </c>
      <c r="D6" s="147" t="s">
        <v>2109</v>
      </c>
      <c r="E6" s="294" t="s">
        <v>696</v>
      </c>
      <c r="F6" s="295">
        <f ca="1">INDIRECT("'数据-取费表'!u"&amp;$G$1)</f>
        <v>3.5</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1621.82</v>
      </c>
      <c r="G7" s="1292"/>
      <c r="H7" s="296"/>
      <c r="I7" s="3342"/>
      <c r="J7" s="298"/>
      <c r="K7" s="299"/>
      <c r="L7" s="294" t="s">
        <v>697</v>
      </c>
      <c r="M7" s="295">
        <f ca="1">F7</f>
        <v>1621.82</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0.15</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613</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487</v>
      </c>
      <c r="D14" s="1257" t="s">
        <v>708</v>
      </c>
      <c r="E14" s="1255"/>
      <c r="F14" s="311"/>
      <c r="G14" s="1292"/>
      <c r="H14" s="928" t="s">
        <v>398</v>
      </c>
      <c r="I14" s="294" t="s">
        <v>709</v>
      </c>
      <c r="J14" s="21">
        <f ca="1">C29</f>
        <v>748</v>
      </c>
      <c r="K14" s="12"/>
      <c r="L14" s="759"/>
      <c r="M14" s="760"/>
    </row>
    <row r="15" spans="1:37" s="1304" customFormat="1" ht="18" customHeight="1" thickBot="1">
      <c r="A15" s="928" t="s">
        <v>399</v>
      </c>
      <c r="B15" s="294" t="s">
        <v>710</v>
      </c>
      <c r="C15" s="21">
        <f ca="1">ROUND(C14*F15,0)</f>
        <v>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32</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553</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11</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113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748</v>
      </c>
      <c r="D29" s="1029"/>
      <c r="E29" s="1027"/>
      <c r="F29" s="1030"/>
      <c r="G29" s="1303"/>
      <c r="H29" s="325" t="s">
        <v>396</v>
      </c>
      <c r="I29" s="326" t="s">
        <v>768</v>
      </c>
      <c r="J29" s="327">
        <f ca="1">ROUND(J26/(1+F40)^F41,0)</f>
        <v>0</v>
      </c>
      <c r="K29" s="328" t="s">
        <v>769</v>
      </c>
      <c r="L29" s="329"/>
      <c r="M29" s="330">
        <f ca="1">INDIRECT("'数据-取费表'!k"&amp;$G$1)</f>
        <v>1621.82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9.39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20.11</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0.61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1.76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143</v>
      </c>
      <c r="D39" s="1032" t="s">
        <v>773</v>
      </c>
      <c r="E39" s="1033"/>
      <c r="F39" s="1034"/>
      <c r="G39" s="1292"/>
      <c r="H39" s="2474"/>
      <c r="I39" s="1305"/>
      <c r="J39" s="1306"/>
      <c r="K39" s="2472"/>
      <c r="L39" s="2474"/>
      <c r="M39" s="2474"/>
    </row>
    <row r="40" spans="1:18" ht="18" customHeight="1">
      <c r="A40" s="291" t="s">
        <v>395</v>
      </c>
      <c r="B40" s="292" t="s">
        <v>774</v>
      </c>
      <c r="C40" s="293">
        <f ca="1">ROUND(C39*(1-((1+F42)/(1+F40))^F41)/(F40-F42),0)</f>
        <v>1755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18.53</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10821</v>
      </c>
      <c r="D43" s="328" t="s">
        <v>777</v>
      </c>
      <c r="E43" s="329" t="s">
        <v>778</v>
      </c>
      <c r="F43" s="330">
        <f ca="1">INDIRECT("'数据-取费表'!k"&amp;$G$1)</f>
        <v>1621.82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-1777</v>
      </c>
      <c r="D46" s="1313" t="str">
        <f>C2</f>
        <v>万元</v>
      </c>
      <c r="E46" s="1307"/>
      <c r="F46" s="1307"/>
      <c r="I46" s="1314" t="s">
        <v>810</v>
      </c>
      <c r="J46" s="1315"/>
      <c r="K46" s="1316"/>
      <c r="L46" s="1317">
        <f ca="1">IF(M47="住宅",0,IF(L48&gt;J51,L60,J60))</f>
        <v>99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40</v>
      </c>
      <c r="M47" s="1288" t="str">
        <f>IF(ISNUMBER(FIND("住宅",C1)),"住宅","非住宅")</f>
        <v>非住宅</v>
      </c>
      <c r="O47" s="1325" t="s">
        <v>403</v>
      </c>
      <c r="P47" s="1326" t="s">
        <v>817</v>
      </c>
      <c r="Q47" s="1327">
        <f ca="1">C40+J29</f>
        <v>1755</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18.53</v>
      </c>
      <c r="O48" s="1325" t="s">
        <v>404</v>
      </c>
      <c r="P48" s="1326" t="s">
        <v>821</v>
      </c>
      <c r="Q48" s="1327">
        <f ca="1">J60</f>
        <v>99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2014</v>
      </c>
      <c r="K49" s="1330" t="s">
        <v>824</v>
      </c>
      <c r="L49" s="1333"/>
      <c r="O49" s="1334" t="s">
        <v>405</v>
      </c>
      <c r="P49" s="1326" t="s">
        <v>825</v>
      </c>
      <c r="Q49" s="1327">
        <f ca="1">C29</f>
        <v>748</v>
      </c>
      <c r="R49" s="1327" t="s">
        <v>818</v>
      </c>
    </row>
    <row r="50" spans="1:18" s="1292" customFormat="1" ht="13.5" thickBot="1">
      <c r="A50" s="922"/>
      <c r="B50" s="925"/>
      <c r="C50" s="1055"/>
      <c r="D50" s="899"/>
      <c r="E50" s="993" t="s">
        <v>697</v>
      </c>
      <c r="F50" s="994">
        <f ca="1">F7</f>
        <v>1621.82</v>
      </c>
      <c r="H50" s="682"/>
      <c r="I50" s="1328" t="s">
        <v>826</v>
      </c>
      <c r="J50" s="1335">
        <f>SUMPRODUCT((I63:I65=J47)*(J62:L62=J48)*(J63:L65))</f>
        <v>60</v>
      </c>
      <c r="K50" s="1330" t="s">
        <v>827</v>
      </c>
      <c r="L50" s="1333"/>
      <c r="M50" s="1336"/>
      <c r="O50" s="1334" t="s">
        <v>406</v>
      </c>
      <c r="P50" s="1326" t="s">
        <v>828</v>
      </c>
      <c r="Q50" s="1337">
        <f ca="1">J58</f>
        <v>0.50800000000000001</v>
      </c>
      <c r="R50" s="1327"/>
    </row>
    <row r="51" spans="1:18" s="1292" customFormat="1" ht="13.5"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1688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18.53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18.53</v>
      </c>
      <c r="K53" s="3339" t="s">
        <v>837</v>
      </c>
      <c r="L53" s="3340"/>
      <c r="O53" s="1325" t="s">
        <v>409</v>
      </c>
      <c r="P53" s="1326" t="s">
        <v>838</v>
      </c>
      <c r="Q53" s="1327">
        <f ca="1">Q47+Q48</f>
        <v>1854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0.50800000000000001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613</v>
      </c>
      <c r="D56" s="1352"/>
      <c r="E56" s="1353"/>
      <c r="F56" s="1345"/>
      <c r="I56" s="1354" t="s">
        <v>842</v>
      </c>
      <c r="J56" s="1355" t="s">
        <v>3423</v>
      </c>
      <c r="K56" s="1328" t="s">
        <v>843</v>
      </c>
      <c r="L56" s="1331" t="str">
        <f ca="1">IF(L48&lt;J51,"——",L48-J53)</f>
        <v>——</v>
      </c>
      <c r="O56" s="1325" t="s">
        <v>403</v>
      </c>
      <c r="P56" s="1326" t="s">
        <v>817</v>
      </c>
      <c r="Q56" s="1327">
        <f ca="1">C40+J29</f>
        <v>1755</v>
      </c>
      <c r="R56" s="1327" t="s">
        <v>818</v>
      </c>
    </row>
    <row r="57" spans="1:18" s="1292" customFormat="1" ht="24.75" thickBot="1">
      <c r="A57" s="1356"/>
      <c r="B57" s="896" t="s">
        <v>767</v>
      </c>
      <c r="C57" s="230">
        <f ca="1">C29</f>
        <v>748</v>
      </c>
      <c r="D57" s="1357"/>
      <c r="E57" s="1358"/>
      <c r="F57" s="1359"/>
      <c r="I57" s="1360" t="s">
        <v>844</v>
      </c>
      <c r="J57" s="1361">
        <f ca="1">IF(OR(M47="住宅",J51&lt;L48,J56="是"),"——",J51-L48)</f>
        <v>30.47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v>
      </c>
      <c r="D58" s="906" t="s">
        <v>715</v>
      </c>
      <c r="E58" s="907"/>
      <c r="F58" s="908"/>
      <c r="I58" s="1360" t="s">
        <v>848</v>
      </c>
      <c r="J58" s="1362">
        <f ca="1">IF(J55&lt;0.4,0.4,J55)</f>
        <v>0.50800000000000001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1755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0.61</v>
      </c>
      <c r="D65" s="910" t="s">
        <v>743</v>
      </c>
      <c r="E65" s="896" t="s">
        <v>744</v>
      </c>
      <c r="F65" s="321">
        <f t="shared" ca="1" si="0"/>
        <v>1E-3</v>
      </c>
      <c r="I65" s="1367" t="s">
        <v>867</v>
      </c>
      <c r="J65" s="610">
        <v>40</v>
      </c>
      <c r="K65" s="610">
        <v>30</v>
      </c>
      <c r="L65" s="610">
        <v>50</v>
      </c>
      <c r="M65" s="1369">
        <v>0.02</v>
      </c>
      <c r="O65" s="1325" t="s">
        <v>403</v>
      </c>
      <c r="P65" s="1326" t="s">
        <v>868</v>
      </c>
      <c r="Q65" s="1327">
        <f ca="1">C40+J29</f>
        <v>1755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v>
      </c>
      <c r="D67" s="909" t="s">
        <v>753</v>
      </c>
      <c r="E67" s="914"/>
      <c r="F67" s="915"/>
      <c r="O67" s="1334" t="s">
        <v>405</v>
      </c>
      <c r="P67" s="1326" t="s">
        <v>850</v>
      </c>
      <c r="Q67" s="1370">
        <f ca="1">L51</f>
        <v>1688</v>
      </c>
      <c r="R67" s="1327" t="s">
        <v>870</v>
      </c>
    </row>
    <row r="68" spans="1:18" s="1292" customFormat="1" ht="16.5" thickBot="1">
      <c r="A68" s="893" t="s">
        <v>395</v>
      </c>
      <c r="B68" s="894" t="s">
        <v>774</v>
      </c>
      <c r="C68" s="293">
        <f ca="1">ROUND(C67*(1-((1+F70)/(1+F68))^F69)/(F68-F70),0)</f>
        <v>-22</v>
      </c>
      <c r="D68" s="911" t="s">
        <v>758</v>
      </c>
      <c r="E68" s="896" t="s">
        <v>759</v>
      </c>
      <c r="F68" s="304">
        <f ca="1">F40</f>
        <v>0.06</v>
      </c>
      <c r="O68" s="1334" t="s">
        <v>406</v>
      </c>
      <c r="P68" s="1371" t="s">
        <v>871</v>
      </c>
      <c r="Q68" s="1327">
        <f ca="1">ROUND(Q69-Q70*Q71,0)</f>
        <v>100</v>
      </c>
      <c r="R68" s="1327" t="s">
        <v>414</v>
      </c>
    </row>
    <row r="69" spans="1:18" s="1292" customFormat="1" ht="13.5" thickBot="1">
      <c r="A69" s="897"/>
      <c r="B69" s="898"/>
      <c r="C69" s="298"/>
      <c r="D69" s="916" t="s">
        <v>762</v>
      </c>
      <c r="E69" s="896" t="s">
        <v>763</v>
      </c>
      <c r="F69" s="324">
        <f ca="1">F41</f>
        <v>18.53</v>
      </c>
      <c r="O69" s="1334" t="s">
        <v>411</v>
      </c>
      <c r="P69" s="1371" t="s">
        <v>872</v>
      </c>
      <c r="Q69" s="1327">
        <f ca="1">C39</f>
        <v>143</v>
      </c>
      <c r="R69" s="1327" t="s">
        <v>818</v>
      </c>
    </row>
    <row r="70" spans="1:18" s="1292" customFormat="1" ht="13.5" thickBot="1">
      <c r="A70" s="900"/>
      <c r="B70" s="901"/>
      <c r="C70" s="302"/>
      <c r="D70" s="912"/>
      <c r="E70" s="896" t="s">
        <v>766</v>
      </c>
      <c r="F70" s="991"/>
      <c r="O70" s="1334" t="s">
        <v>412</v>
      </c>
      <c r="P70" s="1371" t="s">
        <v>873</v>
      </c>
      <c r="Q70" s="1327">
        <f ca="1">C13</f>
        <v>613</v>
      </c>
      <c r="R70" s="1327" t="s">
        <v>818</v>
      </c>
    </row>
    <row r="71" spans="1:18" s="1292" customFormat="1" ht="13.5" thickBot="1">
      <c r="A71" s="917" t="s">
        <v>396</v>
      </c>
      <c r="B71" s="918" t="s">
        <v>776</v>
      </c>
      <c r="C71" s="327">
        <f ca="1">ROUND(C68*10000/F71,0)</f>
        <v>-136</v>
      </c>
      <c r="D71" s="919" t="s">
        <v>777</v>
      </c>
      <c r="E71" s="920" t="s">
        <v>778</v>
      </c>
      <c r="F71" s="330">
        <f ca="1">F43</f>
        <v>1621.82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43</v>
      </c>
      <c r="D75" s="1292"/>
      <c r="E75" s="1292"/>
      <c r="F75" s="1292"/>
      <c r="K75" s="1309"/>
      <c r="L75" s="1292"/>
      <c r="O75" s="1325" t="s">
        <v>409</v>
      </c>
      <c r="P75" s="1326" t="s">
        <v>838</v>
      </c>
      <c r="Q75" s="1327">
        <f ca="1">Q65+Q66</f>
        <v>1755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0.69900000000000007</v>
      </c>
    </row>
    <row r="80" spans="1:18">
      <c r="B80" s="331" t="s">
        <v>800</v>
      </c>
      <c r="C80" s="266">
        <f ca="1">ROUND(C75/C39,3)</f>
        <v>0.30099999999999999</v>
      </c>
    </row>
    <row r="81" spans="2:3">
      <c r="B81" s="262" t="s">
        <v>801</v>
      </c>
      <c r="C81" s="230"/>
    </row>
    <row r="82" spans="2:3">
      <c r="B82" s="265" t="s">
        <v>802</v>
      </c>
      <c r="C82" s="267">
        <f ca="1">1-C83</f>
        <v>0.65100000000000002</v>
      </c>
    </row>
    <row r="83" spans="2:3">
      <c r="B83" s="265" t="s">
        <v>803</v>
      </c>
      <c r="C83" s="266">
        <f ca="1">ROUND(C13/C40,3)</f>
        <v>0.34899999999999998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1854</v>
      </c>
      <c r="C2" s="1729" t="s">
        <v>1651</v>
      </c>
      <c r="D2" s="1730" t="s">
        <v>1652</v>
      </c>
      <c r="E2" s="2393">
        <f>SUM(E6:E13)</f>
        <v>1621.82</v>
      </c>
      <c r="F2" s="2480"/>
      <c r="G2" s="459"/>
      <c r="H2" s="459"/>
      <c r="I2" s="459"/>
      <c r="J2" s="459"/>
      <c r="K2" s="459"/>
      <c r="L2" s="459"/>
      <c r="M2" s="459"/>
      <c r="N2" s="459"/>
      <c r="O2" s="459"/>
      <c r="P2" s="459"/>
      <c r="Q2" s="459"/>
      <c r="R2" s="459"/>
      <c r="S2" s="459"/>
    </row>
    <row r="3" spans="1:22" ht="15.75">
      <c r="A3" s="1728" t="s">
        <v>686</v>
      </c>
      <c r="B3" s="2387">
        <f ca="1">ROUND(B2*10000/E2,0)</f>
        <v>11432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1854</v>
      </c>
      <c r="C6" s="1729" t="s">
        <v>1651</v>
      </c>
      <c r="D6" s="2480"/>
      <c r="E6" s="2392">
        <f>IF(OR(A6=0,F6="否"),0,'数据-取费表'!K6+'数据-取费表'!S6)</f>
        <v>1621.82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1621.82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1621.82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1621.82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估价对象为北京市房地产，为所有。根据《国有土地使用证》[]，估价对象（分摊）出让国有建设用地使用权面积为0平方米，建筑面积为1621.82平方米。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估价对象为北京市房地产,属开发建设的，该项目尚在开发建设中。根据《国有土地使用证》[]，估价对象（分摊）出让国有建设用地使用权面积为0平方米，规划建筑面积为1621.82平方米。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1621.82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90"/>
      <c r="M10" s="2491"/>
      <c r="N10" s="2491"/>
      <c r="O10" s="2542"/>
      <c r="P10" s="3368"/>
      <c r="Q10" s="530" t="str">
        <f t="shared" si="6"/>
        <v>土地使用年限（年）</v>
      </c>
      <c r="R10" s="664" t="s">
        <v>14</v>
      </c>
      <c r="S10" s="665">
        <f t="shared" si="0"/>
        <v>140</v>
      </c>
      <c r="T10" s="664" t="s">
        <v>14</v>
      </c>
      <c r="U10" s="665">
        <f t="shared" si="1"/>
        <v>140</v>
      </c>
      <c r="V10" s="664" t="s">
        <v>14</v>
      </c>
      <c r="W10" s="665">
        <f t="shared" si="2"/>
        <v>140</v>
      </c>
      <c r="X10" s="666"/>
      <c r="Y10" s="3243"/>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1081.213</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1081.213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140</v>
      </c>
      <c r="G10" s="371"/>
      <c r="H10" s="119">
        <f>ROUND(100/'数据-取费表'!G16,0)</f>
        <v>140</v>
      </c>
      <c r="I10" s="371"/>
      <c r="J10" s="119">
        <f>ROUND(100/'数据-取费表'!G16,0)</f>
        <v>140</v>
      </c>
      <c r="K10" s="592"/>
      <c r="L10" s="2490"/>
      <c r="M10" s="2491"/>
      <c r="N10" s="2491"/>
      <c r="O10" s="2542"/>
      <c r="P10" s="3368"/>
      <c r="Q10" s="530" t="str">
        <f t="shared" si="6"/>
        <v>土地使用年限（年）</v>
      </c>
      <c r="R10" s="664" t="s">
        <v>14</v>
      </c>
      <c r="S10" s="665">
        <f t="shared" si="0"/>
        <v>140</v>
      </c>
      <c r="T10" s="664" t="s">
        <v>14</v>
      </c>
      <c r="U10" s="665">
        <f t="shared" si="1"/>
        <v>140</v>
      </c>
      <c r="V10" s="664" t="s">
        <v>14</v>
      </c>
      <c r="W10" s="665">
        <f t="shared" si="2"/>
        <v>140</v>
      </c>
      <c r="X10" s="666"/>
      <c r="Y10" s="3243"/>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1081.213</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1308</v>
      </c>
      <c r="C2" s="1984" t="s">
        <v>2074</v>
      </c>
      <c r="D2" s="1984" t="s">
        <v>2075</v>
      </c>
      <c r="E2" s="2398">
        <f ca="1">SUMIF(E6:E13,"&lt;&gt;#ref!",E6:E13)</f>
        <v>540.60699999999997</v>
      </c>
      <c r="F2" s="2545"/>
      <c r="G2" s="2545"/>
      <c r="H2" s="2545"/>
      <c r="I2" s="2545"/>
      <c r="J2" s="2545"/>
      <c r="K2" s="2545"/>
      <c r="L2" s="2545"/>
      <c r="M2" s="2545"/>
      <c r="N2" s="2545"/>
      <c r="O2" s="2545"/>
      <c r="P2" s="2545"/>
    </row>
    <row r="3" spans="1:16" ht="15.75">
      <c r="A3" s="1984" t="s">
        <v>2076</v>
      </c>
      <c r="B3" s="2388">
        <f ca="1">ROUND(B2*10000/E2,0)</f>
        <v>24195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1308</v>
      </c>
      <c r="C6" s="1984" t="s">
        <v>2074</v>
      </c>
      <c r="D6" s="2545"/>
      <c r="E6" s="2398">
        <f ca="1">SUMIF(INDIRECT("'"&amp;A6&amp;"'"&amp;"!C:C"),"建筑面积",INDIRECT("'"&amp;A6&amp;"'"&amp;"!D:D"))</f>
        <v>540.60699999999997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6906-381C-4E86-9917-0AC738602210}">
  <dimension ref="A21:E25"/>
  <sheetViews>
    <sheetView topLeftCell="A25" zoomScale="85" zoomScaleNormal="85" workbookViewId="0">
      <selection activeCell="T23" sqref="T23"/>
    </sheetView>
  </sheetViews>
  <sheetFormatPr defaultRowHeight="13.5"/>
  <sheetData>
    <row r="21" spans="1:5">
      <c r="A21" s="1405" t="s">
        <v>3404</v>
      </c>
      <c r="B21" s="1405" t="s">
        <v>3382</v>
      </c>
      <c r="C21" s="1405" t="s">
        <v>3405</v>
      </c>
      <c r="D21" s="1405" t="s">
        <v>654</v>
      </c>
    </row>
    <row r="22" spans="1:5">
      <c r="A22">
        <v>-1</v>
      </c>
      <c r="B22">
        <f>ROUND(1621.82/3,3)</f>
        <v>540.60699999999997</v>
      </c>
      <c r="C22">
        <v>0.4</v>
      </c>
      <c r="D22">
        <f>D23*C22</f>
        <v>2</v>
      </c>
      <c r="E22">
        <f>E23*C22</f>
        <v>8000</v>
      </c>
    </row>
    <row r="23" spans="1:5">
      <c r="A23">
        <v>1</v>
      </c>
      <c r="B23">
        <f>ROUND(1621.82/3,3)</f>
        <v>540.60699999999997</v>
      </c>
      <c r="C23">
        <v>1</v>
      </c>
      <c r="D23">
        <v>5</v>
      </c>
      <c r="E23">
        <v>20000</v>
      </c>
    </row>
    <row r="24" spans="1:5">
      <c r="A24">
        <v>2</v>
      </c>
      <c r="B24">
        <f>ROUND(1621.82/3,3)</f>
        <v>540.60699999999997</v>
      </c>
      <c r="C24">
        <v>0.7</v>
      </c>
      <c r="D24">
        <f>D23*C24</f>
        <v>3.5</v>
      </c>
      <c r="E24">
        <f>E23*C24</f>
        <v>14000</v>
      </c>
    </row>
    <row r="25" spans="1:5">
      <c r="B25">
        <f>ROUND(SUM(B22:B24),2)</f>
        <v>1621.82</v>
      </c>
      <c r="D25">
        <f>ROUND((D22+D23+D24)/3,2)</f>
        <v>3.5</v>
      </c>
      <c r="E25">
        <f>ROUND((E22+E23+E24)/3,2)</f>
        <v>14000</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2119</v>
      </c>
    </row>
    <row r="6" spans="1:5" ht="15.75">
      <c r="B6" s="3156"/>
      <c r="C6" s="1392" t="s">
        <v>911</v>
      </c>
      <c r="D6" s="797" t="str">
        <f ca="1">NUMBERSTRING(INT(D5*10000),2)&amp;"元整"</f>
        <v>贰仟壹佰壹拾玖万元整</v>
      </c>
    </row>
    <row r="7" spans="1:5" ht="15.75">
      <c r="B7" s="3161"/>
      <c r="C7" s="1393" t="s">
        <v>912</v>
      </c>
      <c r="D7" s="798">
        <f ca="1">结果表!H102</f>
        <v>13066</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2119</v>
      </c>
    </row>
    <row r="14" spans="1:5" ht="15.75">
      <c r="B14" s="3156"/>
      <c r="C14" s="1392" t="s">
        <v>911</v>
      </c>
      <c r="D14" s="797" t="str">
        <f ca="1">NUMBERSTRING(INT(D13*10000),2)&amp;"元整"</f>
        <v>贰仟壹佰壹拾玖万元整</v>
      </c>
    </row>
    <row r="15" spans="1:5" ht="15">
      <c r="B15" s="3161"/>
      <c r="C15" s="1393" t="s">
        <v>921</v>
      </c>
      <c r="D15" s="806">
        <f ca="1">结果表!H108</f>
        <v>13066</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4.抵押净值</v>
      </c>
      <c r="C19" s="1397" t="s">
        <v>910</v>
      </c>
      <c r="D19" s="798">
        <f ca="1">结果表!H111</f>
        <v>899</v>
      </c>
    </row>
    <row r="20" spans="1:5" ht="15.75">
      <c r="B20" s="3156"/>
      <c r="C20" s="1392" t="s">
        <v>923</v>
      </c>
      <c r="D20" s="797" t="str">
        <f ca="1">NUMBERSTRING(INT(D19*10000),2)&amp;"元整"</f>
        <v>捌佰玖拾玖万元整</v>
      </c>
    </row>
    <row r="21" spans="1:5" ht="15.75" thickBot="1">
      <c r="B21" s="3157"/>
      <c r="C21" s="1399" t="s">
        <v>921</v>
      </c>
      <c r="D21" s="807">
        <f ca="1">结果表!H112</f>
        <v>5543</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29071</v>
      </c>
      <c r="C2" s="2" t="s">
        <v>106</v>
      </c>
      <c r="D2" s="191"/>
      <c r="E2" s="191"/>
      <c r="F2" s="191"/>
      <c r="G2" s="191"/>
    </row>
    <row r="3" spans="1:7" s="192" customFormat="1" ht="18" customHeight="1" thickBot="1">
      <c r="A3" s="195" t="s">
        <v>58</v>
      </c>
      <c r="B3" s="196">
        <f ca="1">ROUND(B2*10000/'数据-汇总表'!E3,0)</f>
        <v>179249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32</v>
      </c>
      <c r="D10" s="795">
        <f>'数据-汇总表'!E6</f>
        <v>1621.82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v>
      </c>
      <c r="D19" s="204">
        <f>'数据-汇总表'!E3</f>
        <v>1621.82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977</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4211</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4211</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28458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487</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v>
      </c>
      <c r="D37" s="209">
        <f>'数据-汇总表'!E3</f>
        <v>1621.82</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5.0000000000000001E-4</v>
      </c>
      <c r="D44" s="230"/>
      <c r="E44" s="230"/>
      <c r="F44" s="231"/>
      <c r="G44" s="3338"/>
    </row>
    <row r="45" spans="1:7" s="206" customFormat="1" ht="13.5" customHeight="1">
      <c r="A45" s="731" t="s">
        <v>341</v>
      </c>
      <c r="B45" s="236" t="s">
        <v>85</v>
      </c>
      <c r="C45" s="237">
        <f>C46</f>
        <v>113</v>
      </c>
      <c r="D45" s="227">
        <f>C47</f>
        <v>4.0000000000000001E-3</v>
      </c>
      <c r="E45" s="228" t="s">
        <v>102</v>
      </c>
      <c r="F45" s="238"/>
      <c r="G45" s="239" t="s">
        <v>434</v>
      </c>
    </row>
    <row r="46" spans="1:7" s="206" customFormat="1" ht="13.5" customHeight="1">
      <c r="A46" s="734" t="s">
        <v>349</v>
      </c>
      <c r="B46" s="240" t="s">
        <v>427</v>
      </c>
      <c r="C46" s="241">
        <f>ROUND((C33+C39)*F27,0)</f>
        <v>113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748</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613</v>
      </c>
      <c r="D51" s="224"/>
      <c r="E51" s="224"/>
      <c r="F51" s="256"/>
      <c r="G51" s="226" t="s">
        <v>37</v>
      </c>
    </row>
    <row r="52" spans="1:7" s="200" customFormat="1" ht="16.5" thickBot="1">
      <c r="A52" s="257" t="s">
        <v>38</v>
      </c>
      <c r="B52" s="258"/>
      <c r="C52" s="259">
        <f ca="1">C31+C51</f>
        <v>29071</v>
      </c>
      <c r="D52" s="258"/>
      <c r="E52" s="258"/>
      <c r="F52" s="258"/>
      <c r="G52" s="260"/>
    </row>
    <row r="55" spans="1:7" ht="15">
      <c r="B55" s="262" t="s">
        <v>39</v>
      </c>
      <c r="C55" s="263"/>
    </row>
    <row r="56" spans="1:7">
      <c r="B56" s="265" t="s">
        <v>40</v>
      </c>
      <c r="C56" s="266">
        <f ca="1">ROUND(C51/C52,3)</f>
        <v>2.1000000000000001E-2</v>
      </c>
    </row>
    <row r="57" spans="1:7">
      <c r="B57" s="265" t="s">
        <v>41</v>
      </c>
      <c r="C57" s="267">
        <f ca="1">1-C56</f>
        <v>0.97899999999999998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45701</v>
      </c>
      <c r="B1" s="2930" t="s">
        <v>3370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1621.82</v>
      </c>
      <c r="C4" s="801">
        <f>项目基本情况!C18</f>
        <v>0</v>
      </c>
      <c r="D4" s="801">
        <f ca="1">结果表!D118</f>
        <v>1602</v>
      </c>
      <c r="E4" s="801">
        <f ca="1">结果表!E118</f>
        <v>9878</v>
      </c>
      <c r="F4" s="801">
        <f ca="1">结果表!F118</f>
        <v>517</v>
      </c>
      <c r="G4" s="801">
        <f ca="1">结果表!G118</f>
        <v>3188</v>
      </c>
      <c r="H4" s="801">
        <f ca="1">结果表!H118</f>
        <v>2119</v>
      </c>
      <c r="I4" s="801">
        <f ca="1">结果表!I118</f>
        <v>13066</v>
      </c>
    </row>
    <row r="5" spans="1:9" ht="30" customHeight="1">
      <c r="A5" s="3168" t="s">
        <v>927</v>
      </c>
      <c r="B5" s="3168"/>
      <c r="C5" s="3168"/>
      <c r="D5" s="3168" t="str">
        <f ca="1">结果表!D119</f>
        <v>壹仟陆佰零贰万元整</v>
      </c>
      <c r="E5" s="3168"/>
      <c r="F5" s="3168" t="str">
        <f ca="1">结果表!F119</f>
        <v>伍佰壹拾柒万元整</v>
      </c>
      <c r="G5" s="3168"/>
      <c r="H5" s="3168" t="str">
        <f ca="1">结果表!H119</f>
        <v>贰仟壹佰壹拾玖万元整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2119</v>
      </c>
      <c r="E8" s="3167"/>
      <c r="F8" s="3167"/>
      <c r="G8" s="3167"/>
      <c r="H8" s="3167"/>
      <c r="I8" s="3167"/>
    </row>
    <row r="9" spans="1:9" ht="15">
      <c r="A9" s="3168" t="s">
        <v>927</v>
      </c>
      <c r="B9" s="3168"/>
      <c r="C9" s="3168"/>
      <c r="D9" s="3168" t="str">
        <f ca="1">结果表!D123</f>
        <v>贰仟壹佰壹拾玖万元整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抵押净值</v>
      </c>
      <c r="B12" s="3167"/>
      <c r="C12" s="3167"/>
      <c r="D12" s="3167">
        <f ca="1">结果表!D126</f>
        <v>899</v>
      </c>
      <c r="E12" s="3167"/>
      <c r="F12" s="3167"/>
      <c r="G12" s="3167"/>
      <c r="H12" s="3167"/>
      <c r="I12" s="3167"/>
    </row>
    <row r="13" spans="1:9" ht="15.75" thickBot="1">
      <c r="A13" s="3165" t="s">
        <v>927</v>
      </c>
      <c r="B13" s="3165"/>
      <c r="C13" s="3165"/>
      <c r="D13" s="3165" t="str">
        <f ca="1">结果表!D127</f>
        <v>捌佰玖拾玖万元整</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位置面积租金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2025-02-13T05:16:35Z</dcterms:modified>
</cp:coreProperties>
</file>